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E42D8B0-0045-44EE-9E45-17A79440D85E}" xr6:coauthVersionLast="47" xr6:coauthVersionMax="47" xr10:uidLastSave="{00000000-0000-0000-0000-000000000000}"/>
  <bookViews>
    <workbookView xWindow="28680" yWindow="-120" windowWidth="29040" windowHeight="15990" tabRatio="566" firstSheet="2" activeTab="4" xr2:uid="{DB4C7653-E8DB-4F0E-A15F-DDC097BF6398}"/>
  </bookViews>
  <sheets>
    <sheet name="Feuil1" sheetId="22" r:id="rId1"/>
    <sheet name="PROCÉDURE" sheetId="17" r:id="rId2"/>
    <sheet name="POSTE" sheetId="3" r:id="rId3"/>
    <sheet name="CONGÉ" sheetId="18" r:id="rId4"/>
    <sheet name="CUM" sheetId="19" r:id="rId5"/>
    <sheet name="DATA" sheetId="1" r:id="rId6"/>
    <sheet name="LISTE" sheetId="24" state="hidden" r:id="rId7"/>
    <sheet name="TCD DETAIL" sheetId="20" r:id="rId8"/>
    <sheet name="TCD DETAIL CAPACITÉ TOT" sheetId="23" r:id="rId9"/>
  </sheets>
  <definedNames>
    <definedName name="_xlnm._FilterDatabase" localSheetId="4" hidden="1">CUM!$A$1:$BI$106</definedName>
    <definedName name="_xlnm._FilterDatabase" localSheetId="5" hidden="1">DATA!$A$1:$AG$128</definedName>
    <definedName name="_xlnm.Print_Area" localSheetId="7">'TCD DETAIL'!$B$1:$AB$68</definedName>
    <definedName name="_xlnm.Print_Area" localSheetId="8">'TCD DETAIL CAPACITÉ TOT'!$B$1:$AB$35</definedName>
    <definedName name="_xlnm.Print_Titles" localSheetId="7">'TCD DETAIL'!$1:$11</definedName>
    <definedName name="_xlnm.Print_Titles" localSheetId="8">'TCD DETAIL CAPACITÉ TOT'!$1:$11</definedName>
    <definedName name="Col1_">OFFSET(Données,,,,1)</definedName>
    <definedName name="Données">DATA!$A$4:$AK$110</definedName>
  </definedNames>
  <calcPr calcId="191029"/>
  <pivotCaches>
    <pivotCache cacheId="0" r:id="rId10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19" l="1" a="1"/>
  <c r="B6" i="19" s="1"/>
  <c r="C6" i="19" s="1" a="1"/>
  <c r="C6" i="19" s="1"/>
  <c r="B7" i="19" a="1"/>
  <c r="B7" i="19" s="1"/>
  <c r="B8" i="19" a="1"/>
  <c r="B8" i="19" s="1"/>
  <c r="C8" i="19" s="1" a="1"/>
  <c r="C8" i="19" s="1"/>
  <c r="B9" i="19" a="1"/>
  <c r="B9" i="19" s="1"/>
  <c r="D9" i="19" s="1" a="1"/>
  <c r="D9" i="19" s="1"/>
  <c r="B10" i="19" a="1"/>
  <c r="B10" i="19" s="1"/>
  <c r="C10" i="19" s="1" a="1"/>
  <c r="C10" i="19" s="1"/>
  <c r="B11" i="19" a="1"/>
  <c r="B11" i="19"/>
  <c r="E11" i="19" s="1" a="1"/>
  <c r="E11" i="19" s="1"/>
  <c r="B12" i="19" a="1"/>
  <c r="B12" i="19" s="1"/>
  <c r="C12" i="19" s="1" a="1"/>
  <c r="C12" i="19" s="1"/>
  <c r="B13" i="19" a="1"/>
  <c r="B13" i="19" s="1"/>
  <c r="B14" i="19" a="1"/>
  <c r="B14" i="19" s="1"/>
  <c r="C14" i="19" s="1" a="1"/>
  <c r="C14" i="19" s="1"/>
  <c r="B15" i="19" a="1"/>
  <c r="B15" i="19" s="1"/>
  <c r="B16" i="19" a="1"/>
  <c r="B16" i="19" s="1"/>
  <c r="C16" i="19" s="1" a="1"/>
  <c r="C16" i="19" s="1"/>
  <c r="B17" i="19" a="1"/>
  <c r="B17" i="19" s="1"/>
  <c r="D17" i="19" s="1" a="1"/>
  <c r="D17" i="19" s="1"/>
  <c r="B18" i="19" a="1"/>
  <c r="B18" i="19" s="1"/>
  <c r="C18" i="19" s="1" a="1"/>
  <c r="C18" i="19" s="1"/>
  <c r="B19" i="19" a="1"/>
  <c r="B19" i="19" s="1"/>
  <c r="B20" i="19" a="1"/>
  <c r="B20" i="19" s="1"/>
  <c r="C20" i="19" s="1" a="1"/>
  <c r="C20" i="19" s="1"/>
  <c r="B21" i="19" a="1"/>
  <c r="B21" i="19" s="1"/>
  <c r="B22" i="19" a="1"/>
  <c r="B22" i="19" s="1"/>
  <c r="C22" i="19" s="1" a="1"/>
  <c r="C22" i="19" s="1"/>
  <c r="B23" i="19" a="1"/>
  <c r="B23" i="19" s="1"/>
  <c r="B24" i="19" a="1"/>
  <c r="B24" i="19" s="1"/>
  <c r="C24" i="19" s="1" a="1"/>
  <c r="C24" i="19" s="1"/>
  <c r="B25" i="19" a="1"/>
  <c r="B25" i="19"/>
  <c r="E25" i="19" s="1" a="1"/>
  <c r="E25" i="19" s="1"/>
  <c r="B26" i="19" a="1"/>
  <c r="B26" i="19" s="1"/>
  <c r="C26" i="19" s="1" a="1"/>
  <c r="C26" i="19" s="1"/>
  <c r="B27" i="19" a="1"/>
  <c r="B27" i="19" s="1"/>
  <c r="B28" i="19" a="1"/>
  <c r="B28" i="19" s="1"/>
  <c r="B29" i="19" a="1"/>
  <c r="B29" i="19" s="1"/>
  <c r="B30" i="19" a="1"/>
  <c r="B30" i="19" s="1"/>
  <c r="B31" i="19" a="1"/>
  <c r="B31" i="19" s="1"/>
  <c r="B32" i="19" a="1"/>
  <c r="B32" i="19" s="1"/>
  <c r="B33" i="19" a="1"/>
  <c r="B33" i="19" s="1"/>
  <c r="B34" i="19" a="1"/>
  <c r="B34" i="19" s="1"/>
  <c r="B35" i="19" a="1"/>
  <c r="B35" i="19" s="1"/>
  <c r="B36" i="19" a="1"/>
  <c r="B36" i="19" s="1"/>
  <c r="B37" i="19" a="1"/>
  <c r="B37" i="19" s="1"/>
  <c r="B38" i="19" a="1"/>
  <c r="B38" i="19" s="1"/>
  <c r="B39" i="19" a="1"/>
  <c r="B39" i="19" s="1"/>
  <c r="B40" i="19" a="1"/>
  <c r="B40" i="19" s="1"/>
  <c r="B41" i="19" a="1"/>
  <c r="B41" i="19" s="1"/>
  <c r="B42" i="19" a="1"/>
  <c r="B42" i="19" s="1"/>
  <c r="B43" i="19" a="1"/>
  <c r="B43" i="19"/>
  <c r="B44" i="19" a="1"/>
  <c r="B44" i="19" s="1"/>
  <c r="B45" i="19" a="1"/>
  <c r="B45" i="19" s="1"/>
  <c r="B46" i="19" a="1"/>
  <c r="B46" i="19" s="1"/>
  <c r="B47" i="19" a="1"/>
  <c r="B47" i="19" s="1"/>
  <c r="B48" i="19" a="1"/>
  <c r="B48" i="19" s="1"/>
  <c r="B49" i="19" a="1"/>
  <c r="B49" i="19" s="1"/>
  <c r="B50" i="19" a="1"/>
  <c r="B50" i="19" s="1"/>
  <c r="B51" i="19" a="1"/>
  <c r="B51" i="19" s="1"/>
  <c r="B52" i="19" a="1"/>
  <c r="B52" i="19" s="1"/>
  <c r="B53" i="19" a="1"/>
  <c r="B53" i="19" s="1"/>
  <c r="B54" i="19" a="1"/>
  <c r="B54" i="19" s="1"/>
  <c r="B55" i="19" a="1"/>
  <c r="B55" i="19" s="1"/>
  <c r="B56" i="19" a="1"/>
  <c r="B56" i="19" s="1"/>
  <c r="B57" i="19" a="1"/>
  <c r="B57" i="19" s="1"/>
  <c r="B58" i="19" a="1"/>
  <c r="B58" i="19" s="1"/>
  <c r="B59" i="19" a="1"/>
  <c r="B59" i="19" s="1"/>
  <c r="B60" i="19" a="1"/>
  <c r="B60" i="19" s="1"/>
  <c r="B61" i="19" a="1"/>
  <c r="B61" i="19" s="1"/>
  <c r="B62" i="19" a="1"/>
  <c r="B62" i="19" s="1"/>
  <c r="B63" i="19" a="1"/>
  <c r="B63" i="19" s="1"/>
  <c r="B64" i="19" a="1"/>
  <c r="B64" i="19" s="1"/>
  <c r="B65" i="19" a="1"/>
  <c r="B65" i="19" s="1"/>
  <c r="B66" i="19" a="1"/>
  <c r="B66" i="19" s="1"/>
  <c r="B67" i="19" a="1"/>
  <c r="B67" i="19" s="1"/>
  <c r="B68" i="19" a="1"/>
  <c r="B68" i="19" s="1"/>
  <c r="B69" i="19" a="1"/>
  <c r="B69" i="19" s="1"/>
  <c r="B70" i="19" a="1"/>
  <c r="B70" i="19" s="1"/>
  <c r="B71" i="19" a="1"/>
  <c r="B71" i="19" s="1"/>
  <c r="B72" i="19" a="1"/>
  <c r="B72" i="19" s="1"/>
  <c r="B73" i="19" a="1"/>
  <c r="B73" i="19"/>
  <c r="B74" i="19" a="1"/>
  <c r="B74" i="19" s="1"/>
  <c r="B75" i="19" a="1"/>
  <c r="B75" i="19" s="1"/>
  <c r="B76" i="19" a="1"/>
  <c r="B76" i="19" s="1"/>
  <c r="B77" i="19" a="1"/>
  <c r="B77" i="19" s="1"/>
  <c r="B78" i="19" a="1"/>
  <c r="B78" i="19" s="1"/>
  <c r="B79" i="19" a="1"/>
  <c r="B79" i="19" s="1"/>
  <c r="B80" i="19" a="1"/>
  <c r="B80" i="19" s="1"/>
  <c r="B81" i="19" a="1"/>
  <c r="B81" i="19" s="1"/>
  <c r="B82" i="19" a="1"/>
  <c r="B82" i="19" s="1"/>
  <c r="B83" i="19" a="1"/>
  <c r="B83" i="19" s="1"/>
  <c r="B84" i="19" a="1"/>
  <c r="B84" i="19" s="1"/>
  <c r="B85" i="19" a="1"/>
  <c r="B85" i="19" s="1"/>
  <c r="B86" i="19" a="1"/>
  <c r="B86" i="19" s="1"/>
  <c r="B87" i="19" a="1"/>
  <c r="B87" i="19" s="1"/>
  <c r="B88" i="19" a="1"/>
  <c r="B88" i="19" s="1"/>
  <c r="B89" i="19" a="1"/>
  <c r="B89" i="19" s="1"/>
  <c r="B90" i="19" a="1"/>
  <c r="B90" i="19" s="1"/>
  <c r="B91" i="19" a="1"/>
  <c r="B91" i="19" s="1"/>
  <c r="B92" i="19" a="1"/>
  <c r="B92" i="19" s="1"/>
  <c r="B93" i="19" a="1"/>
  <c r="B93" i="19" s="1"/>
  <c r="B94" i="19" a="1"/>
  <c r="B94" i="19" s="1"/>
  <c r="B95" i="19" a="1"/>
  <c r="B95" i="19" s="1"/>
  <c r="B96" i="19" a="1"/>
  <c r="B96" i="19" s="1"/>
  <c r="B97" i="19" a="1"/>
  <c r="B97" i="19" s="1"/>
  <c r="B98" i="19" a="1"/>
  <c r="B98" i="19" s="1"/>
  <c r="B99" i="19" a="1"/>
  <c r="B99" i="19" s="1"/>
  <c r="B100" i="19" a="1"/>
  <c r="B100" i="19" s="1"/>
  <c r="B101" i="19" a="1"/>
  <c r="B101" i="19" s="1"/>
  <c r="B102" i="19" a="1"/>
  <c r="B102" i="19" s="1"/>
  <c r="B103" i="19" a="1"/>
  <c r="B103" i="19" s="1"/>
  <c r="B104" i="19" a="1"/>
  <c r="B104" i="19" s="1"/>
  <c r="B5" i="19" a="1"/>
  <c r="B5" i="19" s="1"/>
  <c r="F115" i="1" a="1"/>
  <c r="F115" i="1" s="1"/>
  <c r="G116" i="1" s="1"/>
  <c r="E26" i="1"/>
  <c r="BK5" i="19"/>
  <c r="BK6" i="19"/>
  <c r="BK7" i="19"/>
  <c r="BK8" i="19"/>
  <c r="BK9" i="19"/>
  <c r="BK10" i="19"/>
  <c r="A5" i="19"/>
  <c r="A6" i="19"/>
  <c r="A7" i="19"/>
  <c r="A8" i="19"/>
  <c r="A9" i="19"/>
  <c r="A10" i="19"/>
  <c r="G3" i="19"/>
  <c r="H3" i="19"/>
  <c r="I3" i="19"/>
  <c r="J3" i="19"/>
  <c r="K3" i="19"/>
  <c r="L3" i="19"/>
  <c r="M3" i="19"/>
  <c r="N3" i="19"/>
  <c r="O3" i="19"/>
  <c r="P3" i="19"/>
  <c r="Q3" i="19"/>
  <c r="R3" i="19"/>
  <c r="S3" i="19"/>
  <c r="T3" i="19"/>
  <c r="U3" i="19"/>
  <c r="V3" i="19"/>
  <c r="W3" i="19"/>
  <c r="X3" i="19"/>
  <c r="Y3" i="19"/>
  <c r="Z3" i="19"/>
  <c r="AA3" i="19"/>
  <c r="AB3" i="19"/>
  <c r="AC3" i="19"/>
  <c r="AD3" i="19"/>
  <c r="AE3" i="19"/>
  <c r="AF3" i="19"/>
  <c r="AG3" i="19"/>
  <c r="AH3" i="19"/>
  <c r="AI3" i="19"/>
  <c r="AJ3" i="19"/>
  <c r="AK3" i="19"/>
  <c r="AL3" i="19"/>
  <c r="AM3" i="19"/>
  <c r="AN3" i="19"/>
  <c r="AO3" i="19"/>
  <c r="AP3" i="19"/>
  <c r="AQ3" i="19"/>
  <c r="AR3" i="19"/>
  <c r="AS3" i="19"/>
  <c r="AT3" i="19"/>
  <c r="AU3" i="19"/>
  <c r="AV3" i="19"/>
  <c r="AW3" i="19"/>
  <c r="AX3" i="19"/>
  <c r="AY3" i="19"/>
  <c r="AZ3" i="19"/>
  <c r="BA3" i="19"/>
  <c r="BB3" i="19"/>
  <c r="BC3" i="19"/>
  <c r="BD3" i="19"/>
  <c r="BE3" i="19"/>
  <c r="BF3" i="19"/>
  <c r="BG3" i="19"/>
  <c r="BH3" i="19"/>
  <c r="BI3" i="19"/>
  <c r="BJ3" i="19"/>
  <c r="BK3" i="19"/>
  <c r="BL3" i="19"/>
  <c r="BM3" i="19"/>
  <c r="BN3" i="19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AK109" i="1"/>
  <c r="AK108" i="1"/>
  <c r="AK107" i="1"/>
  <c r="AK106" i="1"/>
  <c r="AK105" i="1"/>
  <c r="AK104" i="1"/>
  <c r="AK103" i="1"/>
  <c r="AK102" i="1"/>
  <c r="AK101" i="1"/>
  <c r="AK100" i="1"/>
  <c r="AK99" i="1"/>
  <c r="AK98" i="1"/>
  <c r="AK97" i="1"/>
  <c r="AK96" i="1"/>
  <c r="AK95" i="1"/>
  <c r="AK94" i="1"/>
  <c r="AK93" i="1"/>
  <c r="AK92" i="1"/>
  <c r="AK91" i="1"/>
  <c r="AK90" i="1"/>
  <c r="AK89" i="1"/>
  <c r="AK88" i="1"/>
  <c r="AK87" i="1"/>
  <c r="AK86" i="1"/>
  <c r="AK85" i="1"/>
  <c r="AK84" i="1"/>
  <c r="AK83" i="1"/>
  <c r="AK82" i="1"/>
  <c r="AK81" i="1"/>
  <c r="AK80" i="1"/>
  <c r="AK79" i="1"/>
  <c r="AK78" i="1"/>
  <c r="AK77" i="1"/>
  <c r="AK76" i="1"/>
  <c r="AK75" i="1"/>
  <c r="AK74" i="1"/>
  <c r="AK73" i="1"/>
  <c r="AK72" i="1"/>
  <c r="AK71" i="1"/>
  <c r="AK70" i="1"/>
  <c r="AK69" i="1"/>
  <c r="AK68" i="1"/>
  <c r="AK67" i="1"/>
  <c r="AK66" i="1"/>
  <c r="AK65" i="1"/>
  <c r="AK64" i="1"/>
  <c r="AK63" i="1"/>
  <c r="AK62" i="1"/>
  <c r="AK61" i="1"/>
  <c r="AK60" i="1"/>
  <c r="AK59" i="1"/>
  <c r="AK58" i="1"/>
  <c r="AK57" i="1"/>
  <c r="AK56" i="1"/>
  <c r="AK55" i="1"/>
  <c r="AK54" i="1"/>
  <c r="AK53" i="1"/>
  <c r="AK52" i="1"/>
  <c r="AK51" i="1"/>
  <c r="AK50" i="1"/>
  <c r="AK49" i="1"/>
  <c r="AK48" i="1"/>
  <c r="AK47" i="1"/>
  <c r="AK46" i="1"/>
  <c r="AK45" i="1"/>
  <c r="AK44" i="1"/>
  <c r="AK43" i="1"/>
  <c r="AK42" i="1"/>
  <c r="AK41" i="1"/>
  <c r="AK40" i="1"/>
  <c r="AK39" i="1"/>
  <c r="AK38" i="1"/>
  <c r="AK37" i="1"/>
  <c r="AK36" i="1"/>
  <c r="AK35" i="1"/>
  <c r="AK34" i="1"/>
  <c r="AK33" i="1"/>
  <c r="AK32" i="1"/>
  <c r="AK31" i="1"/>
  <c r="AK30" i="1"/>
  <c r="AK29" i="1"/>
  <c r="AK28" i="1"/>
  <c r="AK27" i="1"/>
  <c r="AK26" i="1"/>
  <c r="AK25" i="1"/>
  <c r="AK24" i="1"/>
  <c r="AK23" i="1"/>
  <c r="AK22" i="1"/>
  <c r="AK21" i="1"/>
  <c r="AK20" i="1"/>
  <c r="AK19" i="1"/>
  <c r="AK18" i="1"/>
  <c r="AK17" i="1"/>
  <c r="AK16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1" i="19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3" i="19"/>
  <c r="A34" i="19"/>
  <c r="A35" i="19"/>
  <c r="A36" i="19"/>
  <c r="A37" i="19"/>
  <c r="A38" i="19"/>
  <c r="A39" i="19"/>
  <c r="A40" i="19"/>
  <c r="A41" i="19"/>
  <c r="A42" i="19"/>
  <c r="A43" i="19"/>
  <c r="A44" i="19"/>
  <c r="A45" i="19"/>
  <c r="A46" i="19"/>
  <c r="A47" i="19"/>
  <c r="A48" i="19"/>
  <c r="A49" i="19"/>
  <c r="A50" i="19"/>
  <c r="A51" i="19"/>
  <c r="A52" i="19"/>
  <c r="A53" i="19"/>
  <c r="A54" i="19"/>
  <c r="A55" i="19"/>
  <c r="A56" i="19"/>
  <c r="A57" i="19"/>
  <c r="A58" i="19"/>
  <c r="A59" i="19"/>
  <c r="A60" i="19"/>
  <c r="A61" i="19"/>
  <c r="A62" i="19"/>
  <c r="A63" i="19"/>
  <c r="A64" i="19"/>
  <c r="A65" i="19"/>
  <c r="A66" i="19"/>
  <c r="A67" i="19"/>
  <c r="A68" i="19"/>
  <c r="A69" i="19"/>
  <c r="A70" i="19"/>
  <c r="A71" i="19"/>
  <c r="A72" i="19"/>
  <c r="A73" i="19"/>
  <c r="A74" i="19"/>
  <c r="A75" i="19"/>
  <c r="A76" i="19"/>
  <c r="A77" i="19"/>
  <c r="A78" i="19"/>
  <c r="A79" i="19"/>
  <c r="A80" i="19"/>
  <c r="A81" i="19"/>
  <c r="A82" i="19"/>
  <c r="A83" i="19"/>
  <c r="A84" i="19"/>
  <c r="A85" i="19"/>
  <c r="A86" i="19"/>
  <c r="A87" i="19"/>
  <c r="A88" i="19"/>
  <c r="A89" i="19"/>
  <c r="A90" i="19"/>
  <c r="A91" i="19"/>
  <c r="A92" i="19"/>
  <c r="A93" i="19"/>
  <c r="A94" i="19"/>
  <c r="A95" i="19"/>
  <c r="A96" i="19"/>
  <c r="A97" i="19"/>
  <c r="A98" i="19"/>
  <c r="A99" i="19"/>
  <c r="A100" i="19"/>
  <c r="A101" i="19"/>
  <c r="A102" i="19"/>
  <c r="A103" i="19"/>
  <c r="A104" i="19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D3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AB24" i="20"/>
  <c r="AB25" i="20"/>
  <c r="AB26" i="20"/>
  <c r="AB27" i="20"/>
  <c r="AB28" i="20"/>
  <c r="AB29" i="20"/>
  <c r="AB30" i="20"/>
  <c r="Q8" i="23"/>
  <c r="P8" i="23"/>
  <c r="O8" i="23"/>
  <c r="N8" i="23"/>
  <c r="M8" i="23"/>
  <c r="K8" i="23"/>
  <c r="J8" i="23"/>
  <c r="I8" i="23"/>
  <c r="H8" i="23"/>
  <c r="E26" i="19" l="1" a="1"/>
  <c r="E26" i="19" s="1"/>
  <c r="D11" i="19" a="1"/>
  <c r="D11" i="19" s="1"/>
  <c r="E10" i="19" a="1"/>
  <c r="E10" i="19" s="1"/>
  <c r="E19" i="19" a="1"/>
  <c r="E19" i="19" s="1"/>
  <c r="D19" i="19" a="1"/>
  <c r="D19" i="19" s="1"/>
  <c r="E18" i="19" a="1"/>
  <c r="E18" i="19" s="1"/>
  <c r="E24" i="19" a="1"/>
  <c r="E24" i="19" s="1"/>
  <c r="E16" i="19" a="1"/>
  <c r="E16" i="19" s="1"/>
  <c r="E8" i="19" a="1"/>
  <c r="E8" i="19" s="1"/>
  <c r="E22" i="19" a="1"/>
  <c r="E22" i="19" s="1"/>
  <c r="E14" i="19" a="1"/>
  <c r="E14" i="19" s="1"/>
  <c r="E6" i="19" a="1"/>
  <c r="E6" i="19" s="1"/>
  <c r="E21" i="19" a="1"/>
  <c r="E21" i="19" s="1"/>
  <c r="D21" i="19" a="1"/>
  <c r="D21" i="19" s="1"/>
  <c r="C21" i="19" a="1"/>
  <c r="C21" i="19" s="1"/>
  <c r="F21" i="19" a="1"/>
  <c r="F21" i="19" s="1"/>
  <c r="D15" i="19" a="1"/>
  <c r="D15" i="19" s="1"/>
  <c r="E15" i="19" a="1"/>
  <c r="E15" i="19" s="1"/>
  <c r="C15" i="19" a="1"/>
  <c r="C15" i="19" s="1"/>
  <c r="F15" i="19" a="1"/>
  <c r="F15" i="19" s="1"/>
  <c r="E23" i="19" a="1"/>
  <c r="E23" i="19" s="1"/>
  <c r="D23" i="19" a="1"/>
  <c r="D23" i="19" s="1"/>
  <c r="C23" i="19" a="1"/>
  <c r="C23" i="19" s="1"/>
  <c r="F23" i="19" a="1"/>
  <c r="F23" i="19" s="1"/>
  <c r="D13" i="19" a="1"/>
  <c r="D13" i="19" s="1"/>
  <c r="E13" i="19" a="1"/>
  <c r="E13" i="19" s="1"/>
  <c r="C13" i="19" a="1"/>
  <c r="C13" i="19" s="1"/>
  <c r="F13" i="19" a="1"/>
  <c r="F13" i="19" s="1"/>
  <c r="D7" i="19" a="1"/>
  <c r="D7" i="19" s="1"/>
  <c r="E7" i="19" a="1"/>
  <c r="E7" i="19" s="1"/>
  <c r="C7" i="19" a="1"/>
  <c r="C7" i="19" s="1"/>
  <c r="F7" i="19" a="1"/>
  <c r="F7" i="19" s="1"/>
  <c r="F25" i="19" a="1"/>
  <c r="F25" i="19" s="1"/>
  <c r="C25" i="19" a="1"/>
  <c r="C25" i="19" s="1"/>
  <c r="F19" i="19" a="1"/>
  <c r="F19" i="19" s="1"/>
  <c r="C19" i="19" a="1"/>
  <c r="C19" i="19" s="1"/>
  <c r="F17" i="19" a="1"/>
  <c r="F17" i="19" s="1"/>
  <c r="C17" i="19" a="1"/>
  <c r="C17" i="19" s="1"/>
  <c r="F11" i="19" a="1"/>
  <c r="F11" i="19" s="1"/>
  <c r="C11" i="19" a="1"/>
  <c r="C11" i="19" s="1"/>
  <c r="F9" i="19" a="1"/>
  <c r="F9" i="19" s="1"/>
  <c r="C9" i="19" a="1"/>
  <c r="C9" i="19" s="1"/>
  <c r="D25" i="19" a="1"/>
  <c r="D25" i="19" s="1"/>
  <c r="D26" i="19" a="1"/>
  <c r="D26" i="19" s="1"/>
  <c r="D24" i="19" a="1"/>
  <c r="D24" i="19" s="1"/>
  <c r="D22" i="19" a="1"/>
  <c r="D22" i="19" s="1"/>
  <c r="D20" i="19" a="1"/>
  <c r="D20" i="19" s="1"/>
  <c r="D18" i="19" a="1"/>
  <c r="D18" i="19" s="1"/>
  <c r="E17" i="19" a="1"/>
  <c r="E17" i="19" s="1"/>
  <c r="D16" i="19" a="1"/>
  <c r="D16" i="19" s="1"/>
  <c r="D14" i="19" a="1"/>
  <c r="D14" i="19" s="1"/>
  <c r="D12" i="19" a="1"/>
  <c r="D12" i="19" s="1"/>
  <c r="D10" i="19" a="1"/>
  <c r="D10" i="19" s="1"/>
  <c r="E9" i="19" a="1"/>
  <c r="E9" i="19" s="1"/>
  <c r="D8" i="19" a="1"/>
  <c r="D8" i="19" s="1"/>
  <c r="D6" i="19" a="1"/>
  <c r="D6" i="19" s="1"/>
  <c r="E20" i="19" a="1"/>
  <c r="E20" i="19" s="1"/>
  <c r="E12" i="19" a="1"/>
  <c r="E12" i="19" s="1"/>
  <c r="F26" i="19" a="1"/>
  <c r="F26" i="19" s="1"/>
  <c r="F24" i="19" a="1"/>
  <c r="F24" i="19" s="1"/>
  <c r="F22" i="19" a="1"/>
  <c r="F22" i="19" s="1"/>
  <c r="F20" i="19" a="1"/>
  <c r="F20" i="19" s="1"/>
  <c r="F18" i="19" a="1"/>
  <c r="F18" i="19" s="1"/>
  <c r="F16" i="19" a="1"/>
  <c r="F16" i="19" s="1"/>
  <c r="F14" i="19" a="1"/>
  <c r="F14" i="19" s="1"/>
  <c r="F12" i="19" a="1"/>
  <c r="F12" i="19" s="1"/>
  <c r="F10" i="19" a="1"/>
  <c r="F10" i="19" s="1"/>
  <c r="F8" i="19" a="1"/>
  <c r="F8" i="19" s="1"/>
  <c r="F6" i="19" a="1"/>
  <c r="F6" i="19" s="1"/>
  <c r="AI6" i="1"/>
  <c r="AJ6" i="1"/>
  <c r="AI57" i="1" l="1"/>
  <c r="AJ57" i="1"/>
  <c r="F8" i="20"/>
  <c r="E8" i="20"/>
  <c r="AC32" i="23"/>
  <c r="AB32" i="23"/>
  <c r="AC31" i="23"/>
  <c r="AB31" i="23"/>
  <c r="AC30" i="23"/>
  <c r="AB30" i="23"/>
  <c r="AD29" i="23"/>
  <c r="AC29" i="23"/>
  <c r="AB29" i="23"/>
  <c r="AD28" i="23"/>
  <c r="AC28" i="23"/>
  <c r="AB28" i="23"/>
  <c r="AD27" i="23"/>
  <c r="AC27" i="23"/>
  <c r="AB27" i="23"/>
  <c r="AD26" i="23"/>
  <c r="AC26" i="23"/>
  <c r="AB26" i="23"/>
  <c r="AD25" i="23"/>
  <c r="AC25" i="23"/>
  <c r="AB25" i="23"/>
  <c r="AC24" i="23"/>
  <c r="AB24" i="23"/>
  <c r="AC23" i="23"/>
  <c r="AB23" i="23"/>
  <c r="AC22" i="23"/>
  <c r="AB22" i="23"/>
  <c r="AC21" i="23"/>
  <c r="AB21" i="23"/>
  <c r="AC20" i="23"/>
  <c r="AB20" i="23"/>
  <c r="AC19" i="23"/>
  <c r="AB19" i="23"/>
  <c r="AC18" i="23"/>
  <c r="AB18" i="23"/>
  <c r="AC17" i="23"/>
  <c r="AB17" i="23"/>
  <c r="AC16" i="23"/>
  <c r="AB16" i="23"/>
  <c r="AC15" i="23"/>
  <c r="AB15" i="23"/>
  <c r="AC14" i="23"/>
  <c r="AB14" i="23"/>
  <c r="AC13" i="23"/>
  <c r="AB13" i="23"/>
  <c r="AC12" i="23"/>
  <c r="AB12" i="23"/>
  <c r="Q9" i="23"/>
  <c r="P9" i="23"/>
  <c r="O9" i="23"/>
  <c r="N9" i="23"/>
  <c r="M9" i="23"/>
  <c r="K9" i="23"/>
  <c r="J9" i="23"/>
  <c r="I9" i="23"/>
  <c r="H9" i="23"/>
  <c r="U8" i="23" s="1"/>
  <c r="F8" i="23"/>
  <c r="E8" i="23"/>
  <c r="Q7" i="23"/>
  <c r="P7" i="23"/>
  <c r="O7" i="23"/>
  <c r="N7" i="23"/>
  <c r="M7" i="23"/>
  <c r="K7" i="23"/>
  <c r="J7" i="23"/>
  <c r="I7" i="23"/>
  <c r="H7" i="23"/>
  <c r="Q6" i="23"/>
  <c r="P6" i="23"/>
  <c r="O6" i="23"/>
  <c r="N6" i="23"/>
  <c r="M6" i="23"/>
  <c r="K6" i="23"/>
  <c r="J6" i="23"/>
  <c r="I6" i="23"/>
  <c r="H6" i="23"/>
  <c r="D5" i="23"/>
  <c r="AI7" i="1"/>
  <c r="AJ7" i="1"/>
  <c r="C51" i="18"/>
  <c r="C52" i="18" s="1"/>
  <c r="C53" i="18" s="1"/>
  <c r="C54" i="18" s="1"/>
  <c r="C55" i="18" s="1"/>
  <c r="C56" i="18" s="1"/>
  <c r="C57" i="18" s="1"/>
  <c r="C58" i="18" s="1"/>
  <c r="C59" i="18" s="1"/>
  <c r="C60" i="18" s="1"/>
  <c r="C61" i="18" s="1"/>
  <c r="C62" i="18" s="1"/>
  <c r="C63" i="18" s="1"/>
  <c r="C64" i="18" s="1"/>
  <c r="C67" i="18"/>
  <c r="C28" i="18"/>
  <c r="C27" i="18"/>
  <c r="C29" i="18"/>
  <c r="C30" i="18"/>
  <c r="C31" i="18"/>
  <c r="C32" i="18"/>
  <c r="C33" i="18"/>
  <c r="C34" i="18"/>
  <c r="C35" i="18"/>
  <c r="C36" i="18"/>
  <c r="C37" i="18"/>
  <c r="C38" i="18"/>
  <c r="AB12" i="20" l="1"/>
  <c r="AB13" i="20"/>
  <c r="AB14" i="20"/>
  <c r="AB15" i="20"/>
  <c r="AB16" i="20"/>
  <c r="AB17" i="20"/>
  <c r="AB18" i="20"/>
  <c r="AB19" i="20"/>
  <c r="AB20" i="20"/>
  <c r="AB21" i="20"/>
  <c r="AB22" i="20"/>
  <c r="AB23" i="20"/>
  <c r="AC19" i="20" l="1"/>
  <c r="AC20" i="20"/>
  <c r="AC21" i="20"/>
  <c r="AC22" i="20"/>
  <c r="AC23" i="20"/>
  <c r="AC24" i="20"/>
  <c r="AC25" i="20"/>
  <c r="AC26" i="20"/>
  <c r="AD26" i="20" l="1"/>
  <c r="AD25" i="20"/>
  <c r="AC13" i="20"/>
  <c r="AC14" i="20"/>
  <c r="AC15" i="20"/>
  <c r="AC16" i="20"/>
  <c r="AC17" i="20"/>
  <c r="AC18" i="20"/>
  <c r="AC12" i="20"/>
  <c r="AI11" i="1" l="1"/>
  <c r="AJ11" i="1"/>
  <c r="AI27" i="1"/>
  <c r="AJ27" i="1"/>
  <c r="AI12" i="1"/>
  <c r="AJ12" i="1"/>
  <c r="AI13" i="1"/>
  <c r="AJ13" i="1"/>
  <c r="AI58" i="1"/>
  <c r="AJ58" i="1"/>
  <c r="AI35" i="1"/>
  <c r="AJ35" i="1"/>
  <c r="AI9" i="1"/>
  <c r="AJ9" i="1"/>
  <c r="AI63" i="1"/>
  <c r="AJ63" i="1"/>
  <c r="AI64" i="1"/>
  <c r="AJ64" i="1"/>
  <c r="AI65" i="1"/>
  <c r="AJ65" i="1"/>
  <c r="AI66" i="1"/>
  <c r="AJ66" i="1"/>
  <c r="AI67" i="1"/>
  <c r="AJ67" i="1"/>
  <c r="AI71" i="1"/>
  <c r="AJ71" i="1"/>
  <c r="AI72" i="1"/>
  <c r="AJ72" i="1"/>
  <c r="AI73" i="1"/>
  <c r="AJ73" i="1"/>
  <c r="AI74" i="1"/>
  <c r="AJ74" i="1"/>
  <c r="AI75" i="1"/>
  <c r="AJ75" i="1"/>
  <c r="AI76" i="1"/>
  <c r="AJ76" i="1"/>
  <c r="AI77" i="1"/>
  <c r="AJ77" i="1"/>
  <c r="AI78" i="1"/>
  <c r="AJ78" i="1"/>
  <c r="AI79" i="1"/>
  <c r="AJ79" i="1"/>
  <c r="AI80" i="1"/>
  <c r="AJ80" i="1"/>
  <c r="AI81" i="1"/>
  <c r="AJ81" i="1"/>
  <c r="AI82" i="1"/>
  <c r="AJ82" i="1"/>
  <c r="AI83" i="1"/>
  <c r="AJ83" i="1"/>
  <c r="AI84" i="1"/>
  <c r="AJ84" i="1"/>
  <c r="AI85" i="1"/>
  <c r="AJ85" i="1"/>
  <c r="AI86" i="1"/>
  <c r="AJ86" i="1"/>
  <c r="AI87" i="1"/>
  <c r="AJ87" i="1"/>
  <c r="AI88" i="1"/>
  <c r="AJ88" i="1"/>
  <c r="AI89" i="1"/>
  <c r="AJ89" i="1"/>
  <c r="AI90" i="1"/>
  <c r="AJ90" i="1"/>
  <c r="AI91" i="1"/>
  <c r="AJ91" i="1"/>
  <c r="AI92" i="1"/>
  <c r="AJ92" i="1"/>
  <c r="AI93" i="1"/>
  <c r="AJ93" i="1"/>
  <c r="AI94" i="1"/>
  <c r="AJ94" i="1"/>
  <c r="AI95" i="1"/>
  <c r="AJ95" i="1"/>
  <c r="AI17" i="1"/>
  <c r="AJ17" i="1"/>
  <c r="AI30" i="1"/>
  <c r="AJ30" i="1"/>
  <c r="AI38" i="1"/>
  <c r="AJ38" i="1"/>
  <c r="AI4" i="1"/>
  <c r="AJ4" i="1"/>
  <c r="AI42" i="1"/>
  <c r="AJ42" i="1"/>
  <c r="AI56" i="1"/>
  <c r="AJ56" i="1"/>
  <c r="AI46" i="1"/>
  <c r="AJ46" i="1"/>
  <c r="AI48" i="1"/>
  <c r="AJ48" i="1"/>
  <c r="AI33" i="1"/>
  <c r="AJ33" i="1"/>
  <c r="AI49" i="1"/>
  <c r="AJ49" i="1"/>
  <c r="AI50" i="1"/>
  <c r="AJ50" i="1"/>
  <c r="AI53" i="1"/>
  <c r="AJ53" i="1"/>
  <c r="AI51" i="1"/>
  <c r="AJ51" i="1"/>
  <c r="AI52" i="1"/>
  <c r="AJ52" i="1"/>
  <c r="AI54" i="1"/>
  <c r="AJ54" i="1"/>
  <c r="Q7" i="20"/>
  <c r="N6" i="20"/>
  <c r="H7" i="20"/>
  <c r="AI23" i="1"/>
  <c r="AJ23" i="1"/>
  <c r="Q6" i="20"/>
  <c r="P7" i="20"/>
  <c r="P6" i="20"/>
  <c r="O7" i="20"/>
  <c r="O6" i="20"/>
  <c r="N7" i="20"/>
  <c r="M7" i="20"/>
  <c r="M6" i="20"/>
  <c r="K7" i="20"/>
  <c r="K6" i="20"/>
  <c r="J7" i="20"/>
  <c r="I7" i="20"/>
  <c r="I6" i="20"/>
  <c r="H6" i="20"/>
  <c r="J6" i="20" l="1"/>
  <c r="D5" i="20"/>
  <c r="AJ19" i="1"/>
  <c r="AI19" i="1"/>
  <c r="AJ29" i="1"/>
  <c r="AI29" i="1"/>
  <c r="AJ45" i="1"/>
  <c r="AI45" i="1"/>
  <c r="AJ21" i="1"/>
  <c r="AI21" i="1"/>
  <c r="AI8" i="1"/>
  <c r="AJ8" i="1"/>
  <c r="AI32" i="1"/>
  <c r="AJ32" i="1"/>
  <c r="Q9" i="20"/>
  <c r="Q8" i="20"/>
  <c r="P9" i="20"/>
  <c r="P8" i="20"/>
  <c r="O9" i="20"/>
  <c r="O8" i="20"/>
  <c r="N9" i="20"/>
  <c r="N8" i="20"/>
  <c r="M9" i="20"/>
  <c r="M8" i="20"/>
  <c r="K9" i="20"/>
  <c r="K8" i="20"/>
  <c r="J9" i="20"/>
  <c r="J8" i="20"/>
  <c r="I9" i="20"/>
  <c r="I8" i="20"/>
  <c r="H9" i="20"/>
  <c r="H8" i="20"/>
  <c r="U8" i="20" l="1"/>
  <c r="C78" i="18"/>
  <c r="C77" i="18"/>
  <c r="C76" i="18"/>
  <c r="C75" i="18"/>
  <c r="C74" i="18"/>
  <c r="C73" i="18"/>
  <c r="C72" i="18"/>
  <c r="C71" i="18"/>
  <c r="C70" i="18"/>
  <c r="C69" i="18"/>
  <c r="C68" i="18"/>
  <c r="C49" i="18"/>
  <c r="C48" i="18"/>
  <c r="C46" i="18"/>
  <c r="C44" i="18"/>
  <c r="C11" i="18"/>
  <c r="C12" i="18" s="1"/>
  <c r="C13" i="18" s="1"/>
  <c r="C14" i="18" s="1"/>
  <c r="C15" i="18" s="1"/>
  <c r="C16" i="18" s="1"/>
  <c r="C17" i="18" s="1"/>
  <c r="C18" i="18" s="1"/>
  <c r="C19" i="18" s="1"/>
  <c r="C20" i="18" s="1"/>
  <c r="C21" i="18" s="1"/>
  <c r="C22" i="18" s="1"/>
  <c r="C23" i="18" s="1"/>
  <c r="C24" i="18" s="1"/>
  <c r="C9" i="18"/>
  <c r="C8" i="18"/>
  <c r="C6" i="18"/>
  <c r="C4" i="18"/>
  <c r="G11" i="3"/>
  <c r="G10" i="3"/>
  <c r="G9" i="3"/>
  <c r="G8" i="3"/>
  <c r="G7" i="3"/>
  <c r="G5" i="3"/>
  <c r="H5" i="3" s="1"/>
  <c r="I5" i="3" s="1"/>
  <c r="G4" i="3"/>
  <c r="H4" i="3" s="1"/>
  <c r="I4" i="3" s="1"/>
  <c r="G3" i="3"/>
  <c r="H3" i="3" s="1"/>
  <c r="I3" i="3" s="1"/>
  <c r="J3" i="3" s="1"/>
  <c r="G2" i="3"/>
  <c r="M7" i="1" l="1"/>
  <c r="AK7" i="1" s="1"/>
  <c r="M11" i="1"/>
  <c r="AK11" i="1" s="1"/>
  <c r="M15" i="1"/>
  <c r="AK15" i="1" s="1"/>
  <c r="M12" i="1"/>
  <c r="AK12" i="1" s="1"/>
  <c r="M8" i="1"/>
  <c r="AK8" i="1" s="1"/>
  <c r="M4" i="1"/>
  <c r="AK4" i="1" s="1"/>
  <c r="M9" i="1"/>
  <c r="AK9" i="1" s="1"/>
  <c r="M13" i="1"/>
  <c r="AK13" i="1" s="1"/>
  <c r="M6" i="1"/>
  <c r="AK6" i="1" s="1"/>
  <c r="M10" i="1"/>
  <c r="AK10" i="1" s="1"/>
  <c r="M14" i="1"/>
  <c r="AK14" i="1" s="1"/>
  <c r="M5" i="1"/>
  <c r="AK5" i="1" s="1"/>
  <c r="A5" i="1" s="1"/>
  <c r="A14" i="1" l="1"/>
  <c r="A9" i="1"/>
  <c r="A10" i="1"/>
  <c r="A4" i="1"/>
  <c r="A11" i="1"/>
  <c r="A13" i="1"/>
  <c r="A12" i="1"/>
  <c r="A15" i="1"/>
  <c r="A6" i="1"/>
  <c r="A8" i="1"/>
  <c r="A7" i="1"/>
  <c r="BF1" i="19"/>
  <c r="AI1" i="19"/>
  <c r="D12" i="3"/>
  <c r="H12" i="3"/>
  <c r="I12" i="3" s="1"/>
  <c r="BK11" i="19" l="1"/>
  <c r="BK12" i="19"/>
  <c r="BK13" i="19"/>
  <c r="BK14" i="19"/>
  <c r="BK15" i="19"/>
  <c r="BK16" i="19"/>
  <c r="BK17" i="19"/>
  <c r="BK18" i="19"/>
  <c r="BK19" i="19"/>
  <c r="BK20" i="19"/>
  <c r="BK21" i="19"/>
  <c r="BK22" i="19"/>
  <c r="BK23" i="19"/>
  <c r="BK24" i="19"/>
  <c r="BK25" i="19"/>
  <c r="BK26" i="19"/>
  <c r="BK27" i="19"/>
  <c r="BK28" i="19"/>
  <c r="BK29" i="19"/>
  <c r="BK30" i="19"/>
  <c r="BK31" i="19"/>
  <c r="BK32" i="19"/>
  <c r="BK33" i="19"/>
  <c r="BK34" i="19"/>
  <c r="BK35" i="19"/>
  <c r="BK36" i="19"/>
  <c r="BK37" i="19"/>
  <c r="BK38" i="19"/>
  <c r="BK39" i="19"/>
  <c r="BK40" i="19"/>
  <c r="BK41" i="19"/>
  <c r="BK42" i="19"/>
  <c r="BK43" i="19"/>
  <c r="BK44" i="19"/>
  <c r="BK45" i="19"/>
  <c r="BK46" i="19"/>
  <c r="BK47" i="19"/>
  <c r="BK48" i="19"/>
  <c r="BK49" i="19"/>
  <c r="BK50" i="19"/>
  <c r="BK51" i="19"/>
  <c r="BK52" i="19"/>
  <c r="BK53" i="19"/>
  <c r="BK54" i="19"/>
  <c r="BK55" i="19"/>
  <c r="BK56" i="19"/>
  <c r="BK57" i="19"/>
  <c r="BK58" i="19"/>
  <c r="BK59" i="19"/>
  <c r="BK60" i="19"/>
  <c r="BK61" i="19"/>
  <c r="BK62" i="19"/>
  <c r="BK63" i="19"/>
  <c r="BK64" i="19"/>
  <c r="BK65" i="19"/>
  <c r="BK66" i="19"/>
  <c r="BK67" i="19"/>
  <c r="BK68" i="19"/>
  <c r="BK69" i="19"/>
  <c r="BK70" i="19"/>
  <c r="BK71" i="19"/>
  <c r="BK72" i="19"/>
  <c r="BK73" i="19"/>
  <c r="BK74" i="19"/>
  <c r="BK75" i="19"/>
  <c r="BK76" i="19"/>
  <c r="BK77" i="19"/>
  <c r="BK78" i="19"/>
  <c r="BK79" i="19"/>
  <c r="BK80" i="19"/>
  <c r="BK81" i="19"/>
  <c r="BK82" i="19"/>
  <c r="BK83" i="19"/>
  <c r="BK84" i="19"/>
  <c r="BK85" i="19"/>
  <c r="BK86" i="19"/>
  <c r="BK87" i="19"/>
  <c r="BK88" i="19"/>
  <c r="BK89" i="19"/>
  <c r="BK90" i="19"/>
  <c r="BK91" i="19"/>
  <c r="BK92" i="19"/>
  <c r="BK93" i="19"/>
  <c r="BK94" i="19"/>
  <c r="BK95" i="19"/>
  <c r="BK96" i="19"/>
  <c r="BK97" i="19"/>
  <c r="BK98" i="19"/>
  <c r="BK99" i="19"/>
  <c r="BK100" i="19"/>
  <c r="BK101" i="19"/>
  <c r="BK102" i="19"/>
  <c r="BK103" i="19"/>
  <c r="H10" i="19" l="1"/>
  <c r="M10" i="19"/>
  <c r="T10" i="19"/>
  <c r="Y10" i="19"/>
  <c r="I10" i="19"/>
  <c r="N10" i="19"/>
  <c r="U10" i="19"/>
  <c r="BE10" i="19"/>
  <c r="J10" i="19"/>
  <c r="Q10" i="19"/>
  <c r="V10" i="19"/>
  <c r="L10" i="19"/>
  <c r="R10" i="19"/>
  <c r="X10" i="19"/>
  <c r="O10" i="19"/>
  <c r="S10" i="19"/>
  <c r="K10" i="19"/>
  <c r="G10" i="19"/>
  <c r="W10" i="19"/>
  <c r="H9" i="19"/>
  <c r="L9" i="19"/>
  <c r="T9" i="19"/>
  <c r="X9" i="19"/>
  <c r="I9" i="19"/>
  <c r="M9" i="19"/>
  <c r="Q9" i="19"/>
  <c r="U9" i="19"/>
  <c r="Y9" i="19"/>
  <c r="J9" i="19"/>
  <c r="N9" i="19"/>
  <c r="R9" i="19"/>
  <c r="V9" i="19"/>
  <c r="BE9" i="19"/>
  <c r="G9" i="19"/>
  <c r="K9" i="19"/>
  <c r="O9" i="19"/>
  <c r="S9" i="19"/>
  <c r="W9" i="19"/>
  <c r="I8" i="19"/>
  <c r="H8" i="19"/>
  <c r="N8" i="19"/>
  <c r="T8" i="19"/>
  <c r="J8" i="19"/>
  <c r="O8" i="19"/>
  <c r="V8" i="19"/>
  <c r="K8" i="19"/>
  <c r="R8" i="19"/>
  <c r="W8" i="19"/>
  <c r="G8" i="19"/>
  <c r="L8" i="19"/>
  <c r="S8" i="19"/>
  <c r="X8" i="19"/>
  <c r="BE8" i="19"/>
  <c r="M8" i="19"/>
  <c r="Y8" i="19"/>
  <c r="Q8" i="19"/>
  <c r="U8" i="19"/>
  <c r="F5" i="19" a="1"/>
  <c r="F5" i="19" s="1"/>
  <c r="D5" i="19" a="1"/>
  <c r="D5" i="19" s="1"/>
  <c r="E5" i="19" a="1"/>
  <c r="E5" i="19" s="1"/>
  <c r="G6" i="19"/>
  <c r="I6" i="19"/>
  <c r="N6" i="19"/>
  <c r="U6" i="19"/>
  <c r="BE6" i="19"/>
  <c r="J6" i="19"/>
  <c r="Q6" i="19"/>
  <c r="V6" i="19"/>
  <c r="L6" i="19"/>
  <c r="R6" i="19"/>
  <c r="X6" i="19"/>
  <c r="M6" i="19"/>
  <c r="T6" i="19"/>
  <c r="Y6" i="19"/>
  <c r="O6" i="19"/>
  <c r="K6" i="19"/>
  <c r="H6" i="19"/>
  <c r="W6" i="19"/>
  <c r="S6" i="19"/>
  <c r="J7" i="19"/>
  <c r="N7" i="19"/>
  <c r="V7" i="19"/>
  <c r="O7" i="19"/>
  <c r="L7" i="19"/>
  <c r="M7" i="19"/>
  <c r="BE7" i="19"/>
  <c r="H7" i="19"/>
  <c r="I7" i="19"/>
  <c r="S7" i="19"/>
  <c r="T7" i="19"/>
  <c r="Q7" i="19"/>
  <c r="R7" i="19"/>
  <c r="K7" i="19"/>
  <c r="Y7" i="19"/>
  <c r="G7" i="19"/>
  <c r="W7" i="19"/>
  <c r="X7" i="19"/>
  <c r="U7" i="19"/>
  <c r="AI39" i="1"/>
  <c r="AJ39" i="1"/>
  <c r="AI37" i="1"/>
  <c r="AJ37" i="1"/>
  <c r="AI36" i="1"/>
  <c r="AJ36" i="1"/>
  <c r="AI25" i="1"/>
  <c r="AJ25" i="1"/>
  <c r="AI24" i="1"/>
  <c r="AJ24" i="1"/>
  <c r="AI28" i="1"/>
  <c r="AJ28" i="1"/>
  <c r="AI96" i="1"/>
  <c r="AJ96" i="1"/>
  <c r="AI97" i="1"/>
  <c r="AJ97" i="1"/>
  <c r="AI98" i="1"/>
  <c r="AJ98" i="1"/>
  <c r="AI31" i="1"/>
  <c r="AJ31" i="1"/>
  <c r="AI99" i="1"/>
  <c r="AJ99" i="1"/>
  <c r="AI100" i="1"/>
  <c r="AJ100" i="1"/>
  <c r="AI101" i="1"/>
  <c r="AJ101" i="1"/>
  <c r="AI102" i="1"/>
  <c r="AJ102" i="1"/>
  <c r="AI103" i="1"/>
  <c r="AJ103" i="1"/>
  <c r="AI104" i="1"/>
  <c r="AJ104" i="1"/>
  <c r="AI34" i="1"/>
  <c r="AJ34" i="1"/>
  <c r="AI105" i="1"/>
  <c r="AJ105" i="1"/>
  <c r="AI106" i="1"/>
  <c r="AJ106" i="1"/>
  <c r="AI108" i="1"/>
  <c r="AJ108" i="1"/>
  <c r="AI109" i="1"/>
  <c r="AJ109" i="1"/>
  <c r="D6" i="3"/>
  <c r="AI47" i="1"/>
  <c r="AJ47" i="1"/>
  <c r="AI41" i="1"/>
  <c r="AJ41" i="1"/>
  <c r="AI26" i="1"/>
  <c r="AJ26" i="1"/>
  <c r="AI62" i="1"/>
  <c r="AJ62" i="1"/>
  <c r="AI10" i="1"/>
  <c r="AJ10" i="1"/>
  <c r="AI60" i="1"/>
  <c r="AJ60" i="1"/>
  <c r="AI22" i="1"/>
  <c r="AJ22" i="1"/>
  <c r="AI40" i="1"/>
  <c r="AJ40" i="1"/>
  <c r="AI16" i="1"/>
  <c r="AJ16" i="1"/>
  <c r="AI15" i="1"/>
  <c r="AJ15" i="1"/>
  <c r="AI61" i="1"/>
  <c r="AJ61" i="1"/>
  <c r="AI44" i="1"/>
  <c r="AJ44" i="1"/>
  <c r="AI59" i="1"/>
  <c r="AJ59" i="1"/>
  <c r="AI70" i="1"/>
  <c r="AJ70" i="1"/>
  <c r="AI69" i="1"/>
  <c r="AJ69" i="1"/>
  <c r="AI55" i="1"/>
  <c r="AJ55" i="1"/>
  <c r="AI20" i="1"/>
  <c r="AJ20" i="1"/>
  <c r="AI43" i="1"/>
  <c r="AJ43" i="1"/>
  <c r="AI18" i="1"/>
  <c r="AJ18" i="1"/>
  <c r="AI5" i="1"/>
  <c r="AJ5" i="1"/>
  <c r="AI14" i="1"/>
  <c r="AJ14" i="1"/>
  <c r="AI68" i="1"/>
  <c r="AJ68" i="1"/>
  <c r="P7" i="19" l="1"/>
  <c r="P8" i="19"/>
  <c r="P9" i="19"/>
  <c r="P10" i="19"/>
  <c r="AP7" i="19"/>
  <c r="AX7" i="19"/>
  <c r="AJ8" i="19"/>
  <c r="AS8" i="19"/>
  <c r="Z8" i="19"/>
  <c r="AQ8" i="19"/>
  <c r="AY8" i="19"/>
  <c r="AP8" i="19"/>
  <c r="AX8" i="19"/>
  <c r="Z7" i="19"/>
  <c r="AJ7" i="19"/>
  <c r="AS7" i="19"/>
  <c r="AQ6" i="19"/>
  <c r="AY6" i="19"/>
  <c r="Z6" i="19"/>
  <c r="AR8" i="19"/>
  <c r="AZ8" i="19"/>
  <c r="BA8" i="19"/>
  <c r="AU8" i="19"/>
  <c r="AL8" i="19"/>
  <c r="AK8" i="19"/>
  <c r="AT8" i="19"/>
  <c r="AP10" i="19"/>
  <c r="AX10" i="19"/>
  <c r="BB7" i="19"/>
  <c r="AM7" i="19"/>
  <c r="BH7" i="19"/>
  <c r="BG7" i="19"/>
  <c r="AP6" i="19"/>
  <c r="AX6" i="19"/>
  <c r="U5" i="19"/>
  <c r="N5" i="19"/>
  <c r="K5" i="19"/>
  <c r="T5" i="19"/>
  <c r="I5" i="19"/>
  <c r="Y5" i="19"/>
  <c r="R5" i="19"/>
  <c r="O5" i="19"/>
  <c r="H5" i="19"/>
  <c r="M5" i="19"/>
  <c r="BE5" i="19"/>
  <c r="V5" i="19"/>
  <c r="S5" i="19"/>
  <c r="X5" i="19"/>
  <c r="Q5" i="19"/>
  <c r="J5" i="19"/>
  <c r="G5" i="19"/>
  <c r="W5" i="19"/>
  <c r="L5" i="19"/>
  <c r="BB8" i="19"/>
  <c r="AM8" i="19"/>
  <c r="AP9" i="19"/>
  <c r="AX9" i="19"/>
  <c r="Z9" i="19"/>
  <c r="Z10" i="19"/>
  <c r="AQ7" i="19"/>
  <c r="AY7" i="19"/>
  <c r="P6" i="19"/>
  <c r="AV8" i="19"/>
  <c r="AN8" i="19"/>
  <c r="BG9" i="19"/>
  <c r="BH9" i="19"/>
  <c r="BK106" i="19"/>
  <c r="BK105" i="19"/>
  <c r="J5" i="3"/>
  <c r="Y1" i="19"/>
  <c r="X1" i="19"/>
  <c r="W1" i="19"/>
  <c r="V1" i="19"/>
  <c r="U1" i="19"/>
  <c r="T1" i="19"/>
  <c r="S1" i="19"/>
  <c r="R1" i="19"/>
  <c r="Q1" i="19"/>
  <c r="AH1" i="19"/>
  <c r="AG1" i="19"/>
  <c r="AF1" i="19"/>
  <c r="AE1" i="19"/>
  <c r="AD1" i="19"/>
  <c r="AC1" i="19"/>
  <c r="AB1" i="19"/>
  <c r="AA1" i="19"/>
  <c r="O1" i="19"/>
  <c r="N1" i="19"/>
  <c r="M1" i="19"/>
  <c r="L1" i="19"/>
  <c r="K1" i="19"/>
  <c r="J1" i="19"/>
  <c r="I1" i="19"/>
  <c r="H1" i="19"/>
  <c r="G1" i="19"/>
  <c r="Z5" i="19" l="1"/>
  <c r="AA5" i="19"/>
  <c r="AA6" i="19" s="1"/>
  <c r="AA7" i="19" s="1"/>
  <c r="AA8" i="19" s="1"/>
  <c r="AA9" i="19" s="1"/>
  <c r="AA10" i="19" s="1"/>
  <c r="AB5" i="19"/>
  <c r="AB6" i="19" s="1"/>
  <c r="AB7" i="19" s="1"/>
  <c r="AB8" i="19" s="1"/>
  <c r="AB9" i="19" s="1"/>
  <c r="AB10" i="19" s="1"/>
  <c r="AG5" i="19"/>
  <c r="AG6" i="19" s="1"/>
  <c r="AG7" i="19" s="1"/>
  <c r="AG8" i="19" s="1"/>
  <c r="AG9" i="19" s="1"/>
  <c r="AG10" i="19" s="1"/>
  <c r="AP5" i="19"/>
  <c r="AX5" i="19"/>
  <c r="AH5" i="19"/>
  <c r="AH6" i="19" s="1"/>
  <c r="AH7" i="19" s="1"/>
  <c r="AH8" i="19" s="1"/>
  <c r="AH9" i="19" s="1"/>
  <c r="AH10" i="19" s="1"/>
  <c r="AQ5" i="19"/>
  <c r="AY5" i="19"/>
  <c r="AI5" i="19"/>
  <c r="AI6" i="19" s="1"/>
  <c r="AI7" i="19" s="1"/>
  <c r="AI8" i="19" s="1"/>
  <c r="AI9" i="19" s="1"/>
  <c r="AI10" i="19" s="1"/>
  <c r="AW5" i="19"/>
  <c r="AF5" i="19"/>
  <c r="AF6" i="19" s="1"/>
  <c r="AF7" i="19" s="1"/>
  <c r="AF8" i="19" s="1"/>
  <c r="AF9" i="19" s="1"/>
  <c r="AF10" i="19" s="1"/>
  <c r="AO5" i="19"/>
  <c r="BB5" i="19"/>
  <c r="AM5" i="19"/>
  <c r="AD5" i="19"/>
  <c r="AD6" i="19" s="1"/>
  <c r="AD7" i="19" s="1"/>
  <c r="AD8" i="19" s="1"/>
  <c r="AD9" i="19" s="1"/>
  <c r="AD10" i="19" s="1"/>
  <c r="BF5" i="19"/>
  <c r="BF6" i="19" s="1"/>
  <c r="BF7" i="19" s="1"/>
  <c r="BF8" i="19" s="1"/>
  <c r="BF9" i="19" s="1"/>
  <c r="BF10" i="19" s="1"/>
  <c r="BH5" i="19"/>
  <c r="BG5" i="19"/>
  <c r="P5" i="19"/>
  <c r="BA5" i="19"/>
  <c r="AL5" i="19"/>
  <c r="AU5" i="19"/>
  <c r="AC5" i="19"/>
  <c r="AV5" i="19"/>
  <c r="AE5" i="19"/>
  <c r="AE6" i="19" s="1"/>
  <c r="AE7" i="19" s="1"/>
  <c r="AE8" i="19" s="1"/>
  <c r="AE9" i="19" s="1"/>
  <c r="AE10" i="19" s="1"/>
  <c r="AN5" i="19"/>
  <c r="J4" i="3"/>
  <c r="BJ5" i="19" l="1"/>
  <c r="AC6" i="19"/>
  <c r="BL5" i="19"/>
  <c r="BM5" i="19" s="1"/>
  <c r="BN5" i="19" s="1"/>
  <c r="H2" i="3"/>
  <c r="I2" i="3" s="1"/>
  <c r="J2" i="3" s="1"/>
  <c r="AC7" i="19" l="1"/>
  <c r="BJ6" i="19"/>
  <c r="BL6" i="19"/>
  <c r="BM6" i="19" s="1"/>
  <c r="E93" i="19"/>
  <c r="F93" i="19"/>
  <c r="BE93" i="19" s="1"/>
  <c r="C93" i="19"/>
  <c r="D93" i="19"/>
  <c r="D73" i="19"/>
  <c r="C73" i="19"/>
  <c r="E73" i="19"/>
  <c r="F73" i="19"/>
  <c r="BE73" i="19" s="1"/>
  <c r="C48" i="19"/>
  <c r="D48" i="19"/>
  <c r="F48" i="19"/>
  <c r="BE48" i="19" s="1"/>
  <c r="E48" i="19"/>
  <c r="D27" i="19"/>
  <c r="E27" i="19"/>
  <c r="C27" i="19"/>
  <c r="F27" i="19"/>
  <c r="BE27" i="19" s="1"/>
  <c r="E91" i="19"/>
  <c r="D91" i="19"/>
  <c r="F91" i="19"/>
  <c r="BE91" i="19" s="1"/>
  <c r="C91" i="19"/>
  <c r="E72" i="19"/>
  <c r="F72" i="19"/>
  <c r="BE72" i="19" s="1"/>
  <c r="C72" i="19"/>
  <c r="D72" i="19"/>
  <c r="D57" i="19"/>
  <c r="F57" i="19"/>
  <c r="BE57" i="19" s="1"/>
  <c r="C57" i="19"/>
  <c r="E57" i="19"/>
  <c r="F47" i="19"/>
  <c r="BE47" i="19" s="1"/>
  <c r="E47" i="19"/>
  <c r="C47" i="19"/>
  <c r="D47" i="19"/>
  <c r="C32" i="19"/>
  <c r="F32" i="19"/>
  <c r="BE32" i="19" s="1"/>
  <c r="E32" i="19"/>
  <c r="D32" i="19"/>
  <c r="BE15" i="19"/>
  <c r="E98" i="19"/>
  <c r="C98" i="19"/>
  <c r="D98" i="19"/>
  <c r="F98" i="19"/>
  <c r="BE98" i="19" s="1"/>
  <c r="E88" i="19"/>
  <c r="F88" i="19"/>
  <c r="BE88" i="19" s="1"/>
  <c r="D88" i="19"/>
  <c r="C88" i="19"/>
  <c r="C80" i="19"/>
  <c r="E80" i="19"/>
  <c r="F80" i="19"/>
  <c r="BE80" i="19" s="1"/>
  <c r="D80" i="19"/>
  <c r="F68" i="19"/>
  <c r="BE68" i="19" s="1"/>
  <c r="D68" i="19"/>
  <c r="C68" i="19"/>
  <c r="E68" i="19"/>
  <c r="E58" i="19"/>
  <c r="F58" i="19"/>
  <c r="BE58" i="19" s="1"/>
  <c r="C58" i="19"/>
  <c r="D58" i="19"/>
  <c r="D44" i="19"/>
  <c r="F44" i="19"/>
  <c r="BE44" i="19" s="1"/>
  <c r="C44" i="19"/>
  <c r="E44" i="19"/>
  <c r="F31" i="19"/>
  <c r="BE31" i="19" s="1"/>
  <c r="D31" i="19"/>
  <c r="E31" i="19"/>
  <c r="C31" i="19"/>
  <c r="BE16" i="19"/>
  <c r="E94" i="19"/>
  <c r="C94" i="19"/>
  <c r="D94" i="19"/>
  <c r="F94" i="19"/>
  <c r="BE94" i="19" s="1"/>
  <c r="D70" i="19"/>
  <c r="E70" i="19"/>
  <c r="C70" i="19"/>
  <c r="F70" i="19"/>
  <c r="BE70" i="19" s="1"/>
  <c r="E49" i="19"/>
  <c r="F49" i="19"/>
  <c r="BE49" i="19" s="1"/>
  <c r="C49" i="19"/>
  <c r="D49" i="19"/>
  <c r="C34" i="19"/>
  <c r="D34" i="19"/>
  <c r="F34" i="19"/>
  <c r="BE34" i="19" s="1"/>
  <c r="E34" i="19"/>
  <c r="BE19" i="19"/>
  <c r="E85" i="19"/>
  <c r="F85" i="19"/>
  <c r="BE85" i="19" s="1"/>
  <c r="C85" i="19"/>
  <c r="D85" i="19"/>
  <c r="E60" i="19"/>
  <c r="F60" i="19"/>
  <c r="BE60" i="19" s="1"/>
  <c r="C60" i="19"/>
  <c r="D60" i="19"/>
  <c r="F40" i="19"/>
  <c r="BE40" i="19" s="1"/>
  <c r="D40" i="19"/>
  <c r="C40" i="19"/>
  <c r="E40" i="19"/>
  <c r="BE25" i="19"/>
  <c r="E102" i="19"/>
  <c r="C102" i="19"/>
  <c r="D102" i="19"/>
  <c r="F102" i="19"/>
  <c r="BE102" i="19" s="1"/>
  <c r="E89" i="19"/>
  <c r="F89" i="19"/>
  <c r="BE89" i="19" s="1"/>
  <c r="C89" i="19"/>
  <c r="D89" i="19"/>
  <c r="C69" i="19"/>
  <c r="F69" i="19"/>
  <c r="BE69" i="19" s="1"/>
  <c r="E69" i="19"/>
  <c r="D69" i="19"/>
  <c r="F54" i="19"/>
  <c r="BE54" i="19" s="1"/>
  <c r="C54" i="19"/>
  <c r="D54" i="19"/>
  <c r="E54" i="19"/>
  <c r="E43" i="19"/>
  <c r="D43" i="19"/>
  <c r="F43" i="19"/>
  <c r="BE43" i="19" s="1"/>
  <c r="C43" i="19"/>
  <c r="BE21" i="19"/>
  <c r="E95" i="19"/>
  <c r="F95" i="19"/>
  <c r="BE95" i="19" s="1"/>
  <c r="D95" i="19"/>
  <c r="C95" i="19"/>
  <c r="E86" i="19"/>
  <c r="C86" i="19"/>
  <c r="F86" i="19"/>
  <c r="BE86" i="19" s="1"/>
  <c r="D86" i="19"/>
  <c r="C77" i="19"/>
  <c r="F77" i="19"/>
  <c r="BE77" i="19" s="1"/>
  <c r="D77" i="19"/>
  <c r="E77" i="19"/>
  <c r="F67" i="19"/>
  <c r="BE67" i="19" s="1"/>
  <c r="D67" i="19"/>
  <c r="C67" i="19"/>
  <c r="E67" i="19"/>
  <c r="F56" i="19"/>
  <c r="BE56" i="19" s="1"/>
  <c r="E56" i="19"/>
  <c r="D56" i="19"/>
  <c r="C56" i="19"/>
  <c r="D42" i="19"/>
  <c r="C42" i="19"/>
  <c r="F42" i="19"/>
  <c r="BE42" i="19" s="1"/>
  <c r="E42" i="19"/>
  <c r="BE26" i="19"/>
  <c r="BE14" i="19"/>
  <c r="E87" i="19"/>
  <c r="F87" i="19"/>
  <c r="BE87" i="19" s="1"/>
  <c r="C87" i="19"/>
  <c r="D87" i="19"/>
  <c r="D66" i="19"/>
  <c r="F66" i="19"/>
  <c r="BE66" i="19" s="1"/>
  <c r="C66" i="19"/>
  <c r="E66" i="19"/>
  <c r="F45" i="19"/>
  <c r="BE45" i="19" s="1"/>
  <c r="E45" i="19"/>
  <c r="C45" i="19"/>
  <c r="D45" i="19"/>
  <c r="C30" i="19"/>
  <c r="D30" i="19"/>
  <c r="F30" i="19"/>
  <c r="BE30" i="19" s="1"/>
  <c r="E30" i="19"/>
  <c r="BE13" i="19"/>
  <c r="F78" i="19"/>
  <c r="BE78" i="19" s="1"/>
  <c r="E78" i="19"/>
  <c r="C78" i="19"/>
  <c r="D78" i="19"/>
  <c r="C55" i="19"/>
  <c r="F55" i="19"/>
  <c r="BE55" i="19" s="1"/>
  <c r="D55" i="19"/>
  <c r="E55" i="19"/>
  <c r="BE22" i="19"/>
  <c r="E99" i="19"/>
  <c r="F99" i="19"/>
  <c r="BE99" i="19" s="1"/>
  <c r="C99" i="19"/>
  <c r="D99" i="19"/>
  <c r="E83" i="19"/>
  <c r="F83" i="19"/>
  <c r="BE83" i="19" s="1"/>
  <c r="C83" i="19"/>
  <c r="D83" i="19"/>
  <c r="F63" i="19"/>
  <c r="BE63" i="19" s="1"/>
  <c r="D63" i="19"/>
  <c r="C63" i="19"/>
  <c r="E63" i="19"/>
  <c r="F53" i="19"/>
  <c r="BE53" i="19" s="1"/>
  <c r="C53" i="19"/>
  <c r="E53" i="19"/>
  <c r="D53" i="19"/>
  <c r="F37" i="19"/>
  <c r="BE37" i="19" s="1"/>
  <c r="E37" i="19"/>
  <c r="C37" i="19"/>
  <c r="D37" i="19"/>
  <c r="BE18" i="19"/>
  <c r="E92" i="19"/>
  <c r="D92" i="19"/>
  <c r="C92" i="19"/>
  <c r="F92" i="19"/>
  <c r="BE92" i="19" s="1"/>
  <c r="E84" i="19"/>
  <c r="F84" i="19"/>
  <c r="BE84" i="19" s="1"/>
  <c r="C84" i="19"/>
  <c r="D84" i="19"/>
  <c r="E74" i="19"/>
  <c r="F74" i="19"/>
  <c r="BE74" i="19" s="1"/>
  <c r="C74" i="19"/>
  <c r="D74" i="19"/>
  <c r="F65" i="19"/>
  <c r="BE65" i="19" s="1"/>
  <c r="D65" i="19"/>
  <c r="C65" i="19"/>
  <c r="E65" i="19"/>
  <c r="D52" i="19"/>
  <c r="F52" i="19"/>
  <c r="BE52" i="19" s="1"/>
  <c r="E52" i="19"/>
  <c r="C52" i="19"/>
  <c r="E39" i="19"/>
  <c r="C39" i="19"/>
  <c r="D39" i="19"/>
  <c r="F39" i="19"/>
  <c r="BE39" i="19" s="1"/>
  <c r="BE24" i="19"/>
  <c r="BE11" i="19"/>
  <c r="C79" i="19"/>
  <c r="D79" i="19"/>
  <c r="F79" i="19"/>
  <c r="BE79" i="19" s="1"/>
  <c r="E79" i="19"/>
  <c r="D64" i="19"/>
  <c r="F64" i="19"/>
  <c r="BE64" i="19" s="1"/>
  <c r="C64" i="19"/>
  <c r="E64" i="19"/>
  <c r="F41" i="19"/>
  <c r="BE41" i="19" s="1"/>
  <c r="E41" i="19"/>
  <c r="C41" i="19"/>
  <c r="D41" i="19"/>
  <c r="C28" i="19"/>
  <c r="F28" i="19"/>
  <c r="BE28" i="19" s="1"/>
  <c r="D28" i="19"/>
  <c r="E28" i="19"/>
  <c r="E103" i="19"/>
  <c r="F103" i="19"/>
  <c r="BE103" i="19" s="1"/>
  <c r="C103" i="19"/>
  <c r="D103" i="19"/>
  <c r="D33" i="19"/>
  <c r="F33" i="19"/>
  <c r="BE33" i="19" s="1"/>
  <c r="E33" i="19"/>
  <c r="C33" i="19"/>
  <c r="E100" i="19"/>
  <c r="D100" i="19"/>
  <c r="C100" i="19"/>
  <c r="F100" i="19"/>
  <c r="BE100" i="19" s="1"/>
  <c r="D75" i="19"/>
  <c r="E75" i="19"/>
  <c r="F75" i="19"/>
  <c r="BE75" i="19" s="1"/>
  <c r="C75" i="19"/>
  <c r="C51" i="19"/>
  <c r="D51" i="19"/>
  <c r="F51" i="19"/>
  <c r="BE51" i="19" s="1"/>
  <c r="E51" i="19"/>
  <c r="F29" i="19"/>
  <c r="BE29" i="19" s="1"/>
  <c r="D29" i="19"/>
  <c r="E29" i="19"/>
  <c r="C29" i="19"/>
  <c r="BE12" i="19"/>
  <c r="E96" i="19"/>
  <c r="D96" i="19"/>
  <c r="C96" i="19"/>
  <c r="F96" i="19"/>
  <c r="BE96" i="19" s="1"/>
  <c r="E81" i="19"/>
  <c r="D81" i="19"/>
  <c r="F81" i="19"/>
  <c r="BE81" i="19" s="1"/>
  <c r="C81" i="19"/>
  <c r="F59" i="19"/>
  <c r="BE59" i="19" s="1"/>
  <c r="D59" i="19"/>
  <c r="E59" i="19"/>
  <c r="C59" i="19"/>
  <c r="E50" i="19"/>
  <c r="C50" i="19"/>
  <c r="D50" i="19"/>
  <c r="F50" i="19"/>
  <c r="BE50" i="19" s="1"/>
  <c r="C35" i="19"/>
  <c r="F35" i="19"/>
  <c r="BE35" i="19" s="1"/>
  <c r="E35" i="19"/>
  <c r="D35" i="19"/>
  <c r="BE17" i="19"/>
  <c r="E101" i="19"/>
  <c r="C101" i="19"/>
  <c r="F101" i="19"/>
  <c r="BE101" i="19" s="1"/>
  <c r="D101" i="19"/>
  <c r="C90" i="19"/>
  <c r="D90" i="19"/>
  <c r="F90" i="19"/>
  <c r="BE90" i="19" s="1"/>
  <c r="E90" i="19"/>
  <c r="C82" i="19"/>
  <c r="F82" i="19"/>
  <c r="BE82" i="19" s="1"/>
  <c r="E82" i="19"/>
  <c r="D82" i="19"/>
  <c r="C71" i="19"/>
  <c r="F71" i="19"/>
  <c r="BE71" i="19" s="1"/>
  <c r="D71" i="19"/>
  <c r="E71" i="19"/>
  <c r="F62" i="19"/>
  <c r="BE62" i="19" s="1"/>
  <c r="D62" i="19"/>
  <c r="E62" i="19"/>
  <c r="C62" i="19"/>
  <c r="D46" i="19"/>
  <c r="E46" i="19"/>
  <c r="C46" i="19"/>
  <c r="F46" i="19"/>
  <c r="BE46" i="19" s="1"/>
  <c r="C36" i="19"/>
  <c r="D36" i="19"/>
  <c r="E36" i="19"/>
  <c r="F36" i="19"/>
  <c r="BE36" i="19" s="1"/>
  <c r="BE20" i="19"/>
  <c r="E97" i="19"/>
  <c r="C97" i="19"/>
  <c r="D97" i="19"/>
  <c r="F97" i="19"/>
  <c r="BE97" i="19" s="1"/>
  <c r="F76" i="19"/>
  <c r="BE76" i="19" s="1"/>
  <c r="E76" i="19"/>
  <c r="C76" i="19"/>
  <c r="D76" i="19"/>
  <c r="D61" i="19"/>
  <c r="F61" i="19"/>
  <c r="BE61" i="19" s="1"/>
  <c r="E61" i="19"/>
  <c r="C61" i="19"/>
  <c r="C38" i="19"/>
  <c r="D38" i="19"/>
  <c r="E38" i="19"/>
  <c r="F38" i="19"/>
  <c r="BE38" i="19" s="1"/>
  <c r="BE23" i="19"/>
  <c r="BL7" i="19" l="1"/>
  <c r="BM7" i="19" s="1"/>
  <c r="AC8" i="19"/>
  <c r="BJ7" i="19"/>
  <c r="BG91" i="19"/>
  <c r="BH91" i="19"/>
  <c r="BH71" i="19"/>
  <c r="BG71" i="19"/>
  <c r="BG103" i="19"/>
  <c r="BH103" i="19"/>
  <c r="BH64" i="19"/>
  <c r="BG64" i="19"/>
  <c r="BG84" i="19"/>
  <c r="BH84" i="19"/>
  <c r="BG99" i="19"/>
  <c r="BH99" i="19"/>
  <c r="BG87" i="19"/>
  <c r="BH87" i="19"/>
  <c r="BG77" i="19"/>
  <c r="BH77" i="19"/>
  <c r="BG95" i="19"/>
  <c r="BH95" i="19"/>
  <c r="BH89" i="19"/>
  <c r="BG89" i="19"/>
  <c r="BG60" i="19"/>
  <c r="BH60" i="19"/>
  <c r="BH49" i="19"/>
  <c r="BG49" i="19"/>
  <c r="BH32" i="19"/>
  <c r="BG32" i="19"/>
  <c r="BG76" i="19"/>
  <c r="BH76" i="19"/>
  <c r="BH65" i="19"/>
  <c r="BG65" i="19"/>
  <c r="BG37" i="19"/>
  <c r="BH37" i="19"/>
  <c r="BG63" i="19"/>
  <c r="BH63" i="19"/>
  <c r="BG45" i="19"/>
  <c r="BH45" i="19"/>
  <c r="BH31" i="19"/>
  <c r="BG31" i="19"/>
  <c r="BH90" i="19"/>
  <c r="BG90" i="19"/>
  <c r="BH97" i="19"/>
  <c r="BG97" i="19"/>
  <c r="BG36" i="19"/>
  <c r="BH36" i="19"/>
  <c r="BH96" i="19"/>
  <c r="BG96" i="19"/>
  <c r="BG92" i="19"/>
  <c r="BH92" i="19"/>
  <c r="BG70" i="19"/>
  <c r="BH70" i="19"/>
  <c r="BH80" i="19"/>
  <c r="BG80" i="19"/>
  <c r="BG101" i="19"/>
  <c r="BH101" i="19"/>
  <c r="BG75" i="19"/>
  <c r="BH75" i="19"/>
  <c r="BH79" i="19"/>
  <c r="BG79" i="19"/>
  <c r="BG42" i="19"/>
  <c r="BH42" i="19"/>
  <c r="BG86" i="19"/>
  <c r="BH86" i="19"/>
  <c r="BG43" i="19"/>
  <c r="BH43" i="19"/>
  <c r="BH34" i="19"/>
  <c r="BG34" i="19"/>
  <c r="BH48" i="19"/>
  <c r="BG48" i="19"/>
  <c r="BH81" i="19"/>
  <c r="BG81" i="19"/>
  <c r="BG61" i="19"/>
  <c r="BH61" i="19"/>
  <c r="BG82" i="19"/>
  <c r="BH82" i="19"/>
  <c r="BG35" i="19"/>
  <c r="BH35" i="19"/>
  <c r="BH33" i="19"/>
  <c r="BG33" i="19"/>
  <c r="BG52" i="19"/>
  <c r="BH52" i="19"/>
  <c r="BH74" i="19"/>
  <c r="BG74" i="19"/>
  <c r="BG83" i="19"/>
  <c r="BH83" i="19"/>
  <c r="BH66" i="19"/>
  <c r="BG66" i="19"/>
  <c r="BG69" i="19"/>
  <c r="BH69" i="19"/>
  <c r="BG85" i="19"/>
  <c r="BH85" i="19"/>
  <c r="BG44" i="19"/>
  <c r="BH44" i="19"/>
  <c r="BH88" i="19"/>
  <c r="BG88" i="19"/>
  <c r="BH72" i="19"/>
  <c r="BG72" i="19"/>
  <c r="BG93" i="19"/>
  <c r="BH93" i="19"/>
  <c r="BG62" i="19"/>
  <c r="BH62" i="19"/>
  <c r="BH41" i="19"/>
  <c r="BG41" i="19"/>
  <c r="BG53" i="19"/>
  <c r="BH53" i="19"/>
  <c r="BG78" i="19"/>
  <c r="BH78" i="19"/>
  <c r="BG67" i="19"/>
  <c r="BH67" i="19"/>
  <c r="BH40" i="19"/>
  <c r="BG40" i="19"/>
  <c r="BG68" i="19"/>
  <c r="BH68" i="19"/>
  <c r="BG47" i="19"/>
  <c r="BH47" i="19"/>
  <c r="BG51" i="19"/>
  <c r="BH51" i="19"/>
  <c r="BG38" i="19"/>
  <c r="BH38" i="19"/>
  <c r="BG46" i="19"/>
  <c r="BH46" i="19"/>
  <c r="BH50" i="19"/>
  <c r="BG50" i="19"/>
  <c r="BH39" i="19"/>
  <c r="BG39" i="19"/>
  <c r="BG94" i="19"/>
  <c r="BH94" i="19"/>
  <c r="BH98" i="19"/>
  <c r="BG98" i="19"/>
  <c r="BH73" i="19"/>
  <c r="BG73" i="19"/>
  <c r="R98" i="19"/>
  <c r="N98" i="19"/>
  <c r="Q98" i="19"/>
  <c r="L98" i="19"/>
  <c r="G98" i="19"/>
  <c r="W98" i="19"/>
  <c r="Y98" i="19"/>
  <c r="U98" i="19"/>
  <c r="I98" i="19"/>
  <c r="K98" i="19"/>
  <c r="X98" i="19"/>
  <c r="H98" i="19"/>
  <c r="S98" i="19"/>
  <c r="T98" i="19"/>
  <c r="M98" i="19"/>
  <c r="J98" i="19"/>
  <c r="O98" i="19"/>
  <c r="V98" i="19"/>
  <c r="Q27" i="19"/>
  <c r="M27" i="19"/>
  <c r="T27" i="19"/>
  <c r="W27" i="19"/>
  <c r="Y27" i="19"/>
  <c r="N27" i="19"/>
  <c r="U27" i="19"/>
  <c r="R27" i="19"/>
  <c r="G27" i="19"/>
  <c r="J27" i="19"/>
  <c r="H27" i="19"/>
  <c r="V27" i="19"/>
  <c r="O27" i="19"/>
  <c r="I27" i="19"/>
  <c r="K27" i="19"/>
  <c r="X27" i="19"/>
  <c r="L27" i="19"/>
  <c r="S27" i="19"/>
  <c r="H73" i="19"/>
  <c r="I73" i="19"/>
  <c r="N73" i="19"/>
  <c r="T73" i="19"/>
  <c r="J73" i="19"/>
  <c r="O73" i="19"/>
  <c r="V73" i="19"/>
  <c r="K73" i="19"/>
  <c r="R73" i="19"/>
  <c r="W73" i="19"/>
  <c r="G73" i="19"/>
  <c r="M73" i="19"/>
  <c r="S73" i="19"/>
  <c r="X73" i="19"/>
  <c r="Q73" i="19"/>
  <c r="L73" i="19"/>
  <c r="Y73" i="19"/>
  <c r="U73" i="19"/>
  <c r="T80" i="19"/>
  <c r="W80" i="19"/>
  <c r="Y80" i="19"/>
  <c r="V80" i="19"/>
  <c r="G80" i="19"/>
  <c r="X80" i="19"/>
  <c r="H80" i="19"/>
  <c r="I80" i="19"/>
  <c r="Q80" i="19"/>
  <c r="K80" i="19"/>
  <c r="L80" i="19"/>
  <c r="M80" i="19"/>
  <c r="N80" i="19"/>
  <c r="J80" i="19"/>
  <c r="R80" i="19"/>
  <c r="S80" i="19"/>
  <c r="U80" i="19"/>
  <c r="O80" i="19"/>
  <c r="I91" i="19"/>
  <c r="Y91" i="19"/>
  <c r="N91" i="19"/>
  <c r="T91" i="19"/>
  <c r="L91" i="19"/>
  <c r="J91" i="19"/>
  <c r="G91" i="19"/>
  <c r="W91" i="19"/>
  <c r="X91" i="19"/>
  <c r="Q91" i="19"/>
  <c r="U91" i="19"/>
  <c r="M91" i="19"/>
  <c r="O91" i="19"/>
  <c r="H91" i="19"/>
  <c r="K91" i="19"/>
  <c r="V91" i="19"/>
  <c r="S91" i="19"/>
  <c r="R91" i="19"/>
  <c r="L48" i="19"/>
  <c r="R48" i="19"/>
  <c r="N48" i="19"/>
  <c r="X48" i="19"/>
  <c r="J48" i="19"/>
  <c r="U48" i="19"/>
  <c r="M48" i="19"/>
  <c r="W48" i="19"/>
  <c r="K48" i="19"/>
  <c r="I48" i="19"/>
  <c r="G48" i="19"/>
  <c r="S48" i="19"/>
  <c r="Q48" i="19"/>
  <c r="H48" i="19"/>
  <c r="Y48" i="19"/>
  <c r="O48" i="19"/>
  <c r="V48" i="19"/>
  <c r="T48" i="19"/>
  <c r="V88" i="19"/>
  <c r="W88" i="19"/>
  <c r="T88" i="19"/>
  <c r="L88" i="19"/>
  <c r="I88" i="19"/>
  <c r="J88" i="19"/>
  <c r="G88" i="19"/>
  <c r="X88" i="19"/>
  <c r="H88" i="19"/>
  <c r="S88" i="19"/>
  <c r="U88" i="19"/>
  <c r="N88" i="19"/>
  <c r="M88" i="19"/>
  <c r="K88" i="19"/>
  <c r="Y88" i="19"/>
  <c r="R88" i="19"/>
  <c r="O88" i="19"/>
  <c r="Q88" i="19"/>
  <c r="H32" i="19"/>
  <c r="Y32" i="19"/>
  <c r="X32" i="19"/>
  <c r="L32" i="19"/>
  <c r="I32" i="19"/>
  <c r="S32" i="19"/>
  <c r="R32" i="19"/>
  <c r="Q32" i="19"/>
  <c r="N32" i="19"/>
  <c r="K32" i="19"/>
  <c r="J32" i="19"/>
  <c r="T32" i="19"/>
  <c r="U32" i="19"/>
  <c r="G32" i="19"/>
  <c r="M32" i="19"/>
  <c r="W32" i="19"/>
  <c r="O32" i="19"/>
  <c r="V32" i="19"/>
  <c r="R57" i="19"/>
  <c r="K57" i="19"/>
  <c r="W57" i="19"/>
  <c r="Q57" i="19"/>
  <c r="M57" i="19"/>
  <c r="N57" i="19"/>
  <c r="V57" i="19"/>
  <c r="U57" i="19"/>
  <c r="S57" i="19"/>
  <c r="T57" i="19"/>
  <c r="H57" i="19"/>
  <c r="Y57" i="19"/>
  <c r="X57" i="19"/>
  <c r="J57" i="19"/>
  <c r="L57" i="19"/>
  <c r="G57" i="19"/>
  <c r="I57" i="19"/>
  <c r="O57" i="19"/>
  <c r="T72" i="19"/>
  <c r="Q72" i="19"/>
  <c r="G72" i="19"/>
  <c r="X72" i="19"/>
  <c r="U72" i="19"/>
  <c r="K72" i="19"/>
  <c r="H72" i="19"/>
  <c r="Y72" i="19"/>
  <c r="S72" i="19"/>
  <c r="O72" i="19"/>
  <c r="L72" i="19"/>
  <c r="V72" i="19"/>
  <c r="J72" i="19"/>
  <c r="W72" i="19"/>
  <c r="N72" i="19"/>
  <c r="R72" i="19"/>
  <c r="M72" i="19"/>
  <c r="I72" i="19"/>
  <c r="S93" i="19"/>
  <c r="T93" i="19"/>
  <c r="U93" i="19"/>
  <c r="I93" i="19"/>
  <c r="X93" i="19"/>
  <c r="Y93" i="19"/>
  <c r="G93" i="19"/>
  <c r="H93" i="19"/>
  <c r="J93" i="19"/>
  <c r="O93" i="19"/>
  <c r="V93" i="19"/>
  <c r="R93" i="19"/>
  <c r="L93" i="19"/>
  <c r="M93" i="19"/>
  <c r="N93" i="19"/>
  <c r="Q93" i="19"/>
  <c r="W93" i="19"/>
  <c r="K93" i="19"/>
  <c r="G38" i="19"/>
  <c r="X38" i="19"/>
  <c r="L38" i="19"/>
  <c r="M38" i="19"/>
  <c r="N38" i="19"/>
  <c r="O38" i="19"/>
  <c r="W38" i="19"/>
  <c r="Y38" i="19"/>
  <c r="K38" i="19"/>
  <c r="J38" i="19"/>
  <c r="R38" i="19"/>
  <c r="S38" i="19"/>
  <c r="U38" i="19"/>
  <c r="Q38" i="19"/>
  <c r="V38" i="19"/>
  <c r="H38" i="19"/>
  <c r="I38" i="19"/>
  <c r="T38" i="19"/>
  <c r="V97" i="19"/>
  <c r="O97" i="19"/>
  <c r="U97" i="19"/>
  <c r="K97" i="19"/>
  <c r="M97" i="19"/>
  <c r="H97" i="19"/>
  <c r="I97" i="19"/>
  <c r="J97" i="19"/>
  <c r="X97" i="19"/>
  <c r="Y97" i="19"/>
  <c r="T97" i="19"/>
  <c r="N97" i="19"/>
  <c r="W97" i="19"/>
  <c r="L97" i="19"/>
  <c r="Q97" i="19"/>
  <c r="S97" i="19"/>
  <c r="R97" i="19"/>
  <c r="G97" i="19"/>
  <c r="K36" i="19"/>
  <c r="J36" i="19"/>
  <c r="R36" i="19"/>
  <c r="S36" i="19"/>
  <c r="N36" i="19"/>
  <c r="V36" i="19"/>
  <c r="U36" i="19"/>
  <c r="O36" i="19"/>
  <c r="Q36" i="19"/>
  <c r="W36" i="19"/>
  <c r="Y36" i="19"/>
  <c r="T36" i="19"/>
  <c r="H36" i="19"/>
  <c r="G36" i="19"/>
  <c r="I36" i="19"/>
  <c r="X36" i="19"/>
  <c r="L36" i="19"/>
  <c r="M36" i="19"/>
  <c r="U46" i="19"/>
  <c r="R46" i="19"/>
  <c r="N46" i="19"/>
  <c r="X46" i="19"/>
  <c r="H46" i="19"/>
  <c r="Y46" i="19"/>
  <c r="V46" i="19"/>
  <c r="W46" i="19"/>
  <c r="J46" i="19"/>
  <c r="L46" i="19"/>
  <c r="I46" i="19"/>
  <c r="K46" i="19"/>
  <c r="G46" i="19"/>
  <c r="S46" i="19"/>
  <c r="Q46" i="19"/>
  <c r="M46" i="19"/>
  <c r="T46" i="19"/>
  <c r="O46" i="19"/>
  <c r="G50" i="19"/>
  <c r="X50" i="19"/>
  <c r="U50" i="19"/>
  <c r="R50" i="19"/>
  <c r="N50" i="19"/>
  <c r="T50" i="19"/>
  <c r="M50" i="19"/>
  <c r="K50" i="19"/>
  <c r="H50" i="19"/>
  <c r="Y50" i="19"/>
  <c r="V50" i="19"/>
  <c r="S50" i="19"/>
  <c r="O50" i="19"/>
  <c r="L50" i="19"/>
  <c r="I50" i="19"/>
  <c r="W50" i="19"/>
  <c r="Q50" i="19"/>
  <c r="J50" i="19"/>
  <c r="W96" i="19"/>
  <c r="N96" i="19"/>
  <c r="R96" i="19"/>
  <c r="S96" i="19"/>
  <c r="V96" i="19"/>
  <c r="U96" i="19"/>
  <c r="H96" i="19"/>
  <c r="T96" i="19"/>
  <c r="M96" i="19"/>
  <c r="L96" i="19"/>
  <c r="K96" i="19"/>
  <c r="G96" i="19"/>
  <c r="Q96" i="19"/>
  <c r="I96" i="19"/>
  <c r="O96" i="19"/>
  <c r="Y96" i="19"/>
  <c r="X96" i="19"/>
  <c r="J96" i="19"/>
  <c r="J100" i="19"/>
  <c r="V100" i="19"/>
  <c r="W100" i="19"/>
  <c r="R100" i="19"/>
  <c r="S100" i="19"/>
  <c r="M100" i="19"/>
  <c r="N100" i="19"/>
  <c r="I100" i="19"/>
  <c r="O100" i="19"/>
  <c r="Y100" i="19"/>
  <c r="H100" i="19"/>
  <c r="G100" i="19"/>
  <c r="L100" i="19"/>
  <c r="X100" i="19"/>
  <c r="T100" i="19"/>
  <c r="U100" i="19"/>
  <c r="K100" i="19"/>
  <c r="Q100" i="19"/>
  <c r="V39" i="19"/>
  <c r="X39" i="19"/>
  <c r="Y39" i="19"/>
  <c r="W39" i="19"/>
  <c r="U39" i="19"/>
  <c r="L39" i="19"/>
  <c r="I39" i="19"/>
  <c r="K39" i="19"/>
  <c r="T39" i="19"/>
  <c r="M39" i="19"/>
  <c r="J39" i="19"/>
  <c r="Q39" i="19"/>
  <c r="S39" i="19"/>
  <c r="O39" i="19"/>
  <c r="H39" i="19"/>
  <c r="N39" i="19"/>
  <c r="G39" i="19"/>
  <c r="R39" i="19"/>
  <c r="R92" i="19"/>
  <c r="M92" i="19"/>
  <c r="V92" i="19"/>
  <c r="K92" i="19"/>
  <c r="L92" i="19"/>
  <c r="N92" i="19"/>
  <c r="U92" i="19"/>
  <c r="Q92" i="19"/>
  <c r="S92" i="19"/>
  <c r="T92" i="19"/>
  <c r="O92" i="19"/>
  <c r="W92" i="19"/>
  <c r="X92" i="19"/>
  <c r="Y92" i="19"/>
  <c r="G92" i="19"/>
  <c r="I92" i="19"/>
  <c r="H92" i="19"/>
  <c r="J92" i="19"/>
  <c r="O14" i="19"/>
  <c r="H14" i="19"/>
  <c r="R14" i="19"/>
  <c r="X14" i="19"/>
  <c r="S14" i="19"/>
  <c r="M14" i="19"/>
  <c r="U14" i="19"/>
  <c r="J14" i="19"/>
  <c r="L14" i="19"/>
  <c r="N14" i="19"/>
  <c r="T14" i="19"/>
  <c r="G14" i="19"/>
  <c r="Y14" i="19"/>
  <c r="V14" i="19"/>
  <c r="I14" i="19"/>
  <c r="K14" i="19"/>
  <c r="Q14" i="19"/>
  <c r="W14" i="19"/>
  <c r="N102" i="19"/>
  <c r="Y102" i="19"/>
  <c r="U102" i="19"/>
  <c r="V102" i="19"/>
  <c r="R102" i="19"/>
  <c r="I102" i="19"/>
  <c r="K102" i="19"/>
  <c r="O102" i="19"/>
  <c r="H102" i="19"/>
  <c r="T102" i="19"/>
  <c r="X102" i="19"/>
  <c r="S102" i="19"/>
  <c r="G102" i="19"/>
  <c r="J102" i="19"/>
  <c r="L102" i="19"/>
  <c r="Q102" i="19"/>
  <c r="W102" i="19"/>
  <c r="M102" i="19"/>
  <c r="V70" i="19"/>
  <c r="R70" i="19"/>
  <c r="N70" i="19"/>
  <c r="Q70" i="19"/>
  <c r="O70" i="19"/>
  <c r="S70" i="19"/>
  <c r="T70" i="19"/>
  <c r="W70" i="19"/>
  <c r="J70" i="19"/>
  <c r="M70" i="19"/>
  <c r="I70" i="19"/>
  <c r="Y70" i="19"/>
  <c r="L70" i="19"/>
  <c r="U70" i="19"/>
  <c r="K70" i="19"/>
  <c r="X70" i="19"/>
  <c r="G70" i="19"/>
  <c r="H70" i="19"/>
  <c r="R94" i="19"/>
  <c r="H94" i="19"/>
  <c r="J94" i="19"/>
  <c r="Q94" i="19"/>
  <c r="L94" i="19"/>
  <c r="N94" i="19"/>
  <c r="O94" i="19"/>
  <c r="W94" i="19"/>
  <c r="G94" i="19"/>
  <c r="V94" i="19"/>
  <c r="T94" i="19"/>
  <c r="U94" i="19"/>
  <c r="S94" i="19"/>
  <c r="I94" i="19"/>
  <c r="M94" i="19"/>
  <c r="Y94" i="19"/>
  <c r="K94" i="19"/>
  <c r="X94" i="19"/>
  <c r="V90" i="19"/>
  <c r="R90" i="19"/>
  <c r="M90" i="19"/>
  <c r="T90" i="19"/>
  <c r="U90" i="19"/>
  <c r="X90" i="19"/>
  <c r="I90" i="19"/>
  <c r="Y90" i="19"/>
  <c r="K90" i="19"/>
  <c r="G90" i="19"/>
  <c r="O90" i="19"/>
  <c r="L90" i="19"/>
  <c r="S90" i="19"/>
  <c r="H90" i="19"/>
  <c r="Q90" i="19"/>
  <c r="N90" i="19"/>
  <c r="W90" i="19"/>
  <c r="J90" i="19"/>
  <c r="U101" i="19"/>
  <c r="Y101" i="19"/>
  <c r="W101" i="19"/>
  <c r="O101" i="19"/>
  <c r="R101" i="19"/>
  <c r="J101" i="19"/>
  <c r="L101" i="19"/>
  <c r="I101" i="19"/>
  <c r="M101" i="19"/>
  <c r="S101" i="19"/>
  <c r="Q101" i="19"/>
  <c r="N101" i="19"/>
  <c r="V101" i="19"/>
  <c r="G101" i="19"/>
  <c r="T101" i="19"/>
  <c r="K101" i="19"/>
  <c r="H101" i="19"/>
  <c r="X101" i="19"/>
  <c r="G81" i="19"/>
  <c r="K81" i="19"/>
  <c r="T81" i="19"/>
  <c r="N81" i="19"/>
  <c r="U81" i="19"/>
  <c r="H81" i="19"/>
  <c r="O81" i="19"/>
  <c r="W81" i="19"/>
  <c r="J81" i="19"/>
  <c r="Q81" i="19"/>
  <c r="Y81" i="19"/>
  <c r="X81" i="19"/>
  <c r="R81" i="19"/>
  <c r="S81" i="19"/>
  <c r="V81" i="19"/>
  <c r="L81" i="19"/>
  <c r="I81" i="19"/>
  <c r="M81" i="19"/>
  <c r="Q51" i="19"/>
  <c r="M51" i="19"/>
  <c r="W51" i="19"/>
  <c r="J51" i="19"/>
  <c r="U51" i="19"/>
  <c r="R51" i="19"/>
  <c r="G51" i="19"/>
  <c r="S51" i="19"/>
  <c r="H51" i="19"/>
  <c r="Y51" i="19"/>
  <c r="V51" i="19"/>
  <c r="O51" i="19"/>
  <c r="K51" i="19"/>
  <c r="I51" i="19"/>
  <c r="L51" i="19"/>
  <c r="N51" i="19"/>
  <c r="X51" i="19"/>
  <c r="T51" i="19"/>
  <c r="Q75" i="19"/>
  <c r="M75" i="19"/>
  <c r="T75" i="19"/>
  <c r="O75" i="19"/>
  <c r="U75" i="19"/>
  <c r="R75" i="19"/>
  <c r="N75" i="19"/>
  <c r="X75" i="19"/>
  <c r="H75" i="19"/>
  <c r="Y75" i="19"/>
  <c r="V75" i="19"/>
  <c r="W75" i="19"/>
  <c r="J75" i="19"/>
  <c r="G75" i="19"/>
  <c r="K75" i="19"/>
  <c r="L75" i="19"/>
  <c r="S75" i="19"/>
  <c r="I75" i="19"/>
  <c r="U79" i="19"/>
  <c r="S79" i="19"/>
  <c r="T79" i="19"/>
  <c r="H79" i="19"/>
  <c r="Y79" i="19"/>
  <c r="X79" i="19"/>
  <c r="J79" i="19"/>
  <c r="L79" i="19"/>
  <c r="G79" i="19"/>
  <c r="I79" i="19"/>
  <c r="O79" i="19"/>
  <c r="N79" i="19"/>
  <c r="R79" i="19"/>
  <c r="V79" i="19"/>
  <c r="Q79" i="19"/>
  <c r="M79" i="19"/>
  <c r="W79" i="19"/>
  <c r="K79" i="19"/>
  <c r="M22" i="19"/>
  <c r="O22" i="19"/>
  <c r="W22" i="19"/>
  <c r="X22" i="19"/>
  <c r="N22" i="19"/>
  <c r="R22" i="19"/>
  <c r="U22" i="19"/>
  <c r="G22" i="19"/>
  <c r="T22" i="19"/>
  <c r="V22" i="19"/>
  <c r="K22" i="19"/>
  <c r="L22" i="19"/>
  <c r="Y22" i="19"/>
  <c r="Q22" i="19"/>
  <c r="J22" i="19"/>
  <c r="S22" i="19"/>
  <c r="I22" i="19"/>
  <c r="H22" i="19"/>
  <c r="M13" i="19"/>
  <c r="N13" i="19"/>
  <c r="O13" i="19"/>
  <c r="W13" i="19"/>
  <c r="L13" i="19"/>
  <c r="Y13" i="19"/>
  <c r="X13" i="19"/>
  <c r="R13" i="19"/>
  <c r="T13" i="19"/>
  <c r="U13" i="19"/>
  <c r="S13" i="19"/>
  <c r="V13" i="19"/>
  <c r="K13" i="19"/>
  <c r="I13" i="19"/>
  <c r="G13" i="19"/>
  <c r="H13" i="19"/>
  <c r="J13" i="19"/>
  <c r="Q13" i="19"/>
  <c r="Q30" i="19"/>
  <c r="M30" i="19"/>
  <c r="W30" i="19"/>
  <c r="T30" i="19"/>
  <c r="Y30" i="19"/>
  <c r="S30" i="19"/>
  <c r="U30" i="19"/>
  <c r="R30" i="19"/>
  <c r="J30" i="19"/>
  <c r="G30" i="19"/>
  <c r="H30" i="19"/>
  <c r="V30" i="19"/>
  <c r="X30" i="19"/>
  <c r="N30" i="19"/>
  <c r="O30" i="19"/>
  <c r="L30" i="19"/>
  <c r="K30" i="19"/>
  <c r="I30" i="19"/>
  <c r="U26" i="19"/>
  <c r="R26" i="19"/>
  <c r="J26" i="19"/>
  <c r="X26" i="19"/>
  <c r="L26" i="19"/>
  <c r="N26" i="19"/>
  <c r="O26" i="19"/>
  <c r="H26" i="19"/>
  <c r="Y26" i="19"/>
  <c r="V26" i="19"/>
  <c r="S26" i="19"/>
  <c r="K26" i="19"/>
  <c r="I26" i="19"/>
  <c r="T26" i="19"/>
  <c r="Q26" i="19"/>
  <c r="M26" i="19"/>
  <c r="W26" i="19"/>
  <c r="G26" i="19"/>
  <c r="U42" i="19"/>
  <c r="V42" i="19"/>
  <c r="G42" i="19"/>
  <c r="I42" i="19"/>
  <c r="H42" i="19"/>
  <c r="Y42" i="19"/>
  <c r="K42" i="19"/>
  <c r="M42" i="19"/>
  <c r="N42" i="19"/>
  <c r="Q42" i="19"/>
  <c r="W42" i="19"/>
  <c r="R42" i="19"/>
  <c r="J42" i="19"/>
  <c r="S42" i="19"/>
  <c r="O42" i="19"/>
  <c r="X42" i="19"/>
  <c r="L42" i="19"/>
  <c r="T42" i="19"/>
  <c r="K86" i="19"/>
  <c r="W86" i="19"/>
  <c r="V86" i="19"/>
  <c r="X86" i="19"/>
  <c r="Y86" i="19"/>
  <c r="I86" i="19"/>
  <c r="G86" i="19"/>
  <c r="H86" i="19"/>
  <c r="J86" i="19"/>
  <c r="M86" i="19"/>
  <c r="L86" i="19"/>
  <c r="N86" i="19"/>
  <c r="O86" i="19"/>
  <c r="T86" i="19"/>
  <c r="U86" i="19"/>
  <c r="Q86" i="19"/>
  <c r="R86" i="19"/>
  <c r="S86" i="19"/>
  <c r="I43" i="19"/>
  <c r="K43" i="19"/>
  <c r="T43" i="19"/>
  <c r="N43" i="19"/>
  <c r="U43" i="19"/>
  <c r="H43" i="19"/>
  <c r="O43" i="19"/>
  <c r="W43" i="19"/>
  <c r="J43" i="19"/>
  <c r="Q43" i="19"/>
  <c r="Y43" i="19"/>
  <c r="S43" i="19"/>
  <c r="L43" i="19"/>
  <c r="G43" i="19"/>
  <c r="V43" i="19"/>
  <c r="X43" i="19"/>
  <c r="R43" i="19"/>
  <c r="M43" i="19"/>
  <c r="H19" i="19"/>
  <c r="Y19" i="19"/>
  <c r="M19" i="19"/>
  <c r="W19" i="19"/>
  <c r="S19" i="19"/>
  <c r="Q19" i="19"/>
  <c r="T19" i="19"/>
  <c r="X19" i="19"/>
  <c r="L19" i="19"/>
  <c r="I19" i="19"/>
  <c r="V19" i="19"/>
  <c r="J19" i="19"/>
  <c r="K19" i="19"/>
  <c r="N19" i="19"/>
  <c r="G19" i="19"/>
  <c r="R19" i="19"/>
  <c r="U19" i="19"/>
  <c r="O19" i="19"/>
  <c r="T34" i="19"/>
  <c r="V34" i="19"/>
  <c r="H34" i="19"/>
  <c r="I34" i="19"/>
  <c r="K34" i="19"/>
  <c r="R34" i="19"/>
  <c r="U34" i="19"/>
  <c r="G34" i="19"/>
  <c r="X34" i="19"/>
  <c r="L34" i="19"/>
  <c r="M34" i="19"/>
  <c r="N34" i="19"/>
  <c r="J34" i="19"/>
  <c r="S34" i="19"/>
  <c r="W34" i="19"/>
  <c r="Y34" i="19"/>
  <c r="O34" i="19"/>
  <c r="Q34" i="19"/>
  <c r="V61" i="19"/>
  <c r="X61" i="19"/>
  <c r="I61" i="19"/>
  <c r="S61" i="19"/>
  <c r="M61" i="19"/>
  <c r="L61" i="19"/>
  <c r="R61" i="19"/>
  <c r="G61" i="19"/>
  <c r="K61" i="19"/>
  <c r="H61" i="19"/>
  <c r="J61" i="19"/>
  <c r="T61" i="19"/>
  <c r="W61" i="19"/>
  <c r="Q61" i="19"/>
  <c r="N61" i="19"/>
  <c r="O61" i="19"/>
  <c r="Y61" i="19"/>
  <c r="U61" i="19"/>
  <c r="L20" i="19"/>
  <c r="R20" i="19"/>
  <c r="T20" i="19"/>
  <c r="H20" i="19"/>
  <c r="M20" i="19"/>
  <c r="X20" i="19"/>
  <c r="Y20" i="19"/>
  <c r="G20" i="19"/>
  <c r="W20" i="19"/>
  <c r="V20" i="19"/>
  <c r="U20" i="19"/>
  <c r="J20" i="19"/>
  <c r="Q20" i="19"/>
  <c r="O20" i="19"/>
  <c r="N20" i="19"/>
  <c r="K20" i="19"/>
  <c r="I20" i="19"/>
  <c r="S20" i="19"/>
  <c r="Q71" i="19"/>
  <c r="M71" i="19"/>
  <c r="O71" i="19"/>
  <c r="U71" i="19"/>
  <c r="R71" i="19"/>
  <c r="H71" i="19"/>
  <c r="Y71" i="19"/>
  <c r="V71" i="19"/>
  <c r="T71" i="19"/>
  <c r="S71" i="19"/>
  <c r="L71" i="19"/>
  <c r="K71" i="19"/>
  <c r="I71" i="19"/>
  <c r="X71" i="19"/>
  <c r="J71" i="19"/>
  <c r="G71" i="19"/>
  <c r="W71" i="19"/>
  <c r="N71" i="19"/>
  <c r="R82" i="19"/>
  <c r="S82" i="19"/>
  <c r="T82" i="19"/>
  <c r="U82" i="19"/>
  <c r="V82" i="19"/>
  <c r="X82" i="19"/>
  <c r="Y82" i="19"/>
  <c r="I82" i="19"/>
  <c r="G82" i="19"/>
  <c r="H82" i="19"/>
  <c r="J82" i="19"/>
  <c r="N82" i="19"/>
  <c r="O82" i="19"/>
  <c r="M82" i="19"/>
  <c r="L82" i="19"/>
  <c r="W82" i="19"/>
  <c r="K82" i="19"/>
  <c r="Q82" i="19"/>
  <c r="H17" i="19"/>
  <c r="N17" i="19"/>
  <c r="W17" i="19"/>
  <c r="G17" i="19"/>
  <c r="O17" i="19"/>
  <c r="X17" i="19"/>
  <c r="J17" i="19"/>
  <c r="S17" i="19"/>
  <c r="K17" i="19"/>
  <c r="T17" i="19"/>
  <c r="M17" i="19"/>
  <c r="Y17" i="19"/>
  <c r="I17" i="19"/>
  <c r="U17" i="19"/>
  <c r="V17" i="19"/>
  <c r="Q17" i="19"/>
  <c r="L17" i="19"/>
  <c r="R17" i="19"/>
  <c r="T35" i="19"/>
  <c r="S35" i="19"/>
  <c r="U35" i="19"/>
  <c r="L35" i="19"/>
  <c r="G35" i="19"/>
  <c r="X35" i="19"/>
  <c r="Y35" i="19"/>
  <c r="J35" i="19"/>
  <c r="R35" i="19"/>
  <c r="K35" i="19"/>
  <c r="H35" i="19"/>
  <c r="I35" i="19"/>
  <c r="Q35" i="19"/>
  <c r="W35" i="19"/>
  <c r="N35" i="19"/>
  <c r="V35" i="19"/>
  <c r="O35" i="19"/>
  <c r="M35" i="19"/>
  <c r="K33" i="19"/>
  <c r="J33" i="19"/>
  <c r="G33" i="19"/>
  <c r="R33" i="19"/>
  <c r="X33" i="19"/>
  <c r="Y33" i="19"/>
  <c r="T33" i="19"/>
  <c r="M33" i="19"/>
  <c r="H33" i="19"/>
  <c r="L33" i="19"/>
  <c r="O33" i="19"/>
  <c r="W33" i="19"/>
  <c r="U33" i="19"/>
  <c r="V33" i="19"/>
  <c r="Q33" i="19"/>
  <c r="S33" i="19"/>
  <c r="N33" i="19"/>
  <c r="I33" i="19"/>
  <c r="I103" i="19"/>
  <c r="L103" i="19"/>
  <c r="Y103" i="19"/>
  <c r="Q103" i="19"/>
  <c r="H103" i="19"/>
  <c r="U103" i="19"/>
  <c r="O103" i="19"/>
  <c r="G103" i="19"/>
  <c r="T103" i="19"/>
  <c r="K103" i="19"/>
  <c r="W103" i="19"/>
  <c r="V103" i="19"/>
  <c r="S103" i="19"/>
  <c r="R103" i="19"/>
  <c r="N103" i="19"/>
  <c r="M103" i="19"/>
  <c r="J103" i="19"/>
  <c r="X103" i="19"/>
  <c r="T28" i="19"/>
  <c r="G28" i="19"/>
  <c r="W28" i="19"/>
  <c r="Q28" i="19"/>
  <c r="M28" i="19"/>
  <c r="J28" i="19"/>
  <c r="O28" i="19"/>
  <c r="U28" i="19"/>
  <c r="R28" i="19"/>
  <c r="N28" i="19"/>
  <c r="K28" i="19"/>
  <c r="H28" i="19"/>
  <c r="Y28" i="19"/>
  <c r="V28" i="19"/>
  <c r="X28" i="19"/>
  <c r="L28" i="19"/>
  <c r="S28" i="19"/>
  <c r="I28" i="19"/>
  <c r="O64" i="19"/>
  <c r="Q64" i="19"/>
  <c r="Y64" i="19"/>
  <c r="U64" i="19"/>
  <c r="I64" i="19"/>
  <c r="H64" i="19"/>
  <c r="K64" i="19"/>
  <c r="J64" i="19"/>
  <c r="M64" i="19"/>
  <c r="T64" i="19"/>
  <c r="V64" i="19"/>
  <c r="L64" i="19"/>
  <c r="W64" i="19"/>
  <c r="G64" i="19"/>
  <c r="X64" i="19"/>
  <c r="S64" i="19"/>
  <c r="R64" i="19"/>
  <c r="N64" i="19"/>
  <c r="R11" i="19"/>
  <c r="U11" i="19"/>
  <c r="S11" i="19"/>
  <c r="V11" i="19"/>
  <c r="W11" i="19"/>
  <c r="Q11" i="19"/>
  <c r="K11" i="19"/>
  <c r="H11" i="19"/>
  <c r="Y11" i="19"/>
  <c r="X11" i="19"/>
  <c r="I11" i="19"/>
  <c r="N11" i="19"/>
  <c r="O11" i="19"/>
  <c r="L11" i="19"/>
  <c r="G11" i="19"/>
  <c r="J11" i="19"/>
  <c r="T11" i="19"/>
  <c r="M11" i="19"/>
  <c r="V52" i="19"/>
  <c r="R52" i="19"/>
  <c r="M52" i="19"/>
  <c r="I52" i="19"/>
  <c r="Y52" i="19"/>
  <c r="Q52" i="19"/>
  <c r="W52" i="19"/>
  <c r="H52" i="19"/>
  <c r="J52" i="19"/>
  <c r="G52" i="19"/>
  <c r="X52" i="19"/>
  <c r="N52" i="19"/>
  <c r="O52" i="19"/>
  <c r="S52" i="19"/>
  <c r="L52" i="19"/>
  <c r="K52" i="19"/>
  <c r="T52" i="19"/>
  <c r="U52" i="19"/>
  <c r="N74" i="19"/>
  <c r="U74" i="19"/>
  <c r="H74" i="19"/>
  <c r="O74" i="19"/>
  <c r="W74" i="19"/>
  <c r="J74" i="19"/>
  <c r="Q74" i="19"/>
  <c r="Y74" i="19"/>
  <c r="K74" i="19"/>
  <c r="T74" i="19"/>
  <c r="G74" i="19"/>
  <c r="L74" i="19"/>
  <c r="S74" i="19"/>
  <c r="M74" i="19"/>
  <c r="I74" i="19"/>
  <c r="V74" i="19"/>
  <c r="R74" i="19"/>
  <c r="X74" i="19"/>
  <c r="K84" i="19"/>
  <c r="V84" i="19"/>
  <c r="X84" i="19"/>
  <c r="Y84" i="19"/>
  <c r="W84" i="19"/>
  <c r="I84" i="19"/>
  <c r="G84" i="19"/>
  <c r="H84" i="19"/>
  <c r="J84" i="19"/>
  <c r="M84" i="19"/>
  <c r="L84" i="19"/>
  <c r="N84" i="19"/>
  <c r="O84" i="19"/>
  <c r="T84" i="19"/>
  <c r="U84" i="19"/>
  <c r="R84" i="19"/>
  <c r="S84" i="19"/>
  <c r="Q84" i="19"/>
  <c r="W83" i="19"/>
  <c r="V83" i="19"/>
  <c r="I83" i="19"/>
  <c r="G83" i="19"/>
  <c r="H83" i="19"/>
  <c r="K83" i="19"/>
  <c r="M83" i="19"/>
  <c r="L83" i="19"/>
  <c r="N83" i="19"/>
  <c r="X83" i="19"/>
  <c r="O83" i="19"/>
  <c r="Q83" i="19"/>
  <c r="T83" i="19"/>
  <c r="U83" i="19"/>
  <c r="R83" i="19"/>
  <c r="Y83" i="19"/>
  <c r="S83" i="19"/>
  <c r="J83" i="19"/>
  <c r="X99" i="19"/>
  <c r="L99" i="19"/>
  <c r="T99" i="19"/>
  <c r="O99" i="19"/>
  <c r="K99" i="19"/>
  <c r="G99" i="19"/>
  <c r="N99" i="19"/>
  <c r="V99" i="19"/>
  <c r="U99" i="19"/>
  <c r="J99" i="19"/>
  <c r="R99" i="19"/>
  <c r="W99" i="19"/>
  <c r="M99" i="19"/>
  <c r="S99" i="19"/>
  <c r="H99" i="19"/>
  <c r="I99" i="19"/>
  <c r="Q99" i="19"/>
  <c r="Y99" i="19"/>
  <c r="U55" i="19"/>
  <c r="R55" i="19"/>
  <c r="X55" i="19"/>
  <c r="T55" i="19"/>
  <c r="H55" i="19"/>
  <c r="Y55" i="19"/>
  <c r="V55" i="19"/>
  <c r="J55" i="19"/>
  <c r="W55" i="19"/>
  <c r="N55" i="19"/>
  <c r="L55" i="19"/>
  <c r="I55" i="19"/>
  <c r="G55" i="19"/>
  <c r="S55" i="19"/>
  <c r="K55" i="19"/>
  <c r="Q55" i="19"/>
  <c r="M55" i="19"/>
  <c r="O55" i="19"/>
  <c r="T66" i="19"/>
  <c r="V66" i="19"/>
  <c r="L66" i="19"/>
  <c r="H66" i="19"/>
  <c r="G66" i="19"/>
  <c r="X66" i="19"/>
  <c r="I66" i="19"/>
  <c r="S66" i="19"/>
  <c r="N66" i="19"/>
  <c r="K66" i="19"/>
  <c r="J66" i="19"/>
  <c r="R66" i="19"/>
  <c r="M66" i="19"/>
  <c r="W66" i="19"/>
  <c r="Y66" i="19"/>
  <c r="Q66" i="19"/>
  <c r="U66" i="19"/>
  <c r="O66" i="19"/>
  <c r="V87" i="19"/>
  <c r="X87" i="19"/>
  <c r="Y87" i="19"/>
  <c r="I87" i="19"/>
  <c r="G87" i="19"/>
  <c r="H87" i="19"/>
  <c r="J87" i="19"/>
  <c r="M87" i="19"/>
  <c r="L87" i="19"/>
  <c r="N87" i="19"/>
  <c r="O87" i="19"/>
  <c r="T87" i="19"/>
  <c r="Q87" i="19"/>
  <c r="U87" i="19"/>
  <c r="R87" i="19"/>
  <c r="S87" i="19"/>
  <c r="W87" i="19"/>
  <c r="K87" i="19"/>
  <c r="H77" i="19"/>
  <c r="N77" i="19"/>
  <c r="V77" i="19"/>
  <c r="I77" i="19"/>
  <c r="Q77" i="19"/>
  <c r="W77" i="19"/>
  <c r="J77" i="19"/>
  <c r="R77" i="19"/>
  <c r="L77" i="19"/>
  <c r="U77" i="19"/>
  <c r="S77" i="19"/>
  <c r="K77" i="19"/>
  <c r="M77" i="19"/>
  <c r="O77" i="19"/>
  <c r="T77" i="19"/>
  <c r="Y77" i="19"/>
  <c r="G77" i="19"/>
  <c r="X77" i="19"/>
  <c r="K95" i="19"/>
  <c r="X95" i="19"/>
  <c r="U95" i="19"/>
  <c r="O95" i="19"/>
  <c r="L95" i="19"/>
  <c r="T95" i="19"/>
  <c r="W95" i="19"/>
  <c r="V95" i="19"/>
  <c r="S95" i="19"/>
  <c r="R95" i="19"/>
  <c r="G95" i="19"/>
  <c r="N95" i="19"/>
  <c r="M95" i="19"/>
  <c r="J95" i="19"/>
  <c r="Y95" i="19"/>
  <c r="I95" i="19"/>
  <c r="Q95" i="19"/>
  <c r="H95" i="19"/>
  <c r="G21" i="19"/>
  <c r="X21" i="19"/>
  <c r="J21" i="19"/>
  <c r="R21" i="19"/>
  <c r="S21" i="19"/>
  <c r="U21" i="19"/>
  <c r="M21" i="19"/>
  <c r="K21" i="19"/>
  <c r="I21" i="19"/>
  <c r="Q21" i="19"/>
  <c r="W21" i="19"/>
  <c r="Y21" i="19"/>
  <c r="O21" i="19"/>
  <c r="N21" i="19"/>
  <c r="V21" i="19"/>
  <c r="H21" i="19"/>
  <c r="T21" i="19"/>
  <c r="L21" i="19"/>
  <c r="R69" i="19"/>
  <c r="L69" i="19"/>
  <c r="O69" i="19"/>
  <c r="M69" i="19"/>
  <c r="N69" i="19"/>
  <c r="V69" i="19"/>
  <c r="T69" i="19"/>
  <c r="S69" i="19"/>
  <c r="U69" i="19"/>
  <c r="G69" i="19"/>
  <c r="X69" i="19"/>
  <c r="Y69" i="19"/>
  <c r="J69" i="19"/>
  <c r="W69" i="19"/>
  <c r="K69" i="19"/>
  <c r="H69" i="19"/>
  <c r="I69" i="19"/>
  <c r="Q69" i="19"/>
  <c r="I89" i="19"/>
  <c r="X89" i="19"/>
  <c r="Y89" i="19"/>
  <c r="W89" i="19"/>
  <c r="G89" i="19"/>
  <c r="H89" i="19"/>
  <c r="J89" i="19"/>
  <c r="L89" i="19"/>
  <c r="N89" i="19"/>
  <c r="O89" i="19"/>
  <c r="U89" i="19"/>
  <c r="Q89" i="19"/>
  <c r="S89" i="19"/>
  <c r="V89" i="19"/>
  <c r="K89" i="19"/>
  <c r="R89" i="19"/>
  <c r="M89" i="19"/>
  <c r="T89" i="19"/>
  <c r="L60" i="19"/>
  <c r="I60" i="19"/>
  <c r="J60" i="19"/>
  <c r="K60" i="19"/>
  <c r="T60" i="19"/>
  <c r="Q60" i="19"/>
  <c r="M60" i="19"/>
  <c r="N60" i="19"/>
  <c r="O60" i="19"/>
  <c r="U60" i="19"/>
  <c r="R60" i="19"/>
  <c r="S60" i="19"/>
  <c r="G60" i="19"/>
  <c r="W60" i="19"/>
  <c r="V60" i="19"/>
  <c r="H60" i="19"/>
  <c r="X60" i="19"/>
  <c r="Y60" i="19"/>
  <c r="K85" i="19"/>
  <c r="V85" i="19"/>
  <c r="X85" i="19"/>
  <c r="Y85" i="19"/>
  <c r="W85" i="19"/>
  <c r="I85" i="19"/>
  <c r="G85" i="19"/>
  <c r="H85" i="19"/>
  <c r="J85" i="19"/>
  <c r="M85" i="19"/>
  <c r="L85" i="19"/>
  <c r="N85" i="19"/>
  <c r="O85" i="19"/>
  <c r="T85" i="19"/>
  <c r="U85" i="19"/>
  <c r="R85" i="19"/>
  <c r="Q85" i="19"/>
  <c r="S85" i="19"/>
  <c r="M49" i="19"/>
  <c r="W49" i="19"/>
  <c r="N49" i="19"/>
  <c r="R49" i="19"/>
  <c r="I49" i="19"/>
  <c r="V49" i="19"/>
  <c r="K49" i="19"/>
  <c r="H49" i="19"/>
  <c r="Y49" i="19"/>
  <c r="O49" i="19"/>
  <c r="L49" i="19"/>
  <c r="T49" i="19"/>
  <c r="Q49" i="19"/>
  <c r="S49" i="19"/>
  <c r="G49" i="19"/>
  <c r="X49" i="19"/>
  <c r="J49" i="19"/>
  <c r="U49" i="19"/>
  <c r="O16" i="19"/>
  <c r="L16" i="19"/>
  <c r="I16" i="19"/>
  <c r="W16" i="19"/>
  <c r="T16" i="19"/>
  <c r="Q16" i="19"/>
  <c r="M16" i="19"/>
  <c r="J16" i="19"/>
  <c r="G16" i="19"/>
  <c r="X16" i="19"/>
  <c r="U16" i="19"/>
  <c r="R16" i="19"/>
  <c r="N16" i="19"/>
  <c r="V16" i="19"/>
  <c r="K16" i="19"/>
  <c r="S16" i="19"/>
  <c r="H16" i="19"/>
  <c r="Y16" i="19"/>
  <c r="N44" i="19"/>
  <c r="O44" i="19"/>
  <c r="W44" i="19"/>
  <c r="G44" i="19"/>
  <c r="X44" i="19"/>
  <c r="K44" i="19"/>
  <c r="H44" i="19"/>
  <c r="T44" i="19"/>
  <c r="J44" i="19"/>
  <c r="S44" i="19"/>
  <c r="R44" i="19"/>
  <c r="Y44" i="19"/>
  <c r="M44" i="19"/>
  <c r="U44" i="19"/>
  <c r="I44" i="19"/>
  <c r="Q44" i="19"/>
  <c r="L44" i="19"/>
  <c r="V44" i="19"/>
  <c r="I58" i="19"/>
  <c r="M58" i="19"/>
  <c r="R58" i="19"/>
  <c r="V58" i="19"/>
  <c r="J58" i="19"/>
  <c r="N58" i="19"/>
  <c r="S58" i="19"/>
  <c r="W58" i="19"/>
  <c r="G58" i="19"/>
  <c r="K58" i="19"/>
  <c r="O58" i="19"/>
  <c r="T58" i="19"/>
  <c r="X58" i="19"/>
  <c r="H58" i="19"/>
  <c r="L58" i="19"/>
  <c r="Q58" i="19"/>
  <c r="U58" i="19"/>
  <c r="Y58" i="19"/>
  <c r="W23" i="19"/>
  <c r="H23" i="19"/>
  <c r="Y23" i="19"/>
  <c r="V23" i="19"/>
  <c r="O23" i="19"/>
  <c r="S23" i="19"/>
  <c r="L23" i="19"/>
  <c r="I23" i="19"/>
  <c r="K23" i="19"/>
  <c r="X23" i="19"/>
  <c r="Q23" i="19"/>
  <c r="M23" i="19"/>
  <c r="T23" i="19"/>
  <c r="J23" i="19"/>
  <c r="R23" i="19"/>
  <c r="G23" i="19"/>
  <c r="U23" i="19"/>
  <c r="N23" i="19"/>
  <c r="T76" i="19"/>
  <c r="Q76" i="19"/>
  <c r="S76" i="19"/>
  <c r="W76" i="19"/>
  <c r="G76" i="19"/>
  <c r="X76" i="19"/>
  <c r="U76" i="19"/>
  <c r="M76" i="19"/>
  <c r="I76" i="19"/>
  <c r="K76" i="19"/>
  <c r="H76" i="19"/>
  <c r="Y76" i="19"/>
  <c r="V76" i="19"/>
  <c r="R76" i="19"/>
  <c r="N76" i="19"/>
  <c r="O76" i="19"/>
  <c r="L76" i="19"/>
  <c r="J76" i="19"/>
  <c r="G62" i="19"/>
  <c r="X62" i="19"/>
  <c r="U62" i="19"/>
  <c r="R62" i="19"/>
  <c r="N62" i="19"/>
  <c r="K62" i="19"/>
  <c r="H62" i="19"/>
  <c r="Y62" i="19"/>
  <c r="V62" i="19"/>
  <c r="J62" i="19"/>
  <c r="O62" i="19"/>
  <c r="L62" i="19"/>
  <c r="I62" i="19"/>
  <c r="S62" i="19"/>
  <c r="T62" i="19"/>
  <c r="Q62" i="19"/>
  <c r="M62" i="19"/>
  <c r="W62" i="19"/>
  <c r="T59" i="19"/>
  <c r="Q59" i="19"/>
  <c r="N59" i="19"/>
  <c r="X59" i="19"/>
  <c r="U59" i="19"/>
  <c r="I59" i="19"/>
  <c r="S59" i="19"/>
  <c r="H59" i="19"/>
  <c r="Y59" i="19"/>
  <c r="M59" i="19"/>
  <c r="L59" i="19"/>
  <c r="R59" i="19"/>
  <c r="G59" i="19"/>
  <c r="W59" i="19"/>
  <c r="J59" i="19"/>
  <c r="K59" i="19"/>
  <c r="V59" i="19"/>
  <c r="O59" i="19"/>
  <c r="K12" i="19"/>
  <c r="I12" i="19"/>
  <c r="G12" i="19"/>
  <c r="H12" i="19"/>
  <c r="J12" i="19"/>
  <c r="M12" i="19"/>
  <c r="L12" i="19"/>
  <c r="N12" i="19"/>
  <c r="O12" i="19"/>
  <c r="S12" i="19"/>
  <c r="U12" i="19"/>
  <c r="Q12" i="19"/>
  <c r="W12" i="19"/>
  <c r="X12" i="19"/>
  <c r="Y12" i="19"/>
  <c r="R12" i="19"/>
  <c r="T12" i="19"/>
  <c r="V12" i="19"/>
  <c r="W29" i="19"/>
  <c r="L29" i="19"/>
  <c r="I29" i="19"/>
  <c r="G29" i="19"/>
  <c r="T29" i="19"/>
  <c r="J29" i="19"/>
  <c r="Q29" i="19"/>
  <c r="M29" i="19"/>
  <c r="O29" i="19"/>
  <c r="N29" i="19"/>
  <c r="U29" i="19"/>
  <c r="R29" i="19"/>
  <c r="X29" i="19"/>
  <c r="H29" i="19"/>
  <c r="K29" i="19"/>
  <c r="Y29" i="19"/>
  <c r="V29" i="19"/>
  <c r="S29" i="19"/>
  <c r="I41" i="19"/>
  <c r="R41" i="19"/>
  <c r="T41" i="19"/>
  <c r="U41" i="19"/>
  <c r="L41" i="19"/>
  <c r="N41" i="19"/>
  <c r="W41" i="19"/>
  <c r="V41" i="19"/>
  <c r="Y41" i="19"/>
  <c r="K41" i="19"/>
  <c r="S41" i="19"/>
  <c r="H41" i="19"/>
  <c r="J41" i="19"/>
  <c r="Q41" i="19"/>
  <c r="X41" i="19"/>
  <c r="M41" i="19"/>
  <c r="O41" i="19"/>
  <c r="G41" i="19"/>
  <c r="O24" i="19"/>
  <c r="G24" i="19"/>
  <c r="X24" i="19"/>
  <c r="U24" i="19"/>
  <c r="R24" i="19"/>
  <c r="S24" i="19"/>
  <c r="T24" i="19"/>
  <c r="N24" i="19"/>
  <c r="H24" i="19"/>
  <c r="Y24" i="19"/>
  <c r="V24" i="19"/>
  <c r="J24" i="19"/>
  <c r="W24" i="19"/>
  <c r="L24" i="19"/>
  <c r="I24" i="19"/>
  <c r="Q24" i="19"/>
  <c r="M24" i="19"/>
  <c r="K24" i="19"/>
  <c r="L65" i="19"/>
  <c r="S65" i="19"/>
  <c r="H65" i="19"/>
  <c r="M65" i="19"/>
  <c r="U65" i="19"/>
  <c r="R65" i="19"/>
  <c r="W65" i="19"/>
  <c r="I65" i="19"/>
  <c r="G65" i="19"/>
  <c r="X65" i="19"/>
  <c r="K65" i="19"/>
  <c r="J65" i="19"/>
  <c r="N65" i="19"/>
  <c r="O65" i="19"/>
  <c r="Q65" i="19"/>
  <c r="Y65" i="19"/>
  <c r="T65" i="19"/>
  <c r="V65" i="19"/>
  <c r="K37" i="19"/>
  <c r="H37" i="19"/>
  <c r="I37" i="19"/>
  <c r="Q37" i="19"/>
  <c r="W37" i="19"/>
  <c r="O37" i="19"/>
  <c r="M37" i="19"/>
  <c r="N37" i="19"/>
  <c r="V37" i="19"/>
  <c r="T37" i="19"/>
  <c r="S37" i="19"/>
  <c r="U37" i="19"/>
  <c r="L37" i="19"/>
  <c r="J37" i="19"/>
  <c r="G37" i="19"/>
  <c r="R37" i="19"/>
  <c r="Y37" i="19"/>
  <c r="X37" i="19"/>
  <c r="N53" i="19"/>
  <c r="T53" i="19"/>
  <c r="K53" i="19"/>
  <c r="G53" i="19"/>
  <c r="W53" i="19"/>
  <c r="X53" i="19"/>
  <c r="L53" i="19"/>
  <c r="I53" i="19"/>
  <c r="S53" i="19"/>
  <c r="O53" i="19"/>
  <c r="Q53" i="19"/>
  <c r="M53" i="19"/>
  <c r="J53" i="19"/>
  <c r="U53" i="19"/>
  <c r="R53" i="19"/>
  <c r="H53" i="19"/>
  <c r="Y53" i="19"/>
  <c r="V53" i="19"/>
  <c r="L63" i="19"/>
  <c r="M63" i="19"/>
  <c r="S63" i="19"/>
  <c r="U63" i="19"/>
  <c r="R63" i="19"/>
  <c r="H63" i="19"/>
  <c r="N63" i="19"/>
  <c r="O63" i="19"/>
  <c r="Q63" i="19"/>
  <c r="T63" i="19"/>
  <c r="V63" i="19"/>
  <c r="Y63" i="19"/>
  <c r="G63" i="19"/>
  <c r="X63" i="19"/>
  <c r="I63" i="19"/>
  <c r="J63" i="19"/>
  <c r="K63" i="19"/>
  <c r="W63" i="19"/>
  <c r="I78" i="19"/>
  <c r="H78" i="19"/>
  <c r="J78" i="19"/>
  <c r="Q78" i="19"/>
  <c r="X78" i="19"/>
  <c r="M78" i="19"/>
  <c r="N78" i="19"/>
  <c r="O78" i="19"/>
  <c r="W78" i="19"/>
  <c r="G78" i="19"/>
  <c r="R78" i="19"/>
  <c r="T78" i="19"/>
  <c r="U78" i="19"/>
  <c r="S78" i="19"/>
  <c r="V78" i="19"/>
  <c r="L78" i="19"/>
  <c r="Y78" i="19"/>
  <c r="K78" i="19"/>
  <c r="J45" i="19"/>
  <c r="T45" i="19"/>
  <c r="Q45" i="19"/>
  <c r="M45" i="19"/>
  <c r="S45" i="19"/>
  <c r="G45" i="19"/>
  <c r="X45" i="19"/>
  <c r="U45" i="19"/>
  <c r="R45" i="19"/>
  <c r="W45" i="19"/>
  <c r="K45" i="19"/>
  <c r="H45" i="19"/>
  <c r="Y45" i="19"/>
  <c r="V45" i="19"/>
  <c r="O45" i="19"/>
  <c r="L45" i="19"/>
  <c r="N45" i="19"/>
  <c r="I45" i="19"/>
  <c r="T56" i="19"/>
  <c r="M56" i="19"/>
  <c r="N56" i="19"/>
  <c r="X56" i="19"/>
  <c r="R56" i="19"/>
  <c r="H56" i="19"/>
  <c r="S56" i="19"/>
  <c r="V56" i="19"/>
  <c r="L56" i="19"/>
  <c r="Y56" i="19"/>
  <c r="I56" i="19"/>
  <c r="G56" i="19"/>
  <c r="U56" i="19"/>
  <c r="O56" i="19"/>
  <c r="W56" i="19"/>
  <c r="Q56" i="19"/>
  <c r="J56" i="19"/>
  <c r="K56" i="19"/>
  <c r="S67" i="19"/>
  <c r="L67" i="19"/>
  <c r="U67" i="19"/>
  <c r="H67" i="19"/>
  <c r="R67" i="19"/>
  <c r="W67" i="19"/>
  <c r="Y67" i="19"/>
  <c r="O67" i="19"/>
  <c r="Q67" i="19"/>
  <c r="I67" i="19"/>
  <c r="N67" i="19"/>
  <c r="T67" i="19"/>
  <c r="V67" i="19"/>
  <c r="M67" i="19"/>
  <c r="G67" i="19"/>
  <c r="X67" i="19"/>
  <c r="K67" i="19"/>
  <c r="J67" i="19"/>
  <c r="T54" i="19"/>
  <c r="Q54" i="19"/>
  <c r="V54" i="19"/>
  <c r="R54" i="19"/>
  <c r="G54" i="19"/>
  <c r="X54" i="19"/>
  <c r="U54" i="19"/>
  <c r="N54" i="19"/>
  <c r="J54" i="19"/>
  <c r="K54" i="19"/>
  <c r="H54" i="19"/>
  <c r="Y54" i="19"/>
  <c r="W54" i="19"/>
  <c r="S54" i="19"/>
  <c r="M54" i="19"/>
  <c r="I54" i="19"/>
  <c r="O54" i="19"/>
  <c r="L54" i="19"/>
  <c r="N25" i="19"/>
  <c r="J25" i="19"/>
  <c r="U25" i="19"/>
  <c r="R25" i="19"/>
  <c r="X25" i="19"/>
  <c r="H25" i="19"/>
  <c r="Y25" i="19"/>
  <c r="V25" i="19"/>
  <c r="K25" i="19"/>
  <c r="W25" i="19"/>
  <c r="L25" i="19"/>
  <c r="I25" i="19"/>
  <c r="G25" i="19"/>
  <c r="T25" i="19"/>
  <c r="S25" i="19"/>
  <c r="Q25" i="19"/>
  <c r="O25" i="19"/>
  <c r="M25" i="19"/>
  <c r="U40" i="19"/>
  <c r="T40" i="19"/>
  <c r="K40" i="19"/>
  <c r="X40" i="19"/>
  <c r="H40" i="19"/>
  <c r="Y40" i="19"/>
  <c r="J40" i="19"/>
  <c r="R40" i="19"/>
  <c r="G40" i="19"/>
  <c r="N40" i="19"/>
  <c r="S40" i="19"/>
  <c r="I40" i="19"/>
  <c r="L40" i="19"/>
  <c r="O40" i="19"/>
  <c r="M40" i="19"/>
  <c r="Q40" i="19"/>
  <c r="V40" i="19"/>
  <c r="W40" i="19"/>
  <c r="N31" i="19"/>
  <c r="L31" i="19"/>
  <c r="I31" i="19"/>
  <c r="G31" i="19"/>
  <c r="S31" i="19"/>
  <c r="Q31" i="19"/>
  <c r="K31" i="19"/>
  <c r="O31" i="19"/>
  <c r="M31" i="19"/>
  <c r="U31" i="19"/>
  <c r="R31" i="19"/>
  <c r="X31" i="19"/>
  <c r="T31" i="19"/>
  <c r="J31" i="19"/>
  <c r="H31" i="19"/>
  <c r="V31" i="19"/>
  <c r="W31" i="19"/>
  <c r="Y31" i="19"/>
  <c r="L68" i="19"/>
  <c r="I68" i="19"/>
  <c r="O68" i="19"/>
  <c r="W68" i="19"/>
  <c r="M68" i="19"/>
  <c r="Q68" i="19"/>
  <c r="N68" i="19"/>
  <c r="V68" i="19"/>
  <c r="S68" i="19"/>
  <c r="Y68" i="19"/>
  <c r="R68" i="19"/>
  <c r="U68" i="19"/>
  <c r="T68" i="19"/>
  <c r="X68" i="19"/>
  <c r="H68" i="19"/>
  <c r="J68" i="19"/>
  <c r="G68" i="19"/>
  <c r="K68" i="19"/>
  <c r="G47" i="19"/>
  <c r="K47" i="19"/>
  <c r="Q47" i="19"/>
  <c r="W47" i="19"/>
  <c r="I47" i="19"/>
  <c r="Y47" i="19"/>
  <c r="S47" i="19"/>
  <c r="H47" i="19"/>
  <c r="J47" i="19"/>
  <c r="N47" i="19"/>
  <c r="O47" i="19"/>
  <c r="X47" i="19"/>
  <c r="T47" i="19"/>
  <c r="L47" i="19"/>
  <c r="V47" i="19"/>
  <c r="R47" i="19"/>
  <c r="M47" i="19"/>
  <c r="U47" i="19"/>
  <c r="BL8" i="19" l="1"/>
  <c r="BM8" i="19" s="1"/>
  <c r="BN8" i="19" s="1"/>
  <c r="BJ8" i="19"/>
  <c r="AC9" i="19"/>
  <c r="AT67" i="19"/>
  <c r="AK67" i="19"/>
  <c r="AS63" i="19"/>
  <c r="AJ63" i="19"/>
  <c r="AN62" i="19"/>
  <c r="AV62" i="19"/>
  <c r="AK44" i="19"/>
  <c r="AT44" i="19"/>
  <c r="AJ85" i="19"/>
  <c r="AS85" i="19"/>
  <c r="AZ95" i="19"/>
  <c r="AR95" i="19"/>
  <c r="AV95" i="19"/>
  <c r="AN95" i="19"/>
  <c r="AJ77" i="19"/>
  <c r="AS77" i="19"/>
  <c r="AT83" i="19"/>
  <c r="AK83" i="19"/>
  <c r="AT82" i="19"/>
  <c r="AK82" i="19"/>
  <c r="AZ86" i="19"/>
  <c r="AR86" i="19"/>
  <c r="AS79" i="19"/>
  <c r="AJ79" i="19"/>
  <c r="BB79" i="19"/>
  <c r="AM79" i="19"/>
  <c r="AX51" i="19"/>
  <c r="AP51" i="19"/>
  <c r="AV81" i="19"/>
  <c r="AN81" i="19"/>
  <c r="AJ101" i="19"/>
  <c r="AS101" i="19"/>
  <c r="AX90" i="19"/>
  <c r="AP90" i="19"/>
  <c r="AV90" i="19"/>
  <c r="AN90" i="19"/>
  <c r="AW90" i="19"/>
  <c r="AO90" i="19"/>
  <c r="AW70" i="19"/>
  <c r="AO70" i="19"/>
  <c r="AY92" i="19"/>
  <c r="AQ92" i="19"/>
  <c r="BA92" i="19"/>
  <c r="AL92" i="19"/>
  <c r="AU92" i="19"/>
  <c r="AK92" i="19"/>
  <c r="AT92" i="19"/>
  <c r="AX100" i="19"/>
  <c r="AP100" i="19"/>
  <c r="AY96" i="19"/>
  <c r="AQ96" i="19"/>
  <c r="AS96" i="19"/>
  <c r="AJ96" i="19"/>
  <c r="AO96" i="19"/>
  <c r="AW96" i="19"/>
  <c r="AP96" i="19"/>
  <c r="AX96" i="19"/>
  <c r="AX97" i="19"/>
  <c r="AP97" i="19"/>
  <c r="AX38" i="19"/>
  <c r="AP38" i="19"/>
  <c r="AX93" i="19"/>
  <c r="AP93" i="19"/>
  <c r="AY93" i="19"/>
  <c r="AQ93" i="19"/>
  <c r="AU93" i="19"/>
  <c r="BA93" i="19"/>
  <c r="AL93" i="19"/>
  <c r="AZ88" i="19"/>
  <c r="AR88" i="19"/>
  <c r="AV88" i="19"/>
  <c r="AN88" i="19"/>
  <c r="BB88" i="19"/>
  <c r="AM88" i="19"/>
  <c r="AV91" i="19"/>
  <c r="AN91" i="19"/>
  <c r="AV80" i="19"/>
  <c r="AN80" i="19"/>
  <c r="AS80" i="19"/>
  <c r="AJ80" i="19"/>
  <c r="BB80" i="19"/>
  <c r="AM80" i="19"/>
  <c r="AS73" i="19"/>
  <c r="AJ73" i="19"/>
  <c r="AW73" i="19"/>
  <c r="AO73" i="19"/>
  <c r="AS98" i="19"/>
  <c r="AJ98" i="19"/>
  <c r="BB68" i="19"/>
  <c r="AM68" i="19"/>
  <c r="AW67" i="19"/>
  <c r="AO67" i="19"/>
  <c r="AX56" i="19"/>
  <c r="AP56" i="19"/>
  <c r="AW78" i="19"/>
  <c r="AO78" i="19"/>
  <c r="AX85" i="19"/>
  <c r="AP85" i="19"/>
  <c r="AK60" i="19"/>
  <c r="AT60" i="19"/>
  <c r="AY69" i="19"/>
  <c r="AQ69" i="19"/>
  <c r="BB66" i="19"/>
  <c r="AM66" i="19"/>
  <c r="AY99" i="19"/>
  <c r="AQ99" i="19"/>
  <c r="AP64" i="19"/>
  <c r="AX64" i="19"/>
  <c r="AZ71" i="19"/>
  <c r="AR71" i="19"/>
  <c r="BA75" i="19"/>
  <c r="AL75" i="19"/>
  <c r="AU75" i="19"/>
  <c r="AV75" i="19"/>
  <c r="AN75" i="19"/>
  <c r="BB101" i="19"/>
  <c r="AM101" i="19"/>
  <c r="AX101" i="19"/>
  <c r="AP101" i="19"/>
  <c r="BA90" i="19"/>
  <c r="AU90" i="19"/>
  <c r="AL90" i="19"/>
  <c r="BB94" i="19"/>
  <c r="AM94" i="19"/>
  <c r="AV68" i="19"/>
  <c r="AN68" i="19"/>
  <c r="AW68" i="19"/>
  <c r="AO68" i="19"/>
  <c r="AX68" i="19"/>
  <c r="AP68" i="19"/>
  <c r="AS40" i="19"/>
  <c r="AJ40" i="19"/>
  <c r="AT54" i="19"/>
  <c r="AK54" i="19"/>
  <c r="AY67" i="19"/>
  <c r="AQ67" i="19"/>
  <c r="BB67" i="19"/>
  <c r="AM67" i="19"/>
  <c r="BA78" i="19"/>
  <c r="AU78" i="19"/>
  <c r="AL78" i="19"/>
  <c r="AZ63" i="19"/>
  <c r="AR63" i="19"/>
  <c r="AV63" i="19"/>
  <c r="AN63" i="19"/>
  <c r="AW65" i="19"/>
  <c r="AO65" i="19"/>
  <c r="AQ65" i="19"/>
  <c r="AY65" i="19"/>
  <c r="AT65" i="19"/>
  <c r="AK65" i="19"/>
  <c r="BA65" i="19"/>
  <c r="AU65" i="19"/>
  <c r="AL65" i="19"/>
  <c r="AS41" i="19"/>
  <c r="AJ41" i="19"/>
  <c r="AY59" i="19"/>
  <c r="AQ59" i="19"/>
  <c r="AX62" i="19"/>
  <c r="AP62" i="19"/>
  <c r="BA62" i="19"/>
  <c r="AU62" i="19"/>
  <c r="AL62" i="19"/>
  <c r="AY62" i="19"/>
  <c r="AQ62" i="19"/>
  <c r="AZ76" i="19"/>
  <c r="AR76" i="19"/>
  <c r="AX76" i="19"/>
  <c r="AP76" i="19"/>
  <c r="AX58" i="19"/>
  <c r="AP58" i="19"/>
  <c r="AW44" i="19"/>
  <c r="AO44" i="19"/>
  <c r="AV44" i="19"/>
  <c r="AN44" i="19"/>
  <c r="BA44" i="19"/>
  <c r="AL44" i="19"/>
  <c r="AU44" i="19"/>
  <c r="AV49" i="19"/>
  <c r="AN49" i="19"/>
  <c r="BA49" i="19"/>
  <c r="AU49" i="19"/>
  <c r="AL49" i="19"/>
  <c r="AW49" i="19"/>
  <c r="AO49" i="19"/>
  <c r="AX49" i="19"/>
  <c r="AP49" i="19"/>
  <c r="AK85" i="19"/>
  <c r="AT85" i="19"/>
  <c r="AZ60" i="19"/>
  <c r="AR60" i="19"/>
  <c r="AX60" i="19"/>
  <c r="AP60" i="19"/>
  <c r="AV60" i="19"/>
  <c r="AN60" i="19"/>
  <c r="AJ60" i="19"/>
  <c r="AS60" i="19"/>
  <c r="AT89" i="19"/>
  <c r="AK89" i="19"/>
  <c r="AS89" i="19"/>
  <c r="AJ89" i="19"/>
  <c r="AX89" i="19"/>
  <c r="AP89" i="19"/>
  <c r="AJ69" i="19"/>
  <c r="AS69" i="19"/>
  <c r="AX69" i="19"/>
  <c r="AP69" i="19"/>
  <c r="AW69" i="19"/>
  <c r="AO69" i="19"/>
  <c r="AT95" i="19"/>
  <c r="AK95" i="19"/>
  <c r="BB95" i="19"/>
  <c r="AM95" i="19"/>
  <c r="AY95" i="19"/>
  <c r="AQ95" i="19"/>
  <c r="AZ77" i="19"/>
  <c r="AR77" i="19"/>
  <c r="AK77" i="19"/>
  <c r="AT77" i="19"/>
  <c r="AV87" i="19"/>
  <c r="AN87" i="19"/>
  <c r="AY87" i="19"/>
  <c r="AQ87" i="19"/>
  <c r="AS66" i="19"/>
  <c r="AJ66" i="19"/>
  <c r="AT66" i="19"/>
  <c r="AK66" i="19"/>
  <c r="BA66" i="19"/>
  <c r="AU66" i="19"/>
  <c r="AL66" i="19"/>
  <c r="AX99" i="19"/>
  <c r="AP99" i="19"/>
  <c r="AW99" i="19"/>
  <c r="AO99" i="19"/>
  <c r="AV83" i="19"/>
  <c r="AN83" i="19"/>
  <c r="AY83" i="19"/>
  <c r="AQ83" i="19"/>
  <c r="AW83" i="19"/>
  <c r="AO83" i="19"/>
  <c r="AY74" i="19"/>
  <c r="AQ74" i="19"/>
  <c r="BB74" i="19"/>
  <c r="AM74" i="19"/>
  <c r="AV74" i="19"/>
  <c r="AN74" i="19"/>
  <c r="BA64" i="19"/>
  <c r="AU64" i="19"/>
  <c r="AL64" i="19"/>
  <c r="AV64" i="19"/>
  <c r="AN64" i="19"/>
  <c r="AX82" i="19"/>
  <c r="AP82" i="19"/>
  <c r="AN82" i="19"/>
  <c r="AV82" i="19"/>
  <c r="AY71" i="19"/>
  <c r="AQ71" i="19"/>
  <c r="BA71" i="19"/>
  <c r="AU71" i="19"/>
  <c r="AL71" i="19"/>
  <c r="AN61" i="19"/>
  <c r="AV61" i="19"/>
  <c r="AJ61" i="19"/>
  <c r="AS61" i="19"/>
  <c r="AY61" i="19"/>
  <c r="AQ61" i="19"/>
  <c r="AS43" i="19"/>
  <c r="AJ43" i="19"/>
  <c r="AS86" i="19"/>
  <c r="AJ86" i="19"/>
  <c r="AY86" i="19"/>
  <c r="AQ86" i="19"/>
  <c r="AS42" i="19"/>
  <c r="AJ42" i="19"/>
  <c r="AW79" i="19"/>
  <c r="AO79" i="19"/>
  <c r="AY79" i="19"/>
  <c r="AQ79" i="19"/>
  <c r="BA79" i="19"/>
  <c r="AU79" i="19"/>
  <c r="AL79" i="19"/>
  <c r="AX75" i="19"/>
  <c r="AP75" i="19"/>
  <c r="AY75" i="19"/>
  <c r="AQ75" i="19"/>
  <c r="AQ81" i="19"/>
  <c r="AY81" i="19"/>
  <c r="AX81" i="19"/>
  <c r="AP81" i="19"/>
  <c r="AY101" i="19"/>
  <c r="AQ101" i="19"/>
  <c r="AZ90" i="19"/>
  <c r="AR90" i="19"/>
  <c r="BB90" i="19"/>
  <c r="AM90" i="19"/>
  <c r="AY94" i="19"/>
  <c r="AQ94" i="19"/>
  <c r="AW94" i="19"/>
  <c r="AO94" i="19"/>
  <c r="AY70" i="19"/>
  <c r="AQ70" i="19"/>
  <c r="AZ70" i="19"/>
  <c r="AR70" i="19"/>
  <c r="AX70" i="19"/>
  <c r="AP70" i="19"/>
  <c r="AS70" i="19"/>
  <c r="AJ70" i="19"/>
  <c r="AX92" i="19"/>
  <c r="AP92" i="19"/>
  <c r="AJ92" i="19"/>
  <c r="AS92" i="19"/>
  <c r="AT39" i="19"/>
  <c r="AK39" i="19"/>
  <c r="AY100" i="19"/>
  <c r="AQ100" i="19"/>
  <c r="AZ96" i="19"/>
  <c r="AR96" i="19"/>
  <c r="BB96" i="19"/>
  <c r="AM96" i="19"/>
  <c r="BA96" i="19"/>
  <c r="AU96" i="19"/>
  <c r="AL96" i="19"/>
  <c r="AX46" i="19"/>
  <c r="AP46" i="19"/>
  <c r="AX36" i="19"/>
  <c r="AP36" i="19"/>
  <c r="AJ93" i="19"/>
  <c r="AS93" i="19"/>
  <c r="AK93" i="19"/>
  <c r="AT93" i="19"/>
  <c r="AX72" i="19"/>
  <c r="AP72" i="19"/>
  <c r="AS72" i="19"/>
  <c r="AJ72" i="19"/>
  <c r="AS88" i="19"/>
  <c r="AJ88" i="19"/>
  <c r="BA88" i="19"/>
  <c r="AU88" i="19"/>
  <c r="AL88" i="19"/>
  <c r="AX88" i="19"/>
  <c r="AP88" i="19"/>
  <c r="AP48" i="19"/>
  <c r="AX48" i="19"/>
  <c r="AT91" i="19"/>
  <c r="AK91" i="19"/>
  <c r="AS91" i="19"/>
  <c r="AJ91" i="19"/>
  <c r="AZ91" i="19"/>
  <c r="AR91" i="19"/>
  <c r="BA80" i="19"/>
  <c r="AU80" i="19"/>
  <c r="AL80" i="19"/>
  <c r="AO80" i="19"/>
  <c r="AW80" i="19"/>
  <c r="AN73" i="19"/>
  <c r="AV73" i="19"/>
  <c r="AY73" i="19"/>
  <c r="AQ73" i="19"/>
  <c r="AX73" i="19"/>
  <c r="AP73" i="19"/>
  <c r="AX98" i="19"/>
  <c r="AP98" i="19"/>
  <c r="AS67" i="19"/>
  <c r="AJ67" i="19"/>
  <c r="AT63" i="19"/>
  <c r="AK63" i="19"/>
  <c r="AX37" i="19"/>
  <c r="AP37" i="19"/>
  <c r="AX65" i="19"/>
  <c r="AP65" i="19"/>
  <c r="AX41" i="19"/>
  <c r="AP41" i="19"/>
  <c r="AW76" i="19"/>
  <c r="AO76" i="19"/>
  <c r="BB76" i="19"/>
  <c r="AM76" i="19"/>
  <c r="AX44" i="19"/>
  <c r="AP44" i="19"/>
  <c r="AW60" i="19"/>
  <c r="AO60" i="19"/>
  <c r="AP95" i="19"/>
  <c r="AX95" i="19"/>
  <c r="AT87" i="19"/>
  <c r="AK87" i="19"/>
  <c r="AZ87" i="19"/>
  <c r="AR87" i="19"/>
  <c r="AN99" i="19"/>
  <c r="AV99" i="19"/>
  <c r="AK61" i="19"/>
  <c r="AT61" i="19"/>
  <c r="AT86" i="19"/>
  <c r="AK86" i="19"/>
  <c r="AK68" i="19"/>
  <c r="AT68" i="19"/>
  <c r="AZ67" i="19"/>
  <c r="AR67" i="19"/>
  <c r="AV67" i="19"/>
  <c r="AN67" i="19"/>
  <c r="AZ78" i="19"/>
  <c r="AR78" i="19"/>
  <c r="AV78" i="19"/>
  <c r="AN78" i="19"/>
  <c r="AX78" i="19"/>
  <c r="AP78" i="19"/>
  <c r="AY78" i="19"/>
  <c r="AQ78" i="19"/>
  <c r="AW63" i="19"/>
  <c r="AO63" i="19"/>
  <c r="BA63" i="19"/>
  <c r="AU63" i="19"/>
  <c r="AL63" i="19"/>
  <c r="AX53" i="19"/>
  <c r="AP53" i="19"/>
  <c r="BB65" i="19"/>
  <c r="AM65" i="19"/>
  <c r="AV65" i="19"/>
  <c r="AN65" i="19"/>
  <c r="AW62" i="19"/>
  <c r="AO62" i="19"/>
  <c r="AV76" i="19"/>
  <c r="AN76" i="19"/>
  <c r="BA76" i="19"/>
  <c r="AL76" i="19"/>
  <c r="AU76" i="19"/>
  <c r="AY44" i="19"/>
  <c r="AQ44" i="19"/>
  <c r="AS49" i="19"/>
  <c r="AJ49" i="19"/>
  <c r="AZ49" i="19"/>
  <c r="AR49" i="19"/>
  <c r="AV85" i="19"/>
  <c r="AN85" i="19"/>
  <c r="AY60" i="19"/>
  <c r="AQ60" i="19"/>
  <c r="BB60" i="19"/>
  <c r="AM60" i="19"/>
  <c r="AV89" i="19"/>
  <c r="AN89" i="19"/>
  <c r="AZ89" i="19"/>
  <c r="AR89" i="19"/>
  <c r="AV69" i="19"/>
  <c r="AN69" i="19"/>
  <c r="AK69" i="19"/>
  <c r="AT69" i="19"/>
  <c r="AS95" i="19"/>
  <c r="AJ95" i="19"/>
  <c r="BA95" i="19"/>
  <c r="AU95" i="19"/>
  <c r="AL95" i="19"/>
  <c r="BB77" i="19"/>
  <c r="AM77" i="19"/>
  <c r="AU77" i="19"/>
  <c r="BA77" i="19"/>
  <c r="AL77" i="19"/>
  <c r="AW77" i="19"/>
  <c r="AO77" i="19"/>
  <c r="AX87" i="19"/>
  <c r="AP87" i="19"/>
  <c r="AS87" i="19"/>
  <c r="AJ87" i="19"/>
  <c r="AW87" i="19"/>
  <c r="AO87" i="19"/>
  <c r="AR66" i="19"/>
  <c r="AZ66" i="19"/>
  <c r="BB99" i="19"/>
  <c r="AM99" i="19"/>
  <c r="AL83" i="19"/>
  <c r="BA83" i="19"/>
  <c r="AU83" i="19"/>
  <c r="BB83" i="19"/>
  <c r="AM83" i="19"/>
  <c r="AX83" i="19"/>
  <c r="AP83" i="19"/>
  <c r="AT74" i="19"/>
  <c r="AK74" i="19"/>
  <c r="BA74" i="19"/>
  <c r="AU74" i="19"/>
  <c r="AL74" i="19"/>
  <c r="AX74" i="19"/>
  <c r="AP74" i="19"/>
  <c r="AX52" i="19"/>
  <c r="AP52" i="19"/>
  <c r="AY64" i="19"/>
  <c r="AQ64" i="19"/>
  <c r="AO64" i="19"/>
  <c r="AW64" i="19"/>
  <c r="AZ64" i="19"/>
  <c r="AR64" i="19"/>
  <c r="AX103" i="19"/>
  <c r="AP103" i="19"/>
  <c r="AR82" i="19"/>
  <c r="AZ82" i="19"/>
  <c r="BB82" i="19"/>
  <c r="AM82" i="19"/>
  <c r="AX71" i="19"/>
  <c r="AP71" i="19"/>
  <c r="BB71" i="19"/>
  <c r="AM71" i="19"/>
  <c r="AT71" i="19"/>
  <c r="AK71" i="19"/>
  <c r="AS71" i="19"/>
  <c r="AJ71" i="19"/>
  <c r="AZ61" i="19"/>
  <c r="AR61" i="19"/>
  <c r="AX61" i="19"/>
  <c r="AP61" i="19"/>
  <c r="AW61" i="19"/>
  <c r="AO61" i="19"/>
  <c r="BB34" i="19"/>
  <c r="AM34" i="19"/>
  <c r="AV86" i="19"/>
  <c r="AN86" i="19"/>
  <c r="AW86" i="19"/>
  <c r="AO86" i="19"/>
  <c r="AP79" i="19"/>
  <c r="AX79" i="19"/>
  <c r="AT79" i="19"/>
  <c r="AK79" i="19"/>
  <c r="AZ79" i="19"/>
  <c r="AR79" i="19"/>
  <c r="AV79" i="19"/>
  <c r="AN79" i="19"/>
  <c r="AO75" i="19"/>
  <c r="AW75" i="19"/>
  <c r="BB75" i="19"/>
  <c r="AM75" i="19"/>
  <c r="AW81" i="19"/>
  <c r="AO81" i="19"/>
  <c r="AZ81" i="19"/>
  <c r="AR81" i="19"/>
  <c r="BB81" i="19"/>
  <c r="AM81" i="19"/>
  <c r="AS90" i="19"/>
  <c r="AJ90" i="19"/>
  <c r="BA94" i="19"/>
  <c r="AU94" i="19"/>
  <c r="AL94" i="19"/>
  <c r="AT94" i="19"/>
  <c r="AK94" i="19"/>
  <c r="BB70" i="19"/>
  <c r="AM70" i="19"/>
  <c r="AX102" i="19"/>
  <c r="AP102" i="19"/>
  <c r="AV92" i="19"/>
  <c r="AN92" i="19"/>
  <c r="AW92" i="19"/>
  <c r="AO92" i="19"/>
  <c r="AV39" i="19"/>
  <c r="AN39" i="19"/>
  <c r="AT96" i="19"/>
  <c r="AK96" i="19"/>
  <c r="AS97" i="19"/>
  <c r="AJ97" i="19"/>
  <c r="AW93" i="19"/>
  <c r="AO93" i="19"/>
  <c r="AV93" i="19"/>
  <c r="AN93" i="19"/>
  <c r="BA72" i="19"/>
  <c r="AU72" i="19"/>
  <c r="AL72" i="19"/>
  <c r="AV72" i="19"/>
  <c r="AN72" i="19"/>
  <c r="BB72" i="19"/>
  <c r="AM72" i="19"/>
  <c r="AX57" i="19"/>
  <c r="AP57" i="19"/>
  <c r="AW88" i="19"/>
  <c r="AO88" i="19"/>
  <c r="BA91" i="19"/>
  <c r="AL91" i="19"/>
  <c r="AU91" i="19"/>
  <c r="AY91" i="19"/>
  <c r="AQ91" i="19"/>
  <c r="AT80" i="19"/>
  <c r="AK80" i="19"/>
  <c r="AZ80" i="19"/>
  <c r="AR80" i="19"/>
  <c r="AZ73" i="19"/>
  <c r="AR73" i="19"/>
  <c r="BA73" i="19"/>
  <c r="AU73" i="19"/>
  <c r="AL73" i="19"/>
  <c r="AT73" i="19"/>
  <c r="AK73" i="19"/>
  <c r="BA68" i="19"/>
  <c r="AL68" i="19"/>
  <c r="AU68" i="19"/>
  <c r="BA67" i="19"/>
  <c r="AL67" i="19"/>
  <c r="AU67" i="19"/>
  <c r="AT78" i="19"/>
  <c r="AK78" i="19"/>
  <c r="AS65" i="19"/>
  <c r="AJ65" i="19"/>
  <c r="BB62" i="19"/>
  <c r="AM62" i="19"/>
  <c r="BA89" i="19"/>
  <c r="AU89" i="19"/>
  <c r="AL89" i="19"/>
  <c r="BB69" i="19"/>
  <c r="AM69" i="19"/>
  <c r="AV66" i="19"/>
  <c r="AN66" i="19"/>
  <c r="AX84" i="19"/>
  <c r="AP84" i="19"/>
  <c r="AS74" i="19"/>
  <c r="AJ74" i="19"/>
  <c r="AT64" i="19"/>
  <c r="AK64" i="19"/>
  <c r="AW82" i="19"/>
  <c r="AO82" i="19"/>
  <c r="AX42" i="19"/>
  <c r="AP42" i="19"/>
  <c r="AS75" i="19"/>
  <c r="AJ75" i="19"/>
  <c r="AT81" i="19"/>
  <c r="AK81" i="19"/>
  <c r="AP47" i="19"/>
  <c r="AX47" i="19"/>
  <c r="AY68" i="19"/>
  <c r="AQ68" i="19"/>
  <c r="AZ68" i="19"/>
  <c r="AR68" i="19"/>
  <c r="AJ68" i="19"/>
  <c r="AS68" i="19"/>
  <c r="AX40" i="19"/>
  <c r="AP40" i="19"/>
  <c r="AX67" i="19"/>
  <c r="AP67" i="19"/>
  <c r="AX45" i="19"/>
  <c r="AP45" i="19"/>
  <c r="BB78" i="19"/>
  <c r="AM78" i="19"/>
  <c r="AS78" i="19"/>
  <c r="AJ78" i="19"/>
  <c r="AP63" i="19"/>
  <c r="AX63" i="19"/>
  <c r="AY63" i="19"/>
  <c r="AQ63" i="19"/>
  <c r="BB63" i="19"/>
  <c r="AM63" i="19"/>
  <c r="AZ65" i="19"/>
  <c r="AR65" i="19"/>
  <c r="AX59" i="19"/>
  <c r="AP59" i="19"/>
  <c r="AS62" i="19"/>
  <c r="AJ62" i="19"/>
  <c r="AZ62" i="19"/>
  <c r="AR62" i="19"/>
  <c r="AT62" i="19"/>
  <c r="AK62" i="19"/>
  <c r="AK76" i="19"/>
  <c r="AT76" i="19"/>
  <c r="AY76" i="19"/>
  <c r="AQ76" i="19"/>
  <c r="AJ76" i="19"/>
  <c r="AS76" i="19"/>
  <c r="AJ44" i="19"/>
  <c r="AS44" i="19"/>
  <c r="AZ44" i="19"/>
  <c r="AR44" i="19"/>
  <c r="BB44" i="19"/>
  <c r="AM44" i="19"/>
  <c r="AQ49" i="19"/>
  <c r="AY49" i="19"/>
  <c r="BB49" i="19"/>
  <c r="AM49" i="19"/>
  <c r="AT49" i="19"/>
  <c r="AK49" i="19"/>
  <c r="BA60" i="19"/>
  <c r="AL60" i="19"/>
  <c r="AU60" i="19"/>
  <c r="BB89" i="19"/>
  <c r="AM89" i="19"/>
  <c r="AW89" i="19"/>
  <c r="AO89" i="19"/>
  <c r="AY89" i="19"/>
  <c r="AQ89" i="19"/>
  <c r="AZ69" i="19"/>
  <c r="AR69" i="19"/>
  <c r="BA69" i="19"/>
  <c r="AU69" i="19"/>
  <c r="AL69" i="19"/>
  <c r="AW95" i="19"/>
  <c r="AO95" i="19"/>
  <c r="AY77" i="19"/>
  <c r="AQ77" i="19"/>
  <c r="AV77" i="19"/>
  <c r="AN77" i="19"/>
  <c r="AX77" i="19"/>
  <c r="AP77" i="19"/>
  <c r="BA87" i="19"/>
  <c r="AU87" i="19"/>
  <c r="AL87" i="19"/>
  <c r="BB87" i="19"/>
  <c r="AM87" i="19"/>
  <c r="AX66" i="19"/>
  <c r="AP66" i="19"/>
  <c r="AQ66" i="19"/>
  <c r="AY66" i="19"/>
  <c r="AW66" i="19"/>
  <c r="AO66" i="19"/>
  <c r="BA99" i="19"/>
  <c r="AL99" i="19"/>
  <c r="AU99" i="19"/>
  <c r="AZ83" i="19"/>
  <c r="AR83" i="19"/>
  <c r="AS83" i="19"/>
  <c r="AJ83" i="19"/>
  <c r="AJ84" i="19"/>
  <c r="AS84" i="19"/>
  <c r="AW74" i="19"/>
  <c r="AO74" i="19"/>
  <c r="AZ74" i="19"/>
  <c r="AR74" i="19"/>
  <c r="BB64" i="19"/>
  <c r="AM64" i="19"/>
  <c r="AS64" i="19"/>
  <c r="AJ64" i="19"/>
  <c r="AX35" i="19"/>
  <c r="AP35" i="19"/>
  <c r="AS82" i="19"/>
  <c r="AJ82" i="19"/>
  <c r="AQ82" i="19"/>
  <c r="AY82" i="19"/>
  <c r="BA82" i="19"/>
  <c r="AU82" i="19"/>
  <c r="AL82" i="19"/>
  <c r="AW71" i="19"/>
  <c r="AO71" i="19"/>
  <c r="AV71" i="19"/>
  <c r="AN71" i="19"/>
  <c r="BB61" i="19"/>
  <c r="AM61" i="19"/>
  <c r="AU61" i="19"/>
  <c r="BA61" i="19"/>
  <c r="AL61" i="19"/>
  <c r="AX43" i="19"/>
  <c r="AP43" i="19"/>
  <c r="BA86" i="19"/>
  <c r="AU86" i="19"/>
  <c r="AL86" i="19"/>
  <c r="BB86" i="19"/>
  <c r="AM86" i="19"/>
  <c r="AX86" i="19"/>
  <c r="AP86" i="19"/>
  <c r="AZ75" i="19"/>
  <c r="AR75" i="19"/>
  <c r="AT75" i="19"/>
  <c r="AK75" i="19"/>
  <c r="BA81" i="19"/>
  <c r="AU81" i="19"/>
  <c r="AL81" i="19"/>
  <c r="AS81" i="19"/>
  <c r="AJ81" i="19"/>
  <c r="AY90" i="19"/>
  <c r="AQ90" i="19"/>
  <c r="AT90" i="19"/>
  <c r="AK90" i="19"/>
  <c r="AZ94" i="19"/>
  <c r="AR94" i="19"/>
  <c r="AV94" i="19"/>
  <c r="AN94" i="19"/>
  <c r="AX94" i="19"/>
  <c r="AP94" i="19"/>
  <c r="AS94" i="19"/>
  <c r="AJ94" i="19"/>
  <c r="AV70" i="19"/>
  <c r="AN70" i="19"/>
  <c r="BA70" i="19"/>
  <c r="AU70" i="19"/>
  <c r="AL70" i="19"/>
  <c r="AT70" i="19"/>
  <c r="AK70" i="19"/>
  <c r="AS102" i="19"/>
  <c r="AJ102" i="19"/>
  <c r="AZ92" i="19"/>
  <c r="AR92" i="19"/>
  <c r="BB92" i="19"/>
  <c r="AM92" i="19"/>
  <c r="AS39" i="19"/>
  <c r="AJ39" i="19"/>
  <c r="AX39" i="19"/>
  <c r="AP39" i="19"/>
  <c r="AV96" i="19"/>
  <c r="AN96" i="19"/>
  <c r="AX50" i="19"/>
  <c r="AP50" i="19"/>
  <c r="AZ93" i="19"/>
  <c r="AR93" i="19"/>
  <c r="BB93" i="19"/>
  <c r="AM93" i="19"/>
  <c r="AT72" i="19"/>
  <c r="AK72" i="19"/>
  <c r="AW72" i="19"/>
  <c r="AO72" i="19"/>
  <c r="AZ72" i="19"/>
  <c r="AR72" i="19"/>
  <c r="AY72" i="19"/>
  <c r="AQ72" i="19"/>
  <c r="AT88" i="19"/>
  <c r="AK88" i="19"/>
  <c r="AY88" i="19"/>
  <c r="AQ88" i="19"/>
  <c r="AW91" i="19"/>
  <c r="AO91" i="19"/>
  <c r="AX91" i="19"/>
  <c r="AP91" i="19"/>
  <c r="BB91" i="19"/>
  <c r="AM91" i="19"/>
  <c r="AY80" i="19"/>
  <c r="AQ80" i="19"/>
  <c r="AP80" i="19"/>
  <c r="AX80" i="19"/>
  <c r="BB73" i="19"/>
  <c r="AM73" i="19"/>
  <c r="Z25" i="19"/>
  <c r="Z56" i="19"/>
  <c r="Z62" i="19"/>
  <c r="P56" i="19"/>
  <c r="Z78" i="19"/>
  <c r="Z85" i="19"/>
  <c r="Z77" i="19"/>
  <c r="Z99" i="19"/>
  <c r="Z74" i="19"/>
  <c r="Z33" i="19"/>
  <c r="Z35" i="19"/>
  <c r="Z20" i="19"/>
  <c r="Z79" i="19"/>
  <c r="Z14" i="19"/>
  <c r="Z73" i="19"/>
  <c r="Z44" i="19"/>
  <c r="P44" i="19"/>
  <c r="Z16" i="19"/>
  <c r="Z21" i="19"/>
  <c r="Z55" i="19"/>
  <c r="P99" i="19"/>
  <c r="Z83" i="19"/>
  <c r="P83" i="19"/>
  <c r="Z84" i="19"/>
  <c r="P52" i="19"/>
  <c r="Z52" i="19"/>
  <c r="P64" i="19"/>
  <c r="Z64" i="19"/>
  <c r="Z28" i="19"/>
  <c r="Z17" i="19"/>
  <c r="P17" i="19"/>
  <c r="Z82" i="19"/>
  <c r="P71" i="19"/>
  <c r="P34" i="19"/>
  <c r="Z19" i="19"/>
  <c r="P26" i="19"/>
  <c r="Z13" i="19"/>
  <c r="P22" i="19"/>
  <c r="Z81" i="19"/>
  <c r="Z94" i="19"/>
  <c r="Z102" i="19"/>
  <c r="Z39" i="19"/>
  <c r="P100" i="19"/>
  <c r="P97" i="19"/>
  <c r="Z32" i="19"/>
  <c r="Z68" i="19"/>
  <c r="Z75" i="19"/>
  <c r="Z101" i="19"/>
  <c r="Z96" i="19"/>
  <c r="Z48" i="19"/>
  <c r="Z80" i="19"/>
  <c r="Z27" i="19"/>
  <c r="Z98" i="19"/>
  <c r="Z54" i="19"/>
  <c r="Z12" i="19"/>
  <c r="P23" i="19"/>
  <c r="Z67" i="19"/>
  <c r="Z23" i="19"/>
  <c r="Z31" i="19"/>
  <c r="Z40" i="19"/>
  <c r="Z37" i="19"/>
  <c r="Z24" i="19"/>
  <c r="Z41" i="19"/>
  <c r="Z58" i="19"/>
  <c r="Z60" i="19"/>
  <c r="Z89" i="19"/>
  <c r="Z69" i="19"/>
  <c r="Z66" i="19"/>
  <c r="Z11" i="19"/>
  <c r="Z103" i="19"/>
  <c r="Z61" i="19"/>
  <c r="Z34" i="19"/>
  <c r="Z43" i="19"/>
  <c r="Z86" i="19"/>
  <c r="Z42" i="19"/>
  <c r="Z22" i="19"/>
  <c r="Z70" i="19"/>
  <c r="Z92" i="19"/>
  <c r="Z100" i="19"/>
  <c r="Z38" i="19"/>
  <c r="Z93" i="19"/>
  <c r="Z72" i="19"/>
  <c r="Z57" i="19"/>
  <c r="Z88" i="19"/>
  <c r="Z91" i="19"/>
  <c r="Z59" i="19"/>
  <c r="Z76" i="19"/>
  <c r="Z47" i="19"/>
  <c r="Z63" i="19"/>
  <c r="Z53" i="19"/>
  <c r="Z65" i="19"/>
  <c r="Z45" i="19"/>
  <c r="Z29" i="19"/>
  <c r="Z49" i="19"/>
  <c r="Z95" i="19"/>
  <c r="Z87" i="19"/>
  <c r="Z71" i="19"/>
  <c r="Z26" i="19"/>
  <c r="Z30" i="19"/>
  <c r="Z51" i="19"/>
  <c r="Z90" i="19"/>
  <c r="Z50" i="19"/>
  <c r="Z46" i="19"/>
  <c r="Z36" i="19"/>
  <c r="Z97" i="19"/>
  <c r="P61" i="19"/>
  <c r="P90" i="19"/>
  <c r="P68" i="19"/>
  <c r="P40" i="19"/>
  <c r="P54" i="19"/>
  <c r="P63" i="19"/>
  <c r="P12" i="19"/>
  <c r="P59" i="19"/>
  <c r="P76" i="19"/>
  <c r="P58" i="19"/>
  <c r="P16" i="19"/>
  <c r="P49" i="19"/>
  <c r="P89" i="19"/>
  <c r="P21" i="19"/>
  <c r="P95" i="19"/>
  <c r="P77" i="19"/>
  <c r="P66" i="19"/>
  <c r="P74" i="19"/>
  <c r="P11" i="19"/>
  <c r="P33" i="19"/>
  <c r="P35" i="19"/>
  <c r="P82" i="19"/>
  <c r="P42" i="19"/>
  <c r="P51" i="19"/>
  <c r="P81" i="19"/>
  <c r="P70" i="19"/>
  <c r="P46" i="19"/>
  <c r="P72" i="19"/>
  <c r="P88" i="19"/>
  <c r="P91" i="19"/>
  <c r="P80" i="19"/>
  <c r="P73" i="19"/>
  <c r="P27" i="19"/>
  <c r="P24" i="19"/>
  <c r="P78" i="19"/>
  <c r="P41" i="19"/>
  <c r="P29" i="19"/>
  <c r="P69" i="19"/>
  <c r="P28" i="19"/>
  <c r="P103" i="19"/>
  <c r="P20" i="19"/>
  <c r="P43" i="19"/>
  <c r="P30" i="19"/>
  <c r="P101" i="19"/>
  <c r="P14" i="19"/>
  <c r="P96" i="19"/>
  <c r="P36" i="19"/>
  <c r="P57" i="19"/>
  <c r="P32" i="19"/>
  <c r="P31" i="19"/>
  <c r="P45" i="19"/>
  <c r="P53" i="19"/>
  <c r="P75" i="19"/>
  <c r="P47" i="19"/>
  <c r="P25" i="19"/>
  <c r="P67" i="19"/>
  <c r="P37" i="19"/>
  <c r="P65" i="19"/>
  <c r="P62" i="19"/>
  <c r="P85" i="19"/>
  <c r="P60" i="19"/>
  <c r="P87" i="19"/>
  <c r="P55" i="19"/>
  <c r="P84" i="19"/>
  <c r="P19" i="19"/>
  <c r="P86" i="19"/>
  <c r="P13" i="19"/>
  <c r="P79" i="19"/>
  <c r="P94" i="19"/>
  <c r="P102" i="19"/>
  <c r="P92" i="19"/>
  <c r="P39" i="19"/>
  <c r="P50" i="19"/>
  <c r="P38" i="19"/>
  <c r="P93" i="19"/>
  <c r="P48" i="19"/>
  <c r="P98" i="19"/>
  <c r="D3" i="3"/>
  <c r="D4" i="3"/>
  <c r="D5" i="3"/>
  <c r="D7" i="3"/>
  <c r="D8" i="3"/>
  <c r="D9" i="3"/>
  <c r="D10" i="3"/>
  <c r="D11" i="3"/>
  <c r="H7" i="3"/>
  <c r="H8" i="3"/>
  <c r="I8" i="3" s="1"/>
  <c r="H9" i="3"/>
  <c r="I9" i="3" s="1"/>
  <c r="J9" i="3" s="1"/>
  <c r="H10" i="3"/>
  <c r="I10" i="3" s="1"/>
  <c r="H11" i="3"/>
  <c r="AK5" i="19" l="1"/>
  <c r="AT5" i="19"/>
  <c r="AZ5" i="19"/>
  <c r="AR5" i="19"/>
  <c r="BL9" i="19"/>
  <c r="BM9" i="19" s="1"/>
  <c r="AC10" i="19"/>
  <c r="BA10" i="19" s="1"/>
  <c r="BJ9" i="19"/>
  <c r="AO10" i="19"/>
  <c r="AW6" i="19"/>
  <c r="AO9" i="19"/>
  <c r="AW10" i="19"/>
  <c r="AO6" i="19"/>
  <c r="AW9" i="19"/>
  <c r="AO8" i="19"/>
  <c r="AW8" i="19"/>
  <c r="BD8" i="19" s="1"/>
  <c r="AW7" i="19"/>
  <c r="AO7" i="19"/>
  <c r="AT6" i="19"/>
  <c r="AT9" i="19"/>
  <c r="AK6" i="19"/>
  <c r="AK9" i="19"/>
  <c r="AT10" i="19"/>
  <c r="AK10" i="19"/>
  <c r="AK7" i="19"/>
  <c r="AT7" i="19"/>
  <c r="BA9" i="19"/>
  <c r="AL9" i="19"/>
  <c r="BA6" i="19"/>
  <c r="BA7" i="19"/>
  <c r="AL10" i="19"/>
  <c r="AL6" i="19"/>
  <c r="AL7" i="19"/>
  <c r="AZ10" i="19"/>
  <c r="AZ9" i="19"/>
  <c r="AR9" i="19"/>
  <c r="AR6" i="19"/>
  <c r="AZ6" i="19"/>
  <c r="AR10" i="19"/>
  <c r="AZ7" i="19"/>
  <c r="AR7" i="19"/>
  <c r="AN9" i="19"/>
  <c r="AV10" i="19"/>
  <c r="AN10" i="19"/>
  <c r="AN6" i="19"/>
  <c r="AV6" i="19"/>
  <c r="AV9" i="19"/>
  <c r="AV7" i="19"/>
  <c r="AN7" i="19"/>
  <c r="AY9" i="19"/>
  <c r="AQ9" i="19"/>
  <c r="AQ10" i="19"/>
  <c r="AY10" i="19"/>
  <c r="BB6" i="19"/>
  <c r="AM9" i="19"/>
  <c r="BB10" i="19"/>
  <c r="AM6" i="19"/>
  <c r="BB9" i="19"/>
  <c r="AM10" i="19"/>
  <c r="I11" i="3"/>
  <c r="J8" i="3"/>
  <c r="I7" i="3"/>
  <c r="J7" i="3" s="1"/>
  <c r="J10" i="3"/>
  <c r="BC71" i="19"/>
  <c r="BC87" i="19"/>
  <c r="BD91" i="19"/>
  <c r="BI91" i="19" s="1"/>
  <c r="BC93" i="19"/>
  <c r="BD86" i="19"/>
  <c r="BI86" i="19" s="1"/>
  <c r="BC73" i="19"/>
  <c r="BC80" i="19"/>
  <c r="BD77" i="19"/>
  <c r="BI77" i="19" s="1"/>
  <c r="BC65" i="19"/>
  <c r="BC94" i="19"/>
  <c r="BC64" i="19"/>
  <c r="BD62" i="19"/>
  <c r="BI62" i="19" s="1"/>
  <c r="BD90" i="19"/>
  <c r="BI90" i="19" s="1"/>
  <c r="BC91" i="19"/>
  <c r="BD93" i="19"/>
  <c r="BI93" i="19" s="1"/>
  <c r="BC86" i="19"/>
  <c r="BD73" i="19"/>
  <c r="BI73" i="19" s="1"/>
  <c r="BD80" i="19"/>
  <c r="BI80" i="19" s="1"/>
  <c r="BC77" i="19"/>
  <c r="BD65" i="19"/>
  <c r="BI65" i="19" s="1"/>
  <c r="BD94" i="19"/>
  <c r="BI94" i="19" s="1"/>
  <c r="BD64" i="19"/>
  <c r="BI64" i="19" s="1"/>
  <c r="BC62" i="19"/>
  <c r="BC90" i="19"/>
  <c r="BD71" i="19"/>
  <c r="BI71" i="19" s="1"/>
  <c r="BD87" i="19"/>
  <c r="BI87" i="19" s="1"/>
  <c r="BC95" i="19"/>
  <c r="BC88" i="19"/>
  <c r="BC72" i="19"/>
  <c r="BD92" i="19"/>
  <c r="BI92" i="19" s="1"/>
  <c r="BC70" i="19"/>
  <c r="BD66" i="19"/>
  <c r="BI66" i="19" s="1"/>
  <c r="BC69" i="19"/>
  <c r="BD89" i="19"/>
  <c r="BI89" i="19" s="1"/>
  <c r="BC96" i="19"/>
  <c r="BC75" i="19"/>
  <c r="BC74" i="19"/>
  <c r="BC63" i="19"/>
  <c r="BC67" i="19"/>
  <c r="BC82" i="19"/>
  <c r="BD83" i="19"/>
  <c r="BI83" i="19" s="1"/>
  <c r="BD76" i="19"/>
  <c r="BI76" i="19" s="1"/>
  <c r="BC78" i="19"/>
  <c r="BD68" i="19"/>
  <c r="BI68" i="19" s="1"/>
  <c r="BD95" i="19"/>
  <c r="BI95" i="19" s="1"/>
  <c r="BD88" i="19"/>
  <c r="BI88" i="19" s="1"/>
  <c r="BD72" i="19"/>
  <c r="BI72" i="19" s="1"/>
  <c r="BC92" i="19"/>
  <c r="BD70" i="19"/>
  <c r="BI70" i="19" s="1"/>
  <c r="BC66" i="19"/>
  <c r="BD69" i="19"/>
  <c r="BI69" i="19" s="1"/>
  <c r="BC89" i="19"/>
  <c r="BD96" i="19"/>
  <c r="BI96" i="19" s="1"/>
  <c r="BD75" i="19"/>
  <c r="BI75" i="19" s="1"/>
  <c r="BD74" i="19"/>
  <c r="BI74" i="19" s="1"/>
  <c r="BD63" i="19"/>
  <c r="BI63" i="19" s="1"/>
  <c r="BD67" i="19"/>
  <c r="BI67" i="19" s="1"/>
  <c r="BD82" i="19"/>
  <c r="BI82" i="19" s="1"/>
  <c r="BC83" i="19"/>
  <c r="BC76" i="19"/>
  <c r="BD78" i="19"/>
  <c r="BI78" i="19" s="1"/>
  <c r="BC68" i="19"/>
  <c r="BL10" i="19" l="1"/>
  <c r="BM10" i="19" s="1"/>
  <c r="BJ10" i="19"/>
  <c r="BC8" i="19"/>
  <c r="J13" i="3"/>
  <c r="D2" i="3"/>
  <c r="AS5" i="19" l="1"/>
  <c r="BD5" i="19" s="1"/>
  <c r="BI5" i="19" s="1"/>
  <c r="AJ5" i="19"/>
  <c r="AS6" i="19"/>
  <c r="AS9" i="19"/>
  <c r="AJ10" i="19"/>
  <c r="AS10" i="19"/>
  <c r="AJ9" i="19"/>
  <c r="AJ6" i="19"/>
  <c r="AU9" i="19"/>
  <c r="BN9" i="19" s="1"/>
  <c r="AU10" i="19"/>
  <c r="BN10" i="19" s="1"/>
  <c r="AU7" i="19"/>
  <c r="AU6" i="19"/>
  <c r="BN6" i="19" s="1"/>
  <c r="K13" i="3"/>
  <c r="L13" i="3"/>
  <c r="BC5" i="19" l="1"/>
  <c r="BC10" i="19"/>
  <c r="BC6" i="19"/>
  <c r="BD9" i="19"/>
  <c r="BI9" i="19" s="1"/>
  <c r="BD10" i="19"/>
  <c r="BN7" i="19"/>
  <c r="BD7" i="19"/>
  <c r="BI7" i="19" s="1"/>
  <c r="BC7" i="19"/>
  <c r="BC9" i="19"/>
  <c r="BD6" i="19"/>
  <c r="BG6" i="19" s="1"/>
  <c r="BH6" i="19" s="1"/>
  <c r="BG102" i="19"/>
  <c r="BH102" i="19" s="1"/>
  <c r="BG100" i="19"/>
  <c r="BH100" i="19" s="1"/>
  <c r="BI6" i="19" l="1"/>
  <c r="BG8" i="19"/>
  <c r="BH8" i="19" s="1"/>
  <c r="BI8" i="19" s="1"/>
  <c r="BD44" i="19"/>
  <c r="BI44" i="19" s="1"/>
  <c r="BC44" i="19"/>
  <c r="BG10" i="19" l="1"/>
  <c r="BH10" i="19" s="1"/>
  <c r="BI10" i="19" s="1"/>
  <c r="BD49" i="19"/>
  <c r="BI49" i="19" s="1"/>
  <c r="BC49" i="19"/>
  <c r="BD60" i="19" l="1"/>
  <c r="BI60" i="19" s="1"/>
  <c r="BC60" i="19"/>
  <c r="BD61" i="19" l="1"/>
  <c r="BI61" i="19" s="1"/>
  <c r="BC61" i="19"/>
  <c r="BD79" i="19" l="1"/>
  <c r="BI79" i="19" s="1"/>
  <c r="BC79" i="19"/>
  <c r="BD81" i="19" l="1"/>
  <c r="BI81" i="19" s="1"/>
  <c r="BC81" i="19"/>
  <c r="G15" i="19" l="1"/>
  <c r="R15" i="19"/>
  <c r="H15" i="19"/>
  <c r="O15" i="19"/>
  <c r="M15" i="19"/>
  <c r="N15" i="19"/>
  <c r="S15" i="19"/>
  <c r="Q15" i="19"/>
  <c r="K15" i="19"/>
  <c r="U15" i="19"/>
  <c r="X15" i="19"/>
  <c r="Y15" i="19"/>
  <c r="T15" i="19"/>
  <c r="I15" i="19"/>
  <c r="W15" i="19"/>
  <c r="J15" i="19"/>
  <c r="L15" i="19"/>
  <c r="V15" i="19"/>
  <c r="AG110" i="1"/>
  <c r="Y110" i="1"/>
  <c r="AF110" i="1"/>
  <c r="AE110" i="1"/>
  <c r="W110" i="1"/>
  <c r="Q110" i="1"/>
  <c r="V110" i="1"/>
  <c r="AC110" i="1"/>
  <c r="U110" i="1"/>
  <c r="AB110" i="1"/>
  <c r="T110" i="1"/>
  <c r="Z110" i="1"/>
  <c r="AA110" i="1"/>
  <c r="G18" i="19" l="1"/>
  <c r="H18" i="19"/>
  <c r="N18" i="19"/>
  <c r="O18" i="19"/>
  <c r="L18" i="19"/>
  <c r="R18" i="19"/>
  <c r="S18" i="19"/>
  <c r="Q18" i="19"/>
  <c r="S110" i="1"/>
  <c r="U18" i="19"/>
  <c r="W18" i="19"/>
  <c r="T18" i="19"/>
  <c r="Y18" i="19"/>
  <c r="I18" i="19"/>
  <c r="V18" i="19"/>
  <c r="M18" i="19"/>
  <c r="J18" i="19"/>
  <c r="X18" i="19"/>
  <c r="AJ110" i="1"/>
  <c r="P110" i="1"/>
  <c r="R110" i="1"/>
  <c r="AD110" i="1"/>
  <c r="K18" i="19"/>
  <c r="Z15" i="19"/>
  <c r="P15" i="19"/>
  <c r="X110" i="1"/>
  <c r="AI110" i="1"/>
  <c r="P18" i="19" l="1"/>
  <c r="Z18" i="19"/>
  <c r="AP11" i="19" l="1"/>
  <c r="AJ11" i="19"/>
  <c r="AJ12" i="19" l="1"/>
  <c r="AX11" i="19"/>
  <c r="AP12" i="19"/>
  <c r="AS11" i="19"/>
  <c r="AS12" i="19"/>
  <c r="AX12" i="19" l="1"/>
  <c r="AJ14" i="19"/>
  <c r="AP14" i="19" l="1"/>
  <c r="AS14" i="19"/>
  <c r="AJ15" i="19"/>
  <c r="AP15" i="19" l="1"/>
  <c r="AM15" i="19"/>
  <c r="AS15" i="19"/>
  <c r="AO15" i="19"/>
  <c r="AL15" i="19"/>
  <c r="AK15" i="19"/>
  <c r="AQ15" i="19"/>
  <c r="AN15" i="19"/>
  <c r="AP16" i="19" l="1"/>
  <c r="AX15" i="19"/>
  <c r="AS16" i="19"/>
  <c r="AY15" i="19"/>
  <c r="AT15" i="19"/>
  <c r="AW15" i="19"/>
  <c r="AO16" i="19"/>
  <c r="AV15" i="19"/>
  <c r="AM16" i="19"/>
  <c r="BB15" i="19"/>
  <c r="BA15" i="19"/>
  <c r="AU15" i="19"/>
  <c r="AX16" i="19" l="1"/>
  <c r="AS17" i="19"/>
  <c r="AJ18" i="19"/>
  <c r="AO17" i="19"/>
  <c r="AW16" i="19"/>
  <c r="BB16" i="19"/>
  <c r="AM17" i="19"/>
  <c r="AR17" i="19"/>
  <c r="AN17" i="19"/>
  <c r="AL17" i="19"/>
  <c r="AK17" i="19"/>
  <c r="AP18" i="19" l="1"/>
  <c r="AS18" i="19"/>
  <c r="AQ18" i="19"/>
  <c r="AW17" i="19"/>
  <c r="AO18" i="19"/>
  <c r="BB17" i="19"/>
  <c r="AM18" i="19"/>
  <c r="AT17" i="19"/>
  <c r="AK18" i="19"/>
  <c r="AV17" i="19"/>
  <c r="AN18" i="19"/>
  <c r="AU17" i="19"/>
  <c r="AL18" i="19"/>
  <c r="BA17" i="19"/>
  <c r="AZ17" i="19"/>
  <c r="AR18" i="19"/>
  <c r="AP19" i="19" l="1"/>
  <c r="AJ20" i="19"/>
  <c r="AY18" i="19"/>
  <c r="AZ18" i="19"/>
  <c r="BB18" i="19"/>
  <c r="AW18" i="19"/>
  <c r="AV18" i="19"/>
  <c r="AT18" i="19"/>
  <c r="AU18" i="19"/>
  <c r="BA18" i="19"/>
  <c r="AX19" i="19" l="1"/>
  <c r="AS20" i="19"/>
  <c r="BB19" i="19"/>
  <c r="AY19" i="19"/>
  <c r="AV19" i="19"/>
  <c r="AW19" i="19"/>
  <c r="BA19" i="19"/>
  <c r="AU19" i="19"/>
  <c r="AT19" i="19"/>
  <c r="AZ19" i="19"/>
  <c r="AP21" i="19" l="1"/>
  <c r="AJ22" i="19"/>
  <c r="AR21" i="19"/>
  <c r="AZ20" i="19"/>
  <c r="AV20" i="19"/>
  <c r="AN21" i="19"/>
  <c r="AL21" i="19"/>
  <c r="BA20" i="19"/>
  <c r="AU20" i="19"/>
  <c r="AK21" i="19"/>
  <c r="AT20" i="19"/>
  <c r="AY20" i="19"/>
  <c r="AQ21" i="19"/>
  <c r="BB20" i="19"/>
  <c r="AM21" i="19"/>
  <c r="AO21" i="19"/>
  <c r="AW20" i="19"/>
  <c r="AX21" i="19" l="1"/>
  <c r="AS22" i="19"/>
  <c r="BA21" i="19"/>
  <c r="AU21" i="19"/>
  <c r="AW21" i="19"/>
  <c r="BB21" i="19"/>
  <c r="AT21" i="19"/>
  <c r="AV21" i="19"/>
  <c r="AZ21" i="19"/>
  <c r="AY21" i="19"/>
  <c r="AP23" i="19" l="1"/>
  <c r="BG20" i="19"/>
  <c r="BH20" i="19" s="1"/>
  <c r="AK23" i="19"/>
  <c r="AS23" i="19"/>
  <c r="AZ22" i="19"/>
  <c r="AY22" i="19"/>
  <c r="AW22" i="19"/>
  <c r="AV22" i="19"/>
  <c r="BB22" i="19"/>
  <c r="BA22" i="19"/>
  <c r="AU22" i="19"/>
  <c r="AX23" i="19" l="1"/>
  <c r="BG21" i="19"/>
  <c r="BH21" i="19" s="1"/>
  <c r="AS24" i="19"/>
  <c r="AZ23" i="19"/>
  <c r="AY23" i="19"/>
  <c r="AW23" i="19"/>
  <c r="AV23" i="19"/>
  <c r="BB23" i="19"/>
  <c r="BA23" i="19"/>
  <c r="AU23" i="19"/>
  <c r="AT23" i="19"/>
  <c r="AX24" i="19" l="1"/>
  <c r="BG22" i="19"/>
  <c r="BH22" i="19" s="1"/>
  <c r="AQ25" i="19"/>
  <c r="AS25" i="19"/>
  <c r="AZ24" i="19"/>
  <c r="AW24" i="19"/>
  <c r="AV24" i="19"/>
  <c r="BB24" i="19"/>
  <c r="BA24" i="19"/>
  <c r="AU24" i="19"/>
  <c r="AT24" i="19"/>
  <c r="BD23" i="19"/>
  <c r="AX25" i="19" l="1"/>
  <c r="BG23" i="19"/>
  <c r="BH23" i="19" s="1"/>
  <c r="AS26" i="19"/>
  <c r="AZ25" i="19"/>
  <c r="AY25" i="19"/>
  <c r="AW25" i="19"/>
  <c r="AV25" i="19"/>
  <c r="BB25" i="19"/>
  <c r="BA25" i="19"/>
  <c r="AU25" i="19"/>
  <c r="AT25" i="19"/>
  <c r="AX26" i="19" l="1"/>
  <c r="AS27" i="19"/>
  <c r="BG24" i="19"/>
  <c r="BH24" i="19" s="1"/>
  <c r="AY26" i="19"/>
  <c r="AZ26" i="19"/>
  <c r="AW26" i="19"/>
  <c r="AV26" i="19"/>
  <c r="BB26" i="19"/>
  <c r="BA26" i="19"/>
  <c r="AU26" i="19"/>
  <c r="AT26" i="19"/>
  <c r="BI23" i="19"/>
  <c r="BD25" i="19"/>
  <c r="AX27" i="19" l="1"/>
  <c r="AS28" i="19"/>
  <c r="AV27" i="19"/>
  <c r="AT27" i="19"/>
  <c r="BG25" i="19"/>
  <c r="BH25" i="19" s="1"/>
  <c r="BB27" i="19"/>
  <c r="AY27" i="19"/>
  <c r="BA27" i="19"/>
  <c r="AU27" i="19"/>
  <c r="AW27" i="19"/>
  <c r="AZ27" i="19"/>
  <c r="BD26" i="19"/>
  <c r="AX28" i="19" l="1"/>
  <c r="AS29" i="19"/>
  <c r="AX29" i="19"/>
  <c r="AV28" i="19"/>
  <c r="AT28" i="19"/>
  <c r="BG26" i="19"/>
  <c r="BH26" i="19" s="1"/>
  <c r="BI26" i="19" s="1"/>
  <c r="AZ28" i="19"/>
  <c r="BB28" i="19"/>
  <c r="AW28" i="19"/>
  <c r="AY28" i="19"/>
  <c r="BA28" i="19"/>
  <c r="AU28" i="19"/>
  <c r="BD27" i="19"/>
  <c r="BI25" i="19"/>
  <c r="AJ31" i="19" l="1"/>
  <c r="AS30" i="19"/>
  <c r="AP30" i="19"/>
  <c r="AP54" i="19"/>
  <c r="AV29" i="19"/>
  <c r="AL30" i="19"/>
  <c r="BA29" i="19"/>
  <c r="AU29" i="19"/>
  <c r="AT29" i="19"/>
  <c r="BG27" i="19"/>
  <c r="BH27" i="19" s="1"/>
  <c r="BG28" i="19" s="1"/>
  <c r="BH28" i="19" s="1"/>
  <c r="AQ30" i="19"/>
  <c r="AR30" i="19"/>
  <c r="AO30" i="19"/>
  <c r="AM30" i="19"/>
  <c r="BD28" i="19"/>
  <c r="AN31" i="19" l="1"/>
  <c r="AV30" i="19"/>
  <c r="AT30" i="19"/>
  <c r="AK31" i="19"/>
  <c r="AP31" i="19"/>
  <c r="AX30" i="19"/>
  <c r="AS31" i="19"/>
  <c r="AP55" i="19"/>
  <c r="AX55" i="19"/>
  <c r="BD29" i="19"/>
  <c r="BG29" i="19" s="1"/>
  <c r="BH29" i="19" s="1"/>
  <c r="BI28" i="19"/>
  <c r="BI27" i="19"/>
  <c r="AY30" i="19"/>
  <c r="AQ31" i="19"/>
  <c r="AR31" i="19"/>
  <c r="AZ30" i="19"/>
  <c r="AW30" i="19"/>
  <c r="AO31" i="19"/>
  <c r="BB30" i="19"/>
  <c r="AM31" i="19"/>
  <c r="AL31" i="19"/>
  <c r="BA30" i="19"/>
  <c r="AU30" i="19"/>
  <c r="AS32" i="19" l="1"/>
  <c r="AX31" i="19"/>
  <c r="AT31" i="19"/>
  <c r="BI29" i="19"/>
  <c r="AV31" i="19"/>
  <c r="AY31" i="19"/>
  <c r="AQ32" i="19"/>
  <c r="AR32" i="19"/>
  <c r="AZ31" i="19"/>
  <c r="AW31" i="19"/>
  <c r="AO32" i="19"/>
  <c r="AM32" i="19"/>
  <c r="BB31" i="19"/>
  <c r="AL32" i="19"/>
  <c r="BA31" i="19"/>
  <c r="AU31" i="19"/>
  <c r="BD30" i="19"/>
  <c r="AS33" i="19" l="1"/>
  <c r="AT32" i="19"/>
  <c r="AX32" i="19"/>
  <c r="AV32" i="19"/>
  <c r="BG30" i="19"/>
  <c r="BH30" i="19" s="1"/>
  <c r="BI30" i="19" s="1"/>
  <c r="AX54" i="19"/>
  <c r="AQ33" i="19"/>
  <c r="AY32" i="19"/>
  <c r="AR33" i="19"/>
  <c r="AZ32" i="19"/>
  <c r="BD31" i="19"/>
  <c r="BI31" i="19" s="1"/>
  <c r="AJ36" i="19"/>
  <c r="AW32" i="19"/>
  <c r="AO33" i="19"/>
  <c r="BB32" i="19"/>
  <c r="AM33" i="19"/>
  <c r="BA32" i="19"/>
  <c r="AL33" i="19"/>
  <c r="AU32" i="19"/>
  <c r="BC31" i="19"/>
  <c r="AS34" i="19" l="1"/>
  <c r="AV33" i="19"/>
  <c r="AX33" i="19"/>
  <c r="AT33" i="19"/>
  <c r="AY33" i="19"/>
  <c r="AZ33" i="19"/>
  <c r="BD32" i="19"/>
  <c r="BI32" i="19" s="1"/>
  <c r="AJ37" i="19"/>
  <c r="AS36" i="19"/>
  <c r="AN36" i="19"/>
  <c r="AK36" i="19"/>
  <c r="AW33" i="19"/>
  <c r="BB33" i="19"/>
  <c r="BA33" i="19"/>
  <c r="AU33" i="19"/>
  <c r="AS35" i="19" l="1"/>
  <c r="AT34" i="19"/>
  <c r="AX34" i="19"/>
  <c r="AL35" i="19"/>
  <c r="BA34" i="19"/>
  <c r="AU34" i="19"/>
  <c r="AV34" i="19"/>
  <c r="AQ35" i="19"/>
  <c r="AR35" i="19"/>
  <c r="AN37" i="19"/>
  <c r="AV36" i="19"/>
  <c r="AS37" i="19"/>
  <c r="AJ38" i="19"/>
  <c r="AO35" i="19"/>
  <c r="AM35" i="19"/>
  <c r="AT36" i="19"/>
  <c r="AK37" i="19"/>
  <c r="BD33" i="19"/>
  <c r="BI33" i="19" s="1"/>
  <c r="BD34" i="19" l="1"/>
  <c r="BI34" i="19" s="1"/>
  <c r="AT35" i="19"/>
  <c r="AV35" i="19"/>
  <c r="AY35" i="19"/>
  <c r="AQ36" i="19"/>
  <c r="AZ35" i="19"/>
  <c r="AR36" i="19"/>
  <c r="AN38" i="19"/>
  <c r="AV37" i="19"/>
  <c r="AW35" i="19"/>
  <c r="AO36" i="19"/>
  <c r="AT37" i="19"/>
  <c r="AK38" i="19"/>
  <c r="AS38" i="19"/>
  <c r="AM36" i="19"/>
  <c r="BB35" i="19"/>
  <c r="AL36" i="19"/>
  <c r="BA35" i="19"/>
  <c r="AU35" i="19"/>
  <c r="AJ45" i="19" l="1"/>
  <c r="AQ37" i="19"/>
  <c r="AY36" i="19"/>
  <c r="AR37" i="19"/>
  <c r="AZ36" i="19"/>
  <c r="BD35" i="19"/>
  <c r="BA36" i="19"/>
  <c r="AL37" i="19"/>
  <c r="AU36" i="19"/>
  <c r="AT38" i="19"/>
  <c r="AW36" i="19"/>
  <c r="AO37" i="19"/>
  <c r="BB36" i="19"/>
  <c r="AM37" i="19"/>
  <c r="AV38" i="19"/>
  <c r="AS45" i="19" l="1"/>
  <c r="AJ46" i="19"/>
  <c r="AN40" i="19"/>
  <c r="AK40" i="19"/>
  <c r="AY37" i="19"/>
  <c r="AQ38" i="19"/>
  <c r="AZ37" i="19"/>
  <c r="AR38" i="19"/>
  <c r="BC36" i="19"/>
  <c r="BB37" i="19"/>
  <c r="AM38" i="19"/>
  <c r="BI35" i="19"/>
  <c r="BA37" i="19"/>
  <c r="AL38" i="19"/>
  <c r="AU37" i="19"/>
  <c r="AW37" i="19"/>
  <c r="AO38" i="19"/>
  <c r="BD36" i="19"/>
  <c r="BI36" i="19" s="1"/>
  <c r="AJ47" i="19" l="1"/>
  <c r="AS46" i="19"/>
  <c r="AN41" i="19"/>
  <c r="AV40" i="19"/>
  <c r="AK41" i="19"/>
  <c r="AT40" i="19"/>
  <c r="AY38" i="19"/>
  <c r="AZ38" i="19"/>
  <c r="BC37" i="19"/>
  <c r="BD37" i="19"/>
  <c r="BI37" i="19" s="1"/>
  <c r="BA38" i="19"/>
  <c r="AU38" i="19"/>
  <c r="BB38" i="19"/>
  <c r="AW38" i="19"/>
  <c r="AL40" i="19" l="1"/>
  <c r="BA39" i="19"/>
  <c r="AU39" i="19"/>
  <c r="AS47" i="19"/>
  <c r="AJ48" i="19"/>
  <c r="AR40" i="19"/>
  <c r="AQ40" i="19"/>
  <c r="AO40" i="19"/>
  <c r="AN42" i="19"/>
  <c r="AV41" i="19"/>
  <c r="AM40" i="19"/>
  <c r="AK42" i="19"/>
  <c r="AT41" i="19"/>
  <c r="BC38" i="19"/>
  <c r="BD38" i="19"/>
  <c r="BD39" i="19" l="1"/>
  <c r="BI39" i="19" s="1"/>
  <c r="BC39" i="19"/>
  <c r="AS48" i="19"/>
  <c r="AR41" i="19"/>
  <c r="AZ40" i="19"/>
  <c r="AY40" i="19"/>
  <c r="AQ41" i="19"/>
  <c r="AW40" i="19"/>
  <c r="AO41" i="19"/>
  <c r="AN43" i="19"/>
  <c r="AV42" i="19"/>
  <c r="BB40" i="19"/>
  <c r="AM41" i="19"/>
  <c r="AL41" i="19"/>
  <c r="BA40" i="19"/>
  <c r="AU40" i="19"/>
  <c r="AT42" i="19"/>
  <c r="AK43" i="19"/>
  <c r="BI38" i="19"/>
  <c r="AJ50" i="19" l="1"/>
  <c r="AR42" i="19"/>
  <c r="AZ41" i="19"/>
  <c r="AY41" i="19"/>
  <c r="AQ42" i="19"/>
  <c r="AW41" i="19"/>
  <c r="AO42" i="19"/>
  <c r="AV43" i="19"/>
  <c r="AM42" i="19"/>
  <c r="BB41" i="19"/>
  <c r="BC40" i="19"/>
  <c r="BD40" i="19"/>
  <c r="BI40" i="19" s="1"/>
  <c r="BA41" i="19"/>
  <c r="AL42" i="19"/>
  <c r="AU41" i="19"/>
  <c r="AT43" i="19"/>
  <c r="AJ51" i="19" l="1"/>
  <c r="AS50" i="19"/>
  <c r="AK45" i="19"/>
  <c r="AN45" i="19"/>
  <c r="AR43" i="19"/>
  <c r="AZ42" i="19"/>
  <c r="AQ43" i="19"/>
  <c r="AY42" i="19"/>
  <c r="AO43" i="19"/>
  <c r="AW42" i="19"/>
  <c r="BD41" i="19"/>
  <c r="BI41" i="19" s="1"/>
  <c r="AM43" i="19"/>
  <c r="BB42" i="19"/>
  <c r="BA42" i="19"/>
  <c r="AL43" i="19"/>
  <c r="AU42" i="19"/>
  <c r="BC41" i="19"/>
  <c r="AS51" i="19" l="1"/>
  <c r="AJ52" i="19"/>
  <c r="AV45" i="19"/>
  <c r="AN46" i="19"/>
  <c r="AK46" i="19"/>
  <c r="AT45" i="19"/>
  <c r="AZ43" i="19"/>
  <c r="AY43" i="19"/>
  <c r="BD42" i="19"/>
  <c r="BI42" i="19" s="1"/>
  <c r="AW43" i="19"/>
  <c r="BB43" i="19"/>
  <c r="BA43" i="19"/>
  <c r="AU43" i="19"/>
  <c r="BC42" i="19"/>
  <c r="AS52" i="19" l="1"/>
  <c r="AJ53" i="19"/>
  <c r="AO45" i="19"/>
  <c r="AV46" i="19"/>
  <c r="AN47" i="19"/>
  <c r="AK47" i="19"/>
  <c r="AT46" i="19"/>
  <c r="AQ45" i="19"/>
  <c r="AM45" i="19"/>
  <c r="AR45" i="19"/>
  <c r="BD43" i="19"/>
  <c r="BI43" i="19" s="1"/>
  <c r="BC43" i="19"/>
  <c r="AS53" i="19" l="1"/>
  <c r="AK48" i="19"/>
  <c r="AT47" i="19"/>
  <c r="BB45" i="19"/>
  <c r="AM46" i="19"/>
  <c r="AO46" i="19"/>
  <c r="AW45" i="19"/>
  <c r="AR46" i="19"/>
  <c r="AZ45" i="19"/>
  <c r="AY45" i="19"/>
  <c r="AQ46" i="19"/>
  <c r="AV47" i="19"/>
  <c r="AN48" i="19"/>
  <c r="BA45" i="19"/>
  <c r="AL46" i="19"/>
  <c r="AU45" i="19"/>
  <c r="AJ55" i="19" l="1"/>
  <c r="BC45" i="19"/>
  <c r="AT48" i="19"/>
  <c r="AV48" i="19"/>
  <c r="AL47" i="19"/>
  <c r="BA46" i="19"/>
  <c r="AU46" i="19"/>
  <c r="AQ47" i="19"/>
  <c r="AY46" i="19"/>
  <c r="AW46" i="19"/>
  <c r="AO47" i="19"/>
  <c r="BD45" i="19"/>
  <c r="AZ46" i="19"/>
  <c r="AR47" i="19"/>
  <c r="BB46" i="19"/>
  <c r="AM47" i="19"/>
  <c r="AS55" i="19" l="1"/>
  <c r="AJ56" i="19"/>
  <c r="AK50" i="19"/>
  <c r="AN50" i="19"/>
  <c r="BC46" i="19"/>
  <c r="BI45" i="19"/>
  <c r="AW47" i="19"/>
  <c r="AO48" i="19"/>
  <c r="AY47" i="19"/>
  <c r="AQ48" i="19"/>
  <c r="BA47" i="19"/>
  <c r="AL48" i="19"/>
  <c r="AU47" i="19"/>
  <c r="AM48" i="19"/>
  <c r="BB47" i="19"/>
  <c r="AR48" i="19"/>
  <c r="AZ47" i="19"/>
  <c r="BD46" i="19"/>
  <c r="BI46" i="19" s="1"/>
  <c r="AJ57" i="19" l="1"/>
  <c r="AS56" i="19"/>
  <c r="AN51" i="19"/>
  <c r="AV50" i="19"/>
  <c r="AT50" i="19"/>
  <c r="AK51" i="19"/>
  <c r="AY48" i="19"/>
  <c r="BA48" i="19"/>
  <c r="AU48" i="19"/>
  <c r="AZ48" i="19"/>
  <c r="BB48" i="19"/>
  <c r="BD47" i="19"/>
  <c r="BI47" i="19" s="1"/>
  <c r="AW48" i="19"/>
  <c r="BC47" i="19"/>
  <c r="AS57" i="19" l="1"/>
  <c r="AJ58" i="19"/>
  <c r="AQ50" i="19"/>
  <c r="AM50" i="19"/>
  <c r="AR50" i="19"/>
  <c r="AK52" i="19"/>
  <c r="AT51" i="19"/>
  <c r="AN52" i="19"/>
  <c r="AV51" i="19"/>
  <c r="AO50" i="19"/>
  <c r="BD48" i="19"/>
  <c r="BI48" i="19" s="1"/>
  <c r="BC48" i="19"/>
  <c r="AS58" i="19" l="1"/>
  <c r="AQ51" i="19"/>
  <c r="AY50" i="19"/>
  <c r="AW50" i="19"/>
  <c r="AO51" i="19"/>
  <c r="AN53" i="19"/>
  <c r="AV52" i="19"/>
  <c r="AL51" i="19"/>
  <c r="BA50" i="19"/>
  <c r="AU50" i="19"/>
  <c r="AK53" i="19"/>
  <c r="AT52" i="19"/>
  <c r="AM51" i="19"/>
  <c r="BB50" i="19"/>
  <c r="AZ50" i="19"/>
  <c r="AR51" i="19"/>
  <c r="AS59" i="19" l="1"/>
  <c r="BC50" i="19"/>
  <c r="AY51" i="19"/>
  <c r="AQ52" i="19"/>
  <c r="AR52" i="19"/>
  <c r="AZ51" i="19"/>
  <c r="AT53" i="19"/>
  <c r="BD50" i="19"/>
  <c r="AV53" i="19"/>
  <c r="BB51" i="19"/>
  <c r="AM52" i="19"/>
  <c r="AW51" i="19"/>
  <c r="AO52" i="19"/>
  <c r="BA51" i="19"/>
  <c r="AL52" i="19"/>
  <c r="AU51" i="19"/>
  <c r="AJ99" i="19" l="1"/>
  <c r="BC99" i="19" s="1"/>
  <c r="AN55" i="19"/>
  <c r="AK55" i="19"/>
  <c r="AY52" i="19"/>
  <c r="AQ53" i="19"/>
  <c r="BD51" i="19"/>
  <c r="BI51" i="19" s="1"/>
  <c r="AM53" i="19"/>
  <c r="BB52" i="19"/>
  <c r="BC51" i="19"/>
  <c r="AR53" i="19"/>
  <c r="AZ52" i="19"/>
  <c r="AL53" i="19"/>
  <c r="BA52" i="19"/>
  <c r="AU52" i="19"/>
  <c r="AO53" i="19"/>
  <c r="AW52" i="19"/>
  <c r="BI50" i="19"/>
  <c r="AJ100" i="19" l="1"/>
  <c r="BC100" i="19" s="1"/>
  <c r="AS99" i="19"/>
  <c r="BD99" i="19" s="1"/>
  <c r="BI99" i="19" s="1"/>
  <c r="AK56" i="19"/>
  <c r="AT55" i="19"/>
  <c r="AV55" i="19"/>
  <c r="AN56" i="19"/>
  <c r="AY53" i="19"/>
  <c r="BB53" i="19"/>
  <c r="AZ53" i="19"/>
  <c r="AW53" i="19"/>
  <c r="BA53" i="19"/>
  <c r="AU53" i="19"/>
  <c r="BD52" i="19"/>
  <c r="BC52" i="19"/>
  <c r="AS100" i="19" l="1"/>
  <c r="BD100" i="19" s="1"/>
  <c r="BI100" i="19" s="1"/>
  <c r="AL55" i="19"/>
  <c r="BA54" i="19"/>
  <c r="AU54" i="19"/>
  <c r="AT56" i="19"/>
  <c r="AK57" i="19"/>
  <c r="AM55" i="19"/>
  <c r="AO55" i="19"/>
  <c r="AR55" i="19"/>
  <c r="AQ55" i="19"/>
  <c r="AN57" i="19"/>
  <c r="AV56" i="19"/>
  <c r="BC53" i="19"/>
  <c r="BI52" i="19"/>
  <c r="BD53" i="19"/>
  <c r="BI53" i="19" s="1"/>
  <c r="AJ103" i="19" l="1"/>
  <c r="BC103" i="19" s="1"/>
  <c r="AZ55" i="19"/>
  <c r="AR56" i="19"/>
  <c r="AM56" i="19"/>
  <c r="BB55" i="19"/>
  <c r="AO56" i="19"/>
  <c r="AW55" i="19"/>
  <c r="AN58" i="19"/>
  <c r="AV57" i="19"/>
  <c r="AT57" i="19"/>
  <c r="AK58" i="19"/>
  <c r="AY55" i="19"/>
  <c r="AQ56" i="19"/>
  <c r="AL56" i="19"/>
  <c r="BA55" i="19"/>
  <c r="AU55" i="19"/>
  <c r="BG54" i="19" l="1"/>
  <c r="BH54" i="19" s="1"/>
  <c r="BI54" i="19" s="1"/>
  <c r="BD55" i="19"/>
  <c r="AQ57" i="19"/>
  <c r="AY56" i="19"/>
  <c r="AT58" i="19"/>
  <c r="AL57" i="19"/>
  <c r="BA56" i="19"/>
  <c r="AU56" i="19"/>
  <c r="AR57" i="19"/>
  <c r="AZ56" i="19"/>
  <c r="AO57" i="19"/>
  <c r="AW56" i="19"/>
  <c r="AV58" i="19"/>
  <c r="BC55" i="19"/>
  <c r="BB56" i="19"/>
  <c r="AM57" i="19"/>
  <c r="BG55" i="19" l="1"/>
  <c r="BH55" i="19" s="1"/>
  <c r="BI55" i="19" s="1"/>
  <c r="AT59" i="19"/>
  <c r="AV59" i="19"/>
  <c r="AK84" i="19"/>
  <c r="AN84" i="19"/>
  <c r="AW57" i="19"/>
  <c r="AO58" i="19"/>
  <c r="BD56" i="19"/>
  <c r="AQ58" i="19"/>
  <c r="AY57" i="19"/>
  <c r="AR58" i="19"/>
  <c r="AZ57" i="19"/>
  <c r="AL58" i="19"/>
  <c r="BA57" i="19"/>
  <c r="AU57" i="19"/>
  <c r="BC56" i="19"/>
  <c r="AM58" i="19"/>
  <c r="BB57" i="19"/>
  <c r="BG56" i="19" l="1"/>
  <c r="BH56" i="19" s="1"/>
  <c r="BG57" i="19" s="1"/>
  <c r="BH57" i="19" s="1"/>
  <c r="AV84" i="19"/>
  <c r="AT84" i="19"/>
  <c r="AZ58" i="19"/>
  <c r="AY58" i="19"/>
  <c r="BB58" i="19"/>
  <c r="BD57" i="19"/>
  <c r="BA58" i="19"/>
  <c r="AU58" i="19"/>
  <c r="BC57" i="19"/>
  <c r="AW58" i="19"/>
  <c r="BA59" i="19" l="1"/>
  <c r="AU59" i="19"/>
  <c r="BB59" i="19"/>
  <c r="AW59" i="19"/>
  <c r="AZ59" i="19"/>
  <c r="BI56" i="19"/>
  <c r="AK97" i="19"/>
  <c r="AN97" i="19"/>
  <c r="AR84" i="19"/>
  <c r="AQ84" i="19"/>
  <c r="AM84" i="19"/>
  <c r="AO84" i="19"/>
  <c r="BC58" i="19"/>
  <c r="BD58" i="19"/>
  <c r="BG58" i="19" s="1"/>
  <c r="BH58" i="19" s="1"/>
  <c r="BI57" i="19"/>
  <c r="BI58" i="19" l="1"/>
  <c r="BD59" i="19"/>
  <c r="BG59" i="19" s="1"/>
  <c r="BH59" i="19" s="1"/>
  <c r="AV97" i="19"/>
  <c r="AT97" i="19"/>
  <c r="AZ84" i="19"/>
  <c r="AY84" i="19"/>
  <c r="AW84" i="19"/>
  <c r="BB84" i="19"/>
  <c r="BI59" i="19" l="1"/>
  <c r="AT98" i="19"/>
  <c r="AV98" i="19"/>
  <c r="AK102" i="19"/>
  <c r="AN102" i="19"/>
  <c r="AY85" i="19"/>
  <c r="AW85" i="19"/>
  <c r="AZ85" i="19"/>
  <c r="BB85" i="19"/>
  <c r="AN100" i="19" l="1"/>
  <c r="AK100" i="19"/>
  <c r="AT99" i="19"/>
  <c r="AV102" i="19"/>
  <c r="AT102" i="19"/>
  <c r="AQ97" i="19"/>
  <c r="AO97" i="19"/>
  <c r="AM97" i="19"/>
  <c r="AR97" i="19"/>
  <c r="AK101" i="19" l="1"/>
  <c r="BC101" i="19" s="1"/>
  <c r="AT100" i="19"/>
  <c r="AN101" i="19"/>
  <c r="AV100" i="19"/>
  <c r="BB97" i="19"/>
  <c r="AW97" i="19"/>
  <c r="AZ97" i="19"/>
  <c r="AY97" i="19"/>
  <c r="AV101" i="19" l="1"/>
  <c r="AT101" i="19"/>
  <c r="BD101" i="19" s="1"/>
  <c r="BI101" i="19" s="1"/>
  <c r="BB98" i="19"/>
  <c r="AW98" i="19"/>
  <c r="AY98" i="19"/>
  <c r="AZ98" i="19"/>
  <c r="AR102" i="19"/>
  <c r="AQ102" i="19"/>
  <c r="AM102" i="19"/>
  <c r="AR100" i="19" l="1"/>
  <c r="AZ99" i="19"/>
  <c r="AO100" i="19"/>
  <c r="AK103" i="19"/>
  <c r="AM100" i="19"/>
  <c r="AN103" i="19"/>
  <c r="AY102" i="19"/>
  <c r="BB102" i="19"/>
  <c r="AZ102" i="19"/>
  <c r="BB100" i="19" l="1"/>
  <c r="AO101" i="19"/>
  <c r="AW100" i="19"/>
  <c r="AR101" i="19"/>
  <c r="AZ100" i="19"/>
  <c r="AW101" i="19" l="1"/>
  <c r="AO102" i="19"/>
  <c r="AZ101" i="19"/>
  <c r="AM103" i="19"/>
  <c r="AR103" i="19" l="1"/>
  <c r="AO103" i="19"/>
  <c r="AW102" i="19"/>
  <c r="BA84" i="19" l="1"/>
  <c r="AU84" i="19"/>
  <c r="BA85" i="19" l="1"/>
  <c r="AU85" i="19"/>
  <c r="BD84" i="19"/>
  <c r="BC84" i="19"/>
  <c r="BD85" i="19" l="1"/>
  <c r="BI85" i="19" s="1"/>
  <c r="BC85" i="19"/>
  <c r="BI84" i="19"/>
  <c r="BA97" i="19" l="1"/>
  <c r="AU97" i="19"/>
  <c r="BA98" i="19" l="1"/>
  <c r="AU98" i="19"/>
  <c r="BD97" i="19"/>
  <c r="BC97" i="19"/>
  <c r="BD98" i="19" l="1"/>
  <c r="BI98" i="19" s="1"/>
  <c r="BC98" i="19"/>
  <c r="BI97" i="19"/>
  <c r="AL101" i="19" l="1"/>
  <c r="BA100" i="19"/>
  <c r="AU100" i="19"/>
  <c r="AL102" i="19" l="1"/>
  <c r="BA101" i="19"/>
  <c r="AU101" i="19"/>
  <c r="BA102" i="19" l="1"/>
  <c r="AU102" i="19"/>
  <c r="BA103" i="19" l="1"/>
  <c r="AU103" i="19"/>
  <c r="BD102" i="19"/>
  <c r="BC102" i="19"/>
  <c r="BI102" i="19" l="1"/>
  <c r="AL103" i="19"/>
  <c r="AL100" i="19"/>
  <c r="AL98" i="19"/>
  <c r="AL97" i="19"/>
  <c r="AL85" i="19"/>
  <c r="AL84" i="19"/>
  <c r="AZ103" i="19"/>
  <c r="AW103" i="19"/>
  <c r="BB103" i="19"/>
  <c r="AY103" i="19"/>
  <c r="AQ103" i="19"/>
  <c r="AV103" i="19"/>
  <c r="AT103" i="19"/>
  <c r="AR99" i="19"/>
  <c r="AR98" i="19"/>
  <c r="AM98" i="19"/>
  <c r="AQ98" i="19"/>
  <c r="AO98" i="19"/>
  <c r="AK99" i="19"/>
  <c r="AM85" i="19"/>
  <c r="AQ85" i="19"/>
  <c r="AK98" i="19"/>
  <c r="AO85" i="19"/>
  <c r="AR85" i="19"/>
  <c r="AN98" i="19"/>
  <c r="AR59" i="19"/>
  <c r="AM59" i="19"/>
  <c r="AL59" i="19"/>
  <c r="AO59" i="19"/>
  <c r="AN59" i="19"/>
  <c r="AK59" i="19"/>
  <c r="AS103" i="19"/>
  <c r="BD103" i="19" s="1"/>
  <c r="BI103" i="19"/>
  <c r="AY54" i="19"/>
  <c r="AW54" i="19"/>
  <c r="AZ54" i="19"/>
  <c r="BB54" i="19"/>
  <c r="AQ54" i="19"/>
  <c r="AR54" i="19"/>
  <c r="AL54" i="19"/>
  <c r="AO54" i="19"/>
  <c r="AM54" i="19"/>
  <c r="AV54" i="19"/>
  <c r="AN54" i="19"/>
  <c r="AJ59" i="19"/>
  <c r="BC59" i="19" s="1"/>
  <c r="AL50" i="19"/>
  <c r="AS54" i="19"/>
  <c r="BD54" i="19" s="1"/>
  <c r="AJ54" i="19"/>
  <c r="BC54" i="19" s="1"/>
  <c r="AL45" i="19"/>
  <c r="BB39" i="19"/>
  <c r="AW39" i="19"/>
  <c r="AZ39" i="19"/>
  <c r="AY39" i="19"/>
  <c r="AQ39" i="19"/>
  <c r="AR39" i="19"/>
  <c r="AM39" i="19"/>
  <c r="AL39" i="19"/>
  <c r="AO39" i="19"/>
  <c r="AY34" i="19"/>
  <c r="AK35" i="19"/>
  <c r="AW34" i="19"/>
  <c r="AZ34" i="19"/>
  <c r="AN35" i="19"/>
  <c r="AP34" i="19"/>
  <c r="AR34" i="19"/>
  <c r="AK34" i="19"/>
  <c r="AN34" i="19"/>
  <c r="AO34" i="19"/>
  <c r="AQ34" i="19"/>
  <c r="AL34" i="19"/>
  <c r="AJ35" i="19"/>
  <c r="BC35" i="19" s="1"/>
  <c r="AN33" i="19"/>
  <c r="AK33" i="19"/>
  <c r="AP33" i="19"/>
  <c r="AJ34" i="19"/>
  <c r="BC34" i="19" s="1"/>
  <c r="AP32" i="19"/>
  <c r="AN32" i="19"/>
  <c r="AK32" i="19"/>
  <c r="AJ33" i="19"/>
  <c r="BC33" i="19" s="1"/>
  <c r="AJ32" i="19"/>
  <c r="BC32" i="19" s="1"/>
  <c r="AK30" i="19"/>
  <c r="AW29" i="19"/>
  <c r="AN30" i="19"/>
  <c r="AY29" i="19"/>
  <c r="BB29" i="19"/>
  <c r="AZ29" i="19"/>
  <c r="AK29" i="19"/>
  <c r="AO29" i="19"/>
  <c r="AR29" i="19"/>
  <c r="AJ30" i="19"/>
  <c r="BC30" i="19" s="1"/>
  <c r="AN29" i="19"/>
  <c r="AL29" i="19"/>
  <c r="AQ29" i="19"/>
  <c r="AM29" i="19"/>
  <c r="AP29" i="19"/>
  <c r="AO28" i="19"/>
  <c r="AK28" i="19"/>
  <c r="AJ29" i="19"/>
  <c r="BC29" i="19" s="1"/>
  <c r="AQ28" i="19"/>
  <c r="AR28" i="19"/>
  <c r="AM28" i="19"/>
  <c r="AL28" i="19"/>
  <c r="AN28" i="19"/>
  <c r="AP28" i="19"/>
  <c r="AN27" i="19"/>
  <c r="AR27" i="19"/>
  <c r="AJ28" i="19"/>
  <c r="BC28" i="19" s="1"/>
  <c r="AM27" i="19"/>
  <c r="AO27" i="19"/>
  <c r="AQ27" i="19"/>
  <c r="AK27" i="19"/>
  <c r="AL27" i="19"/>
  <c r="AP27" i="19"/>
  <c r="AM26" i="19"/>
  <c r="AK26" i="19"/>
  <c r="AO26" i="19"/>
  <c r="AR26" i="19"/>
  <c r="AL26" i="19"/>
  <c r="AN26" i="19"/>
  <c r="AQ26" i="19"/>
  <c r="AJ27" i="19"/>
  <c r="BC27" i="19" s="1"/>
  <c r="AP26" i="19"/>
  <c r="AR25" i="19"/>
  <c r="AK25" i="19"/>
  <c r="AJ26" i="19"/>
  <c r="AN25" i="19"/>
  <c r="AY24" i="19"/>
  <c r="BD24" i="19" s="1"/>
  <c r="BI24" i="19" s="1"/>
  <c r="AM25" i="19"/>
  <c r="AO25" i="19"/>
  <c r="AL25" i="19"/>
  <c r="AP25" i="19"/>
  <c r="AQ24" i="19"/>
  <c r="AR24" i="19"/>
  <c r="AN24" i="19"/>
  <c r="AJ25" i="19"/>
  <c r="AK24" i="19"/>
  <c r="AM24" i="19"/>
  <c r="AO24" i="19"/>
  <c r="AL24" i="19"/>
  <c r="AP24" i="19"/>
  <c r="AO23" i="19"/>
  <c r="AR23" i="19"/>
  <c r="AJ24" i="19"/>
  <c r="AM23" i="19"/>
  <c r="AT22" i="19"/>
  <c r="AN23" i="19"/>
  <c r="AQ23" i="19"/>
  <c r="AL23" i="19"/>
  <c r="AX22" i="19"/>
  <c r="AQ22" i="19"/>
  <c r="AN22" i="19"/>
  <c r="AM22" i="19"/>
  <c r="AJ23" i="19"/>
  <c r="AR22" i="19"/>
  <c r="AL22" i="19"/>
  <c r="AK22" i="19"/>
  <c r="AO22" i="19"/>
  <c r="AP22" i="19"/>
  <c r="AS21" i="19"/>
  <c r="BD21" i="19" s="1"/>
  <c r="BI21" i="19" s="1"/>
  <c r="AX20" i="19"/>
  <c r="BD20" i="19" s="1"/>
  <c r="BI20" i="19" s="1"/>
  <c r="AK20" i="19"/>
  <c r="AO20" i="19"/>
  <c r="AQ20" i="19"/>
  <c r="AJ21" i="19"/>
  <c r="AP20" i="19"/>
  <c r="AL20" i="19"/>
  <c r="AR20" i="19"/>
  <c r="AN20" i="19"/>
  <c r="AM20" i="19"/>
  <c r="AK19" i="19"/>
  <c r="AS19" i="19"/>
  <c r="BD19" i="19" s="1"/>
  <c r="AO19" i="19"/>
  <c r="BH15" i="19"/>
  <c r="BG15" i="19"/>
  <c r="BH16" i="19"/>
  <c r="BG16" i="19"/>
  <c r="AX18" i="19"/>
  <c r="AM19" i="19"/>
  <c r="AR19" i="19"/>
  <c r="AQ19" i="19"/>
  <c r="AL19" i="19"/>
  <c r="AN19" i="19"/>
  <c r="BH14" i="19"/>
  <c r="BG14" i="19"/>
  <c r="AJ19" i="19"/>
  <c r="AY17" i="19"/>
  <c r="AX17" i="19"/>
  <c r="AQ17" i="19"/>
  <c r="AP17" i="19"/>
  <c r="AJ17" i="19"/>
  <c r="BH12" i="19"/>
  <c r="BG12" i="19"/>
  <c r="AX14" i="19"/>
  <c r="AY14" i="19"/>
  <c r="AJ16" i="19"/>
  <c r="AQ14" i="19"/>
  <c r="AX13" i="19"/>
  <c r="AP13" i="19"/>
  <c r="AY11" i="19"/>
  <c r="AQ11" i="19"/>
  <c r="C5" i="19" a="1"/>
  <c r="C5" i="19" s="1"/>
  <c r="BC17" i="19" l="1"/>
  <c r="BC19" i="19"/>
  <c r="BD18" i="19"/>
  <c r="BC18" i="19"/>
  <c r="BC23" i="19"/>
  <c r="BD22" i="19"/>
  <c r="BI22" i="19" s="1"/>
  <c r="BC26" i="19"/>
  <c r="BC21" i="19"/>
  <c r="BC22" i="19"/>
  <c r="BC20" i="19"/>
  <c r="BD17" i="19"/>
  <c r="BG19" i="19"/>
  <c r="BH19" i="19" s="1"/>
  <c r="BI19" i="19"/>
  <c r="BC24" i="19"/>
  <c r="BC25" i="19"/>
  <c r="X104" i="19"/>
  <c r="AH105" i="19"/>
  <c r="AH11" i="19"/>
  <c r="AC105" i="19"/>
  <c r="S104" i="19"/>
  <c r="R104" i="19"/>
  <c r="AB105" i="19"/>
  <c r="J104" i="19"/>
  <c r="Q104" i="19"/>
  <c r="AA105" i="19"/>
  <c r="AI105" i="19"/>
  <c r="Y104" i="19"/>
  <c r="K104" i="19"/>
  <c r="I104" i="19"/>
  <c r="H104" i="19"/>
  <c r="U104" i="19"/>
  <c r="AE105" i="19"/>
  <c r="G104" i="19"/>
  <c r="P104" i="19"/>
  <c r="M104" i="19"/>
  <c r="BF11" i="19"/>
  <c r="BF12" i="19" s="1"/>
  <c r="BF13" i="19" s="1"/>
  <c r="BF14" i="19" s="1"/>
  <c r="BF15" i="19" s="1"/>
  <c r="BF16" i="19" s="1"/>
  <c r="BF17" i="19" s="1"/>
  <c r="BF18" i="19" s="1"/>
  <c r="BF19" i="19" s="1"/>
  <c r="BF20" i="19" s="1"/>
  <c r="BF21" i="19" s="1"/>
  <c r="BF22" i="19" s="1"/>
  <c r="BF23" i="19" s="1"/>
  <c r="BF24" i="19" s="1"/>
  <c r="BF25" i="19" s="1"/>
  <c r="BF26" i="19" s="1"/>
  <c r="BF27" i="19" s="1"/>
  <c r="BF28" i="19" s="1"/>
  <c r="BF29" i="19" s="1"/>
  <c r="BF30" i="19" s="1"/>
  <c r="BF31" i="19" s="1"/>
  <c r="BF32" i="19" s="1"/>
  <c r="BF33" i="19" s="1"/>
  <c r="BF34" i="19" s="1"/>
  <c r="BF35" i="19" s="1"/>
  <c r="BF36" i="19" s="1"/>
  <c r="BF37" i="19" s="1"/>
  <c r="BF38" i="19" s="1"/>
  <c r="BF39" i="19" s="1"/>
  <c r="BF40" i="19" s="1"/>
  <c r="BF41" i="19" s="1"/>
  <c r="BF42" i="19" s="1"/>
  <c r="BF43" i="19" s="1"/>
  <c r="BF44" i="19" s="1"/>
  <c r="BF45" i="19" s="1"/>
  <c r="BF46" i="19" s="1"/>
  <c r="BF47" i="19" s="1"/>
  <c r="BF48" i="19" s="1"/>
  <c r="BF49" i="19" s="1"/>
  <c r="BF50" i="19" s="1"/>
  <c r="BF51" i="19" s="1"/>
  <c r="BF52" i="19" s="1"/>
  <c r="BF53" i="19" s="1"/>
  <c r="BF54" i="19" s="1"/>
  <c r="BF55" i="19" s="1"/>
  <c r="BF56" i="19" s="1"/>
  <c r="BF57" i="19" s="1"/>
  <c r="BF58" i="19" s="1"/>
  <c r="BF59" i="19" s="1"/>
  <c r="BF60" i="19" s="1"/>
  <c r="BF61" i="19" s="1"/>
  <c r="BF62" i="19" s="1"/>
  <c r="BF63" i="19" s="1"/>
  <c r="BF64" i="19" s="1"/>
  <c r="BF65" i="19" s="1"/>
  <c r="BF66" i="19" s="1"/>
  <c r="BF67" i="19" s="1"/>
  <c r="BF68" i="19" s="1"/>
  <c r="BF69" i="19" s="1"/>
  <c r="BF70" i="19" s="1"/>
  <c r="BF71" i="19" s="1"/>
  <c r="BF72" i="19" s="1"/>
  <c r="BF73" i="19" s="1"/>
  <c r="BF74" i="19" s="1"/>
  <c r="BF75" i="19" s="1"/>
  <c r="BF76" i="19" s="1"/>
  <c r="BF77" i="19" s="1"/>
  <c r="BF78" i="19" s="1"/>
  <c r="BF79" i="19" s="1"/>
  <c r="BF80" i="19" s="1"/>
  <c r="BF81" i="19" s="1"/>
  <c r="BF82" i="19" s="1"/>
  <c r="BF83" i="19" s="1"/>
  <c r="BF84" i="19" s="1"/>
  <c r="BF85" i="19" s="1"/>
  <c r="BF86" i="19" s="1"/>
  <c r="BF87" i="19" s="1"/>
  <c r="BF88" i="19" s="1"/>
  <c r="BF89" i="19" s="1"/>
  <c r="BF90" i="19" s="1"/>
  <c r="BF91" i="19" s="1"/>
  <c r="BF92" i="19" s="1"/>
  <c r="BF93" i="19" s="1"/>
  <c r="BF94" i="19" s="1"/>
  <c r="BF95" i="19" s="1"/>
  <c r="BF96" i="19" s="1"/>
  <c r="BF97" i="19" s="1"/>
  <c r="BF98" i="19" s="1"/>
  <c r="BF99" i="19" s="1"/>
  <c r="BF100" i="19" s="1"/>
  <c r="BF101" i="19" s="1"/>
  <c r="BF102" i="19" s="1"/>
  <c r="BF103" i="19" s="1"/>
  <c r="N104" i="19"/>
  <c r="V104" i="19"/>
  <c r="AF105" i="19"/>
  <c r="T104" i="19"/>
  <c r="AD105" i="19"/>
  <c r="W104" i="19"/>
  <c r="AG11" i="19"/>
  <c r="AG12" i="19" s="1"/>
  <c r="AG13" i="19" s="1"/>
  <c r="AG14" i="19" s="1"/>
  <c r="AG15" i="19" s="1"/>
  <c r="AG16" i="19" s="1"/>
  <c r="AG17" i="19" s="1"/>
  <c r="AG18" i="19" s="1"/>
  <c r="AG19" i="19" s="1"/>
  <c r="AG20" i="19" s="1"/>
  <c r="AG21" i="19" s="1"/>
  <c r="AG22" i="19" s="1"/>
  <c r="AG23" i="19" s="1"/>
  <c r="AG24" i="19" s="1"/>
  <c r="AG25" i="19" s="1"/>
  <c r="AG26" i="19" s="1"/>
  <c r="AG27" i="19" s="1"/>
  <c r="AG28" i="19" s="1"/>
  <c r="AG29" i="19" s="1"/>
  <c r="AG30" i="19" s="1"/>
  <c r="AG31" i="19" s="1"/>
  <c r="AG32" i="19" s="1"/>
  <c r="AG33" i="19" s="1"/>
  <c r="AG34" i="19" s="1"/>
  <c r="AG35" i="19" s="1"/>
  <c r="AG36" i="19" s="1"/>
  <c r="AG37" i="19" s="1"/>
  <c r="AG38" i="19" s="1"/>
  <c r="AG39" i="19" s="1"/>
  <c r="AG40" i="19" s="1"/>
  <c r="AG41" i="19" s="1"/>
  <c r="AG42" i="19" s="1"/>
  <c r="AG43" i="19" s="1"/>
  <c r="AG44" i="19" s="1"/>
  <c r="AG45" i="19" s="1"/>
  <c r="AG46" i="19" s="1"/>
  <c r="AG47" i="19" s="1"/>
  <c r="AG48" i="19" s="1"/>
  <c r="AG49" i="19" s="1"/>
  <c r="AG50" i="19" s="1"/>
  <c r="AG51" i="19" s="1"/>
  <c r="AG52" i="19" s="1"/>
  <c r="AG53" i="19" s="1"/>
  <c r="AG54" i="19" s="1"/>
  <c r="AG55" i="19" s="1"/>
  <c r="AG56" i="19" s="1"/>
  <c r="AG57" i="19" s="1"/>
  <c r="AG58" i="19" s="1"/>
  <c r="AG59" i="19" s="1"/>
  <c r="AG60" i="19" s="1"/>
  <c r="AG61" i="19" s="1"/>
  <c r="AG62" i="19" s="1"/>
  <c r="AG63" i="19" s="1"/>
  <c r="AG64" i="19" s="1"/>
  <c r="AG65" i="19" s="1"/>
  <c r="AG66" i="19" s="1"/>
  <c r="AG67" i="19" s="1"/>
  <c r="AG68" i="19" s="1"/>
  <c r="AG69" i="19" s="1"/>
  <c r="AG70" i="19" s="1"/>
  <c r="AG71" i="19" s="1"/>
  <c r="AG72" i="19" s="1"/>
  <c r="AG73" i="19" s="1"/>
  <c r="AG74" i="19" s="1"/>
  <c r="AG75" i="19" s="1"/>
  <c r="AG76" i="19" s="1"/>
  <c r="AG77" i="19" s="1"/>
  <c r="AG78" i="19" s="1"/>
  <c r="AG79" i="19" s="1"/>
  <c r="AG80" i="19" s="1"/>
  <c r="AG81" i="19" s="1"/>
  <c r="AG82" i="19" s="1"/>
  <c r="AG83" i="19" s="1"/>
  <c r="AG84" i="19" s="1"/>
  <c r="AG85" i="19" s="1"/>
  <c r="AG86" i="19" s="1"/>
  <c r="AG87" i="19" s="1"/>
  <c r="AG88" i="19" s="1"/>
  <c r="AG89" i="19" s="1"/>
  <c r="AG90" i="19" s="1"/>
  <c r="AG91" i="19" s="1"/>
  <c r="AG92" i="19" s="1"/>
  <c r="AG93" i="19" s="1"/>
  <c r="AG94" i="19" s="1"/>
  <c r="AG95" i="19" s="1"/>
  <c r="AG96" i="19" s="1"/>
  <c r="AG97" i="19" s="1"/>
  <c r="AG98" i="19" s="1"/>
  <c r="AG99" i="19" s="1"/>
  <c r="AG100" i="19" s="1"/>
  <c r="AG101" i="19" s="1"/>
  <c r="AG102" i="19" s="1"/>
  <c r="AG103" i="19" s="1"/>
  <c r="AG105" i="19"/>
  <c r="O104" i="19"/>
  <c r="L104" i="19"/>
  <c r="BG17" i="19" l="1"/>
  <c r="BH17" i="19" s="1"/>
  <c r="BI17" i="19"/>
  <c r="BG18" i="19"/>
  <c r="BH18" i="19" s="1"/>
  <c r="BI18" i="19"/>
  <c r="AP106" i="19"/>
  <c r="AP105" i="19"/>
  <c r="AX105" i="19"/>
  <c r="AX106" i="19"/>
  <c r="Z104" i="19"/>
  <c r="AQ12" i="19"/>
  <c r="AH12" i="19"/>
  <c r="AY12" i="19" l="1"/>
  <c r="AQ13" i="19"/>
  <c r="AH13" i="19"/>
  <c r="AN11" i="19"/>
  <c r="AE11" i="19"/>
  <c r="AY13" i="19" l="1"/>
  <c r="AH14" i="19"/>
  <c r="AH15" i="19" s="1"/>
  <c r="AN12" i="19"/>
  <c r="AV11" i="19"/>
  <c r="AE12" i="19"/>
  <c r="AQ16" i="19" l="1"/>
  <c r="AH16" i="19"/>
  <c r="AV12" i="19"/>
  <c r="AN13" i="19"/>
  <c r="AE13" i="19"/>
  <c r="AF11" i="19" l="1"/>
  <c r="AO11" i="19"/>
  <c r="AM11" i="19"/>
  <c r="AD11" i="19"/>
  <c r="AA11" i="19"/>
  <c r="AA12" i="19" s="1"/>
  <c r="AN14" i="19"/>
  <c r="AV13" i="19"/>
  <c r="AE14" i="19"/>
  <c r="AY16" i="19"/>
  <c r="AH17" i="19"/>
  <c r="AH18" i="19" s="1"/>
  <c r="AH19" i="19" s="1"/>
  <c r="AH20" i="19" s="1"/>
  <c r="AH21" i="19" s="1"/>
  <c r="AH22" i="19" s="1"/>
  <c r="AH23" i="19" s="1"/>
  <c r="AH24" i="19" s="1"/>
  <c r="AH25" i="19" s="1"/>
  <c r="AH26" i="19" s="1"/>
  <c r="AH27" i="19" s="1"/>
  <c r="AH28" i="19" s="1"/>
  <c r="AH29" i="19" s="1"/>
  <c r="AH30" i="19" s="1"/>
  <c r="AH31" i="19" s="1"/>
  <c r="AH32" i="19" s="1"/>
  <c r="AH33" i="19" s="1"/>
  <c r="AH34" i="19" s="1"/>
  <c r="AH35" i="19" s="1"/>
  <c r="AH36" i="19" s="1"/>
  <c r="AH37" i="19" s="1"/>
  <c r="AH38" i="19" s="1"/>
  <c r="AH39" i="19" s="1"/>
  <c r="AH40" i="19" s="1"/>
  <c r="AH41" i="19" s="1"/>
  <c r="AH42" i="19" s="1"/>
  <c r="AH43" i="19" s="1"/>
  <c r="AH44" i="19" s="1"/>
  <c r="AH45" i="19" s="1"/>
  <c r="AH46" i="19" s="1"/>
  <c r="AH47" i="19" s="1"/>
  <c r="AH48" i="19" s="1"/>
  <c r="AH49" i="19" s="1"/>
  <c r="AH50" i="19" s="1"/>
  <c r="AH51" i="19" s="1"/>
  <c r="AH52" i="19" s="1"/>
  <c r="AH53" i="19" s="1"/>
  <c r="AH54" i="19" s="1"/>
  <c r="AH55" i="19" s="1"/>
  <c r="AH56" i="19" s="1"/>
  <c r="AH57" i="19" s="1"/>
  <c r="AH58" i="19" s="1"/>
  <c r="AH59" i="19" s="1"/>
  <c r="AH60" i="19" s="1"/>
  <c r="AH61" i="19" s="1"/>
  <c r="AH62" i="19" s="1"/>
  <c r="AH63" i="19" s="1"/>
  <c r="AH64" i="19" s="1"/>
  <c r="AH65" i="19" s="1"/>
  <c r="AH66" i="19" s="1"/>
  <c r="AH67" i="19" s="1"/>
  <c r="AH68" i="19" s="1"/>
  <c r="AH69" i="19" s="1"/>
  <c r="AH70" i="19" s="1"/>
  <c r="AH71" i="19" s="1"/>
  <c r="AH72" i="19" s="1"/>
  <c r="AH73" i="19" s="1"/>
  <c r="AH74" i="19" s="1"/>
  <c r="AH75" i="19" s="1"/>
  <c r="AH76" i="19" s="1"/>
  <c r="AH77" i="19" s="1"/>
  <c r="AH78" i="19" s="1"/>
  <c r="AH79" i="19" s="1"/>
  <c r="AH80" i="19" s="1"/>
  <c r="AH81" i="19" s="1"/>
  <c r="AH82" i="19" s="1"/>
  <c r="AH83" i="19" s="1"/>
  <c r="AH84" i="19" s="1"/>
  <c r="AH85" i="19" s="1"/>
  <c r="AH86" i="19" s="1"/>
  <c r="AH87" i="19" s="1"/>
  <c r="AH88" i="19" s="1"/>
  <c r="AH89" i="19" s="1"/>
  <c r="AH90" i="19" s="1"/>
  <c r="AH91" i="19" s="1"/>
  <c r="AH92" i="19" s="1"/>
  <c r="AH93" i="19" s="1"/>
  <c r="AH94" i="19" s="1"/>
  <c r="AH95" i="19" s="1"/>
  <c r="AH96" i="19" s="1"/>
  <c r="AH97" i="19" s="1"/>
  <c r="AH98" i="19" s="1"/>
  <c r="AH99" i="19" s="1"/>
  <c r="AH100" i="19" s="1"/>
  <c r="AH101" i="19" s="1"/>
  <c r="AH102" i="19" s="1"/>
  <c r="AH103" i="19" s="1"/>
  <c r="AQ106" i="19"/>
  <c r="AQ105" i="19"/>
  <c r="AV14" i="19" l="1"/>
  <c r="AE15" i="19"/>
  <c r="AM12" i="19"/>
  <c r="BB11" i="19"/>
  <c r="AD12" i="19"/>
  <c r="AO12" i="19"/>
  <c r="AW11" i="19"/>
  <c r="AF12" i="19"/>
  <c r="AL11" i="19"/>
  <c r="AC11" i="19"/>
  <c r="AY106" i="19"/>
  <c r="AY105" i="19"/>
  <c r="AJ13" i="19"/>
  <c r="AA13" i="19"/>
  <c r="AR11" i="19"/>
  <c r="AI11" i="19"/>
  <c r="AK11" i="19"/>
  <c r="AB11" i="19"/>
  <c r="AN16" i="19" l="1"/>
  <c r="AE16" i="19"/>
  <c r="BB12" i="19"/>
  <c r="AM13" i="19"/>
  <c r="AD13" i="19"/>
  <c r="AA14" i="19"/>
  <c r="AA15" i="19" s="1"/>
  <c r="AA16" i="19" s="1"/>
  <c r="AA17" i="19" s="1"/>
  <c r="AA18" i="19" s="1"/>
  <c r="AA19" i="19" s="1"/>
  <c r="AA20" i="19" s="1"/>
  <c r="AA21" i="19" s="1"/>
  <c r="AA22" i="19" s="1"/>
  <c r="AA23" i="19" s="1"/>
  <c r="AA24" i="19" s="1"/>
  <c r="AA25" i="19" s="1"/>
  <c r="AA26" i="19" s="1"/>
  <c r="AA27" i="19" s="1"/>
  <c r="AA28" i="19" s="1"/>
  <c r="AA29" i="19" s="1"/>
  <c r="AA30" i="19" s="1"/>
  <c r="AA31" i="19" s="1"/>
  <c r="AA32" i="19" s="1"/>
  <c r="AA33" i="19" s="1"/>
  <c r="AA34" i="19" s="1"/>
  <c r="AA35" i="19" s="1"/>
  <c r="AA36" i="19" s="1"/>
  <c r="AA37" i="19" s="1"/>
  <c r="AA38" i="19" s="1"/>
  <c r="AA39" i="19" s="1"/>
  <c r="AA40" i="19" s="1"/>
  <c r="AA41" i="19" s="1"/>
  <c r="AA42" i="19" s="1"/>
  <c r="AA43" i="19" s="1"/>
  <c r="AA44" i="19" s="1"/>
  <c r="AA45" i="19" s="1"/>
  <c r="AA46" i="19" s="1"/>
  <c r="AA47" i="19" s="1"/>
  <c r="AA48" i="19" s="1"/>
  <c r="AA49" i="19" s="1"/>
  <c r="AA50" i="19" s="1"/>
  <c r="AA51" i="19" s="1"/>
  <c r="AA52" i="19" s="1"/>
  <c r="AA53" i="19" s="1"/>
  <c r="AA54" i="19" s="1"/>
  <c r="AA55" i="19" s="1"/>
  <c r="AA56" i="19" s="1"/>
  <c r="AA57" i="19" s="1"/>
  <c r="AA58" i="19" s="1"/>
  <c r="AA59" i="19" s="1"/>
  <c r="AA60" i="19" s="1"/>
  <c r="AA61" i="19" s="1"/>
  <c r="AA62" i="19" s="1"/>
  <c r="AA63" i="19" s="1"/>
  <c r="AA64" i="19" s="1"/>
  <c r="AA65" i="19" s="1"/>
  <c r="AA66" i="19" s="1"/>
  <c r="AA67" i="19" s="1"/>
  <c r="AA68" i="19" s="1"/>
  <c r="AA69" i="19" s="1"/>
  <c r="AA70" i="19" s="1"/>
  <c r="AA71" i="19" s="1"/>
  <c r="AA72" i="19" s="1"/>
  <c r="AA73" i="19" s="1"/>
  <c r="AA74" i="19" s="1"/>
  <c r="AA75" i="19" s="1"/>
  <c r="AA76" i="19" s="1"/>
  <c r="AA77" i="19" s="1"/>
  <c r="AA78" i="19" s="1"/>
  <c r="AA79" i="19" s="1"/>
  <c r="AA80" i="19" s="1"/>
  <c r="AA81" i="19" s="1"/>
  <c r="AA82" i="19" s="1"/>
  <c r="AA83" i="19" s="1"/>
  <c r="AA84" i="19" s="1"/>
  <c r="AA85" i="19" s="1"/>
  <c r="AA86" i="19" s="1"/>
  <c r="AA87" i="19" s="1"/>
  <c r="AA88" i="19" s="1"/>
  <c r="AA89" i="19" s="1"/>
  <c r="AA90" i="19" s="1"/>
  <c r="AA91" i="19" s="1"/>
  <c r="AA92" i="19" s="1"/>
  <c r="AA93" i="19" s="1"/>
  <c r="AA94" i="19" s="1"/>
  <c r="AA95" i="19" s="1"/>
  <c r="AA96" i="19" s="1"/>
  <c r="AA97" i="19" s="1"/>
  <c r="AA98" i="19" s="1"/>
  <c r="AA99" i="19" s="1"/>
  <c r="AA100" i="19" s="1"/>
  <c r="AA101" i="19" s="1"/>
  <c r="AA102" i="19" s="1"/>
  <c r="AA103" i="19" s="1"/>
  <c r="AS13" i="19"/>
  <c r="BL11" i="19"/>
  <c r="BM11" i="19" s="1"/>
  <c r="AL12" i="19"/>
  <c r="AU11" i="19"/>
  <c r="BA11" i="19"/>
  <c r="BJ11" i="19"/>
  <c r="AC12" i="19"/>
  <c r="AW12" i="19"/>
  <c r="AO13" i="19"/>
  <c r="AF13" i="19"/>
  <c r="AT11" i="19"/>
  <c r="AB12" i="19"/>
  <c r="AK12" i="19"/>
  <c r="AZ11" i="19"/>
  <c r="AR12" i="19"/>
  <c r="AI12" i="19"/>
  <c r="AJ106" i="19"/>
  <c r="AJ105" i="19"/>
  <c r="BC11" i="19" l="1"/>
  <c r="AW13" i="19"/>
  <c r="AO14" i="19"/>
  <c r="AF14" i="19"/>
  <c r="AV16" i="19"/>
  <c r="AE17" i="19"/>
  <c r="AE18" i="19" s="1"/>
  <c r="AE19" i="19" s="1"/>
  <c r="AE20" i="19" s="1"/>
  <c r="AE21" i="19" s="1"/>
  <c r="AE22" i="19" s="1"/>
  <c r="AE23" i="19" s="1"/>
  <c r="AE24" i="19" s="1"/>
  <c r="AE25" i="19" s="1"/>
  <c r="AE26" i="19" s="1"/>
  <c r="AE27" i="19" s="1"/>
  <c r="AE28" i="19" s="1"/>
  <c r="AE29" i="19" s="1"/>
  <c r="AE30" i="19" s="1"/>
  <c r="AE31" i="19" s="1"/>
  <c r="AE32" i="19" s="1"/>
  <c r="AE33" i="19" s="1"/>
  <c r="AE34" i="19" s="1"/>
  <c r="AE35" i="19" s="1"/>
  <c r="AE36" i="19" s="1"/>
  <c r="AE37" i="19" s="1"/>
  <c r="AE38" i="19" s="1"/>
  <c r="AE39" i="19" s="1"/>
  <c r="AE40" i="19" s="1"/>
  <c r="AE41" i="19" s="1"/>
  <c r="AE42" i="19" s="1"/>
  <c r="AE43" i="19" s="1"/>
  <c r="AE44" i="19" s="1"/>
  <c r="AE45" i="19" s="1"/>
  <c r="AE46" i="19" s="1"/>
  <c r="AE47" i="19" s="1"/>
  <c r="AE48" i="19" s="1"/>
  <c r="AE49" i="19" s="1"/>
  <c r="AE50" i="19" s="1"/>
  <c r="AE51" i="19" s="1"/>
  <c r="AE52" i="19" s="1"/>
  <c r="AE53" i="19" s="1"/>
  <c r="AE54" i="19" s="1"/>
  <c r="AE55" i="19" s="1"/>
  <c r="AE56" i="19" s="1"/>
  <c r="AE57" i="19" s="1"/>
  <c r="AE58" i="19" s="1"/>
  <c r="AE59" i="19" s="1"/>
  <c r="AE60" i="19" s="1"/>
  <c r="AE61" i="19" s="1"/>
  <c r="AE62" i="19" s="1"/>
  <c r="AE63" i="19" s="1"/>
  <c r="AE64" i="19" s="1"/>
  <c r="AE65" i="19" s="1"/>
  <c r="AE66" i="19" s="1"/>
  <c r="AE67" i="19" s="1"/>
  <c r="AE68" i="19" s="1"/>
  <c r="AE69" i="19" s="1"/>
  <c r="AE70" i="19" s="1"/>
  <c r="AE71" i="19" s="1"/>
  <c r="AE72" i="19" s="1"/>
  <c r="AE73" i="19" s="1"/>
  <c r="AE74" i="19" s="1"/>
  <c r="AE75" i="19" s="1"/>
  <c r="AE76" i="19" s="1"/>
  <c r="AE77" i="19" s="1"/>
  <c r="AE78" i="19" s="1"/>
  <c r="AE79" i="19" s="1"/>
  <c r="AE80" i="19" s="1"/>
  <c r="AE81" i="19" s="1"/>
  <c r="AE82" i="19" s="1"/>
  <c r="AE83" i="19" s="1"/>
  <c r="AE84" i="19" s="1"/>
  <c r="AE85" i="19" s="1"/>
  <c r="AE86" i="19" s="1"/>
  <c r="AE87" i="19" s="1"/>
  <c r="AE88" i="19" s="1"/>
  <c r="AE89" i="19" s="1"/>
  <c r="AE90" i="19" s="1"/>
  <c r="AE91" i="19" s="1"/>
  <c r="AE92" i="19" s="1"/>
  <c r="AE93" i="19" s="1"/>
  <c r="AE94" i="19" s="1"/>
  <c r="AE95" i="19" s="1"/>
  <c r="AE96" i="19" s="1"/>
  <c r="AE97" i="19" s="1"/>
  <c r="AE98" i="19" s="1"/>
  <c r="AE99" i="19" s="1"/>
  <c r="AE100" i="19" s="1"/>
  <c r="AE101" i="19" s="1"/>
  <c r="AE102" i="19" s="1"/>
  <c r="AE103" i="19" s="1"/>
  <c r="AK13" i="19"/>
  <c r="AT12" i="19"/>
  <c r="AB13" i="19"/>
  <c r="AN106" i="19"/>
  <c r="AN105" i="19"/>
  <c r="AR13" i="19"/>
  <c r="AZ12" i="19"/>
  <c r="AI13" i="19"/>
  <c r="AU12" i="19"/>
  <c r="AL13" i="19"/>
  <c r="BJ12" i="19"/>
  <c r="BL12" i="19"/>
  <c r="BM12" i="19" s="1"/>
  <c r="AC13" i="19"/>
  <c r="BA12" i="19"/>
  <c r="AS105" i="19"/>
  <c r="AS106" i="19"/>
  <c r="BD11" i="19"/>
  <c r="BG11" i="19" s="1"/>
  <c r="BH11" i="19" s="1"/>
  <c r="BI11" i="19" s="1"/>
  <c r="BN11" i="19"/>
  <c r="AM14" i="19"/>
  <c r="BB13" i="19"/>
  <c r="AD14" i="19"/>
  <c r="BC12" i="19" l="1"/>
  <c r="AM105" i="19"/>
  <c r="AM106" i="19"/>
  <c r="AV106" i="19"/>
  <c r="AV105" i="19"/>
  <c r="AL14" i="19"/>
  <c r="BA13" i="19"/>
  <c r="BJ13" i="19"/>
  <c r="AU13" i="19"/>
  <c r="BL13" i="19"/>
  <c r="BM13" i="19" s="1"/>
  <c r="AC14" i="19"/>
  <c r="BD12" i="19"/>
  <c r="BI12" i="19" s="1"/>
  <c r="AW14" i="19"/>
  <c r="AW106" i="19" s="1"/>
  <c r="AF15" i="19"/>
  <c r="AF16" i="19" s="1"/>
  <c r="AF17" i="19" s="1"/>
  <c r="AF18" i="19" s="1"/>
  <c r="AF19" i="19" s="1"/>
  <c r="AF20" i="19" s="1"/>
  <c r="AF21" i="19" s="1"/>
  <c r="AF22" i="19" s="1"/>
  <c r="AF23" i="19" s="1"/>
  <c r="AF24" i="19" s="1"/>
  <c r="AF25" i="19" s="1"/>
  <c r="AF26" i="19" s="1"/>
  <c r="AF27" i="19" s="1"/>
  <c r="AF28" i="19" s="1"/>
  <c r="AF29" i="19" s="1"/>
  <c r="AF30" i="19" s="1"/>
  <c r="AF31" i="19" s="1"/>
  <c r="AF32" i="19" s="1"/>
  <c r="AF33" i="19" s="1"/>
  <c r="AF34" i="19" s="1"/>
  <c r="AF35" i="19" s="1"/>
  <c r="AF36" i="19" s="1"/>
  <c r="AF37" i="19" s="1"/>
  <c r="AF38" i="19" s="1"/>
  <c r="AF39" i="19" s="1"/>
  <c r="AF40" i="19" s="1"/>
  <c r="AF41" i="19" s="1"/>
  <c r="AF42" i="19" s="1"/>
  <c r="AF43" i="19" s="1"/>
  <c r="AF44" i="19" s="1"/>
  <c r="AF45" i="19" s="1"/>
  <c r="AF46" i="19" s="1"/>
  <c r="AF47" i="19" s="1"/>
  <c r="AF48" i="19" s="1"/>
  <c r="AF49" i="19" s="1"/>
  <c r="AF50" i="19" s="1"/>
  <c r="AF51" i="19" s="1"/>
  <c r="AF52" i="19" s="1"/>
  <c r="AF53" i="19" s="1"/>
  <c r="AF54" i="19" s="1"/>
  <c r="AF55" i="19" s="1"/>
  <c r="AF56" i="19" s="1"/>
  <c r="AF57" i="19" s="1"/>
  <c r="AF58" i="19" s="1"/>
  <c r="AF59" i="19" s="1"/>
  <c r="AF60" i="19" s="1"/>
  <c r="AF61" i="19" s="1"/>
  <c r="AF62" i="19" s="1"/>
  <c r="AF63" i="19" s="1"/>
  <c r="AF64" i="19" s="1"/>
  <c r="AF65" i="19" s="1"/>
  <c r="AF66" i="19" s="1"/>
  <c r="AF67" i="19" s="1"/>
  <c r="AF68" i="19" s="1"/>
  <c r="AF69" i="19" s="1"/>
  <c r="AF70" i="19" s="1"/>
  <c r="AF71" i="19" s="1"/>
  <c r="AF72" i="19" s="1"/>
  <c r="AF73" i="19" s="1"/>
  <c r="AF74" i="19" s="1"/>
  <c r="AF75" i="19" s="1"/>
  <c r="AF76" i="19" s="1"/>
  <c r="AF77" i="19" s="1"/>
  <c r="AF78" i="19" s="1"/>
  <c r="AF79" i="19" s="1"/>
  <c r="AF80" i="19" s="1"/>
  <c r="AF81" i="19" s="1"/>
  <c r="AF82" i="19" s="1"/>
  <c r="AF83" i="19" s="1"/>
  <c r="AF84" i="19" s="1"/>
  <c r="AF85" i="19" s="1"/>
  <c r="AF86" i="19" s="1"/>
  <c r="AF87" i="19" s="1"/>
  <c r="AF88" i="19" s="1"/>
  <c r="AF89" i="19" s="1"/>
  <c r="AF90" i="19" s="1"/>
  <c r="AF91" i="19" s="1"/>
  <c r="AF92" i="19" s="1"/>
  <c r="AF93" i="19" s="1"/>
  <c r="AF94" i="19" s="1"/>
  <c r="AF95" i="19" s="1"/>
  <c r="AF96" i="19" s="1"/>
  <c r="AF97" i="19" s="1"/>
  <c r="AF98" i="19" s="1"/>
  <c r="AF99" i="19" s="1"/>
  <c r="AF100" i="19" s="1"/>
  <c r="AF101" i="19" s="1"/>
  <c r="AF102" i="19" s="1"/>
  <c r="AF103" i="19" s="1"/>
  <c r="AT13" i="19"/>
  <c r="AK14" i="19"/>
  <c r="AB14" i="19"/>
  <c r="BN12" i="19"/>
  <c r="BB14" i="19"/>
  <c r="AD15" i="19"/>
  <c r="AD16" i="19" s="1"/>
  <c r="AD17" i="19" s="1"/>
  <c r="AD18" i="19" s="1"/>
  <c r="AD19" i="19" s="1"/>
  <c r="AD20" i="19" s="1"/>
  <c r="AD21" i="19" s="1"/>
  <c r="AD22" i="19" s="1"/>
  <c r="AD23" i="19" s="1"/>
  <c r="AD24" i="19" s="1"/>
  <c r="AD25" i="19" s="1"/>
  <c r="AD26" i="19" s="1"/>
  <c r="AD27" i="19" s="1"/>
  <c r="AD28" i="19" s="1"/>
  <c r="AD29" i="19" s="1"/>
  <c r="AD30" i="19" s="1"/>
  <c r="AD31" i="19" s="1"/>
  <c r="AD32" i="19" s="1"/>
  <c r="AD33" i="19" s="1"/>
  <c r="AD34" i="19" s="1"/>
  <c r="AD35" i="19" s="1"/>
  <c r="AD36" i="19" s="1"/>
  <c r="AD37" i="19" s="1"/>
  <c r="AD38" i="19" s="1"/>
  <c r="AD39" i="19" s="1"/>
  <c r="AD40" i="19" s="1"/>
  <c r="AD41" i="19" s="1"/>
  <c r="AD42" i="19" s="1"/>
  <c r="AD43" i="19" s="1"/>
  <c r="AD44" i="19" s="1"/>
  <c r="AD45" i="19" s="1"/>
  <c r="AD46" i="19" s="1"/>
  <c r="AD47" i="19" s="1"/>
  <c r="AD48" i="19" s="1"/>
  <c r="AD49" i="19" s="1"/>
  <c r="AD50" i="19" s="1"/>
  <c r="AD51" i="19" s="1"/>
  <c r="AD52" i="19" s="1"/>
  <c r="AD53" i="19" s="1"/>
  <c r="AD54" i="19" s="1"/>
  <c r="AD55" i="19" s="1"/>
  <c r="AD56" i="19" s="1"/>
  <c r="AD57" i="19" s="1"/>
  <c r="AD58" i="19" s="1"/>
  <c r="AD59" i="19" s="1"/>
  <c r="AD60" i="19" s="1"/>
  <c r="AD61" i="19" s="1"/>
  <c r="AD62" i="19" s="1"/>
  <c r="AD63" i="19" s="1"/>
  <c r="AD64" i="19" s="1"/>
  <c r="AD65" i="19" s="1"/>
  <c r="AD66" i="19" s="1"/>
  <c r="AD67" i="19" s="1"/>
  <c r="AD68" i="19" s="1"/>
  <c r="AD69" i="19" s="1"/>
  <c r="AD70" i="19" s="1"/>
  <c r="AD71" i="19" s="1"/>
  <c r="AD72" i="19" s="1"/>
  <c r="AD73" i="19" s="1"/>
  <c r="AD74" i="19" s="1"/>
  <c r="AD75" i="19" s="1"/>
  <c r="AD76" i="19" s="1"/>
  <c r="AD77" i="19" s="1"/>
  <c r="AD78" i="19" s="1"/>
  <c r="AD79" i="19" s="1"/>
  <c r="AD80" i="19" s="1"/>
  <c r="AD81" i="19" s="1"/>
  <c r="AD82" i="19" s="1"/>
  <c r="AD83" i="19" s="1"/>
  <c r="AD84" i="19" s="1"/>
  <c r="AD85" i="19" s="1"/>
  <c r="AD86" i="19" s="1"/>
  <c r="AD87" i="19" s="1"/>
  <c r="AD88" i="19" s="1"/>
  <c r="AD89" i="19" s="1"/>
  <c r="AD90" i="19" s="1"/>
  <c r="AD91" i="19" s="1"/>
  <c r="AD92" i="19" s="1"/>
  <c r="AD93" i="19" s="1"/>
  <c r="AD94" i="19" s="1"/>
  <c r="AD95" i="19" s="1"/>
  <c r="AD96" i="19" s="1"/>
  <c r="AD97" i="19" s="1"/>
  <c r="AD98" i="19" s="1"/>
  <c r="AD99" i="19" s="1"/>
  <c r="AD100" i="19" s="1"/>
  <c r="AD101" i="19" s="1"/>
  <c r="AD102" i="19" s="1"/>
  <c r="AD103" i="19" s="1"/>
  <c r="AR14" i="19"/>
  <c r="AZ13" i="19"/>
  <c r="AI14" i="19"/>
  <c r="AO105" i="19"/>
  <c r="AO106" i="19"/>
  <c r="BC13" i="19" l="1"/>
  <c r="BN13" i="19"/>
  <c r="AW105" i="19"/>
  <c r="AZ14" i="19"/>
  <c r="AR15" i="19"/>
  <c r="AI15" i="19"/>
  <c r="BB106" i="19"/>
  <c r="BB105" i="19"/>
  <c r="AT14" i="19"/>
  <c r="AB15" i="19"/>
  <c r="BD13" i="19"/>
  <c r="BG13" i="19" s="1"/>
  <c r="BH13" i="19" s="1"/>
  <c r="BI13" i="19" s="1"/>
  <c r="AU14" i="19"/>
  <c r="BJ14" i="19"/>
  <c r="BA14" i="19"/>
  <c r="BL14" i="19"/>
  <c r="BM14" i="19" s="1"/>
  <c r="AC15" i="19"/>
  <c r="BN14" i="19" l="1"/>
  <c r="BD14" i="19"/>
  <c r="BI14" i="19" s="1"/>
  <c r="AR16" i="19"/>
  <c r="AI16" i="19"/>
  <c r="AZ15" i="19"/>
  <c r="BD15" i="19" s="1"/>
  <c r="BI15" i="19" s="1"/>
  <c r="AB16" i="19"/>
  <c r="AK16" i="19"/>
  <c r="AL16" i="19"/>
  <c r="BL15" i="19"/>
  <c r="BM15" i="19" s="1"/>
  <c r="BN15" i="19" s="1"/>
  <c r="BJ15" i="19"/>
  <c r="AC16" i="19"/>
  <c r="BC14" i="19"/>
  <c r="BC15" i="19" l="1"/>
  <c r="AL105" i="19"/>
  <c r="AL106" i="19"/>
  <c r="AZ16" i="19"/>
  <c r="AI17" i="19"/>
  <c r="AI18" i="19" s="1"/>
  <c r="AI19" i="19" s="1"/>
  <c r="AI20" i="19" s="1"/>
  <c r="AI21" i="19" s="1"/>
  <c r="AI22" i="19" s="1"/>
  <c r="AI23" i="19" s="1"/>
  <c r="AI24" i="19" s="1"/>
  <c r="AI25" i="19" s="1"/>
  <c r="AI26" i="19" s="1"/>
  <c r="AI27" i="19" s="1"/>
  <c r="AI28" i="19" s="1"/>
  <c r="AI29" i="19" s="1"/>
  <c r="AI30" i="19" s="1"/>
  <c r="AI31" i="19" s="1"/>
  <c r="AI32" i="19" s="1"/>
  <c r="AI33" i="19" s="1"/>
  <c r="AI34" i="19" s="1"/>
  <c r="AI35" i="19" s="1"/>
  <c r="AI36" i="19" s="1"/>
  <c r="AI37" i="19" s="1"/>
  <c r="AI38" i="19" s="1"/>
  <c r="AI39" i="19" s="1"/>
  <c r="AI40" i="19" s="1"/>
  <c r="AI41" i="19" s="1"/>
  <c r="AI42" i="19" s="1"/>
  <c r="AI43" i="19" s="1"/>
  <c r="AI44" i="19" s="1"/>
  <c r="AI45" i="19" s="1"/>
  <c r="AI46" i="19" s="1"/>
  <c r="AI47" i="19" s="1"/>
  <c r="AI48" i="19" s="1"/>
  <c r="AI49" i="19" s="1"/>
  <c r="AI50" i="19" s="1"/>
  <c r="AI51" i="19" s="1"/>
  <c r="AI52" i="19" s="1"/>
  <c r="AI53" i="19" s="1"/>
  <c r="AI54" i="19" s="1"/>
  <c r="AI55" i="19" s="1"/>
  <c r="AI56" i="19" s="1"/>
  <c r="AI57" i="19" s="1"/>
  <c r="AI58" i="19" s="1"/>
  <c r="AI59" i="19" s="1"/>
  <c r="AI60" i="19" s="1"/>
  <c r="AI61" i="19" s="1"/>
  <c r="AI62" i="19" s="1"/>
  <c r="AI63" i="19" s="1"/>
  <c r="AI64" i="19" s="1"/>
  <c r="AI65" i="19" s="1"/>
  <c r="AI66" i="19" s="1"/>
  <c r="AI67" i="19" s="1"/>
  <c r="AI68" i="19" s="1"/>
  <c r="AI69" i="19" s="1"/>
  <c r="AI70" i="19" s="1"/>
  <c r="AI71" i="19" s="1"/>
  <c r="AI72" i="19" s="1"/>
  <c r="AI73" i="19" s="1"/>
  <c r="AI74" i="19" s="1"/>
  <c r="AI75" i="19" s="1"/>
  <c r="AI76" i="19" s="1"/>
  <c r="AI77" i="19" s="1"/>
  <c r="AI78" i="19" s="1"/>
  <c r="AI79" i="19" s="1"/>
  <c r="AI80" i="19" s="1"/>
  <c r="AI81" i="19" s="1"/>
  <c r="AI82" i="19" s="1"/>
  <c r="AI83" i="19" s="1"/>
  <c r="AI84" i="19" s="1"/>
  <c r="AI85" i="19" s="1"/>
  <c r="AI86" i="19" s="1"/>
  <c r="AI87" i="19" s="1"/>
  <c r="AI88" i="19" s="1"/>
  <c r="AI89" i="19" s="1"/>
  <c r="AI90" i="19" s="1"/>
  <c r="AI91" i="19" s="1"/>
  <c r="AI92" i="19" s="1"/>
  <c r="AI93" i="19" s="1"/>
  <c r="AI94" i="19" s="1"/>
  <c r="AI95" i="19" s="1"/>
  <c r="AI96" i="19" s="1"/>
  <c r="AI97" i="19" s="1"/>
  <c r="AI98" i="19" s="1"/>
  <c r="AI99" i="19" s="1"/>
  <c r="AI100" i="19" s="1"/>
  <c r="AI101" i="19" s="1"/>
  <c r="AI102" i="19" s="1"/>
  <c r="AI103" i="19" s="1"/>
  <c r="BJ16" i="19"/>
  <c r="BL16" i="19"/>
  <c r="BM16" i="19" s="1"/>
  <c r="AU16" i="19"/>
  <c r="BA16" i="19"/>
  <c r="AC17" i="19"/>
  <c r="AR106" i="19"/>
  <c r="AR105" i="19"/>
  <c r="AK106" i="19"/>
  <c r="AK105" i="19"/>
  <c r="AT16" i="19"/>
  <c r="AB17" i="19"/>
  <c r="AB18" i="19" s="1"/>
  <c r="AB19" i="19" s="1"/>
  <c r="AB20" i="19" s="1"/>
  <c r="AB21" i="19" s="1"/>
  <c r="AB22" i="19" s="1"/>
  <c r="AB23" i="19" s="1"/>
  <c r="AB24" i="19" s="1"/>
  <c r="AB25" i="19" s="1"/>
  <c r="AB26" i="19" s="1"/>
  <c r="AB27" i="19" s="1"/>
  <c r="AB28" i="19" s="1"/>
  <c r="AB29" i="19" s="1"/>
  <c r="AB30" i="19" s="1"/>
  <c r="AB31" i="19" s="1"/>
  <c r="AB32" i="19" s="1"/>
  <c r="AB33" i="19" s="1"/>
  <c r="AB34" i="19" s="1"/>
  <c r="AB35" i="19" s="1"/>
  <c r="AB36" i="19" s="1"/>
  <c r="AB37" i="19" s="1"/>
  <c r="AB38" i="19" s="1"/>
  <c r="AB39" i="19" s="1"/>
  <c r="AB40" i="19" s="1"/>
  <c r="AB41" i="19" s="1"/>
  <c r="AB42" i="19" s="1"/>
  <c r="AB43" i="19" s="1"/>
  <c r="AB44" i="19" s="1"/>
  <c r="AB45" i="19" s="1"/>
  <c r="AB46" i="19" s="1"/>
  <c r="AB47" i="19" s="1"/>
  <c r="AB48" i="19" s="1"/>
  <c r="AB49" i="19" s="1"/>
  <c r="AB50" i="19" s="1"/>
  <c r="AB51" i="19" s="1"/>
  <c r="AB52" i="19" s="1"/>
  <c r="AB53" i="19" s="1"/>
  <c r="AB54" i="19" s="1"/>
  <c r="AB55" i="19" s="1"/>
  <c r="AB56" i="19" s="1"/>
  <c r="AB57" i="19" s="1"/>
  <c r="AB58" i="19" s="1"/>
  <c r="AB59" i="19" s="1"/>
  <c r="AB60" i="19" s="1"/>
  <c r="AB61" i="19" s="1"/>
  <c r="AB62" i="19" s="1"/>
  <c r="AB63" i="19" s="1"/>
  <c r="AB64" i="19" s="1"/>
  <c r="AB65" i="19" s="1"/>
  <c r="AB66" i="19" s="1"/>
  <c r="AB67" i="19" s="1"/>
  <c r="AB68" i="19" s="1"/>
  <c r="AB69" i="19" s="1"/>
  <c r="AB70" i="19" s="1"/>
  <c r="AB71" i="19" s="1"/>
  <c r="AB72" i="19" s="1"/>
  <c r="AB73" i="19" s="1"/>
  <c r="AB74" i="19" s="1"/>
  <c r="AB75" i="19" s="1"/>
  <c r="AB76" i="19" s="1"/>
  <c r="AB77" i="19" s="1"/>
  <c r="AB78" i="19" s="1"/>
  <c r="AB79" i="19" s="1"/>
  <c r="AB80" i="19" s="1"/>
  <c r="AB81" i="19" s="1"/>
  <c r="AB82" i="19" s="1"/>
  <c r="AB83" i="19" s="1"/>
  <c r="AB84" i="19" s="1"/>
  <c r="AB85" i="19" s="1"/>
  <c r="AB86" i="19" s="1"/>
  <c r="AB87" i="19" s="1"/>
  <c r="AB88" i="19" s="1"/>
  <c r="AB89" i="19" s="1"/>
  <c r="AB90" i="19" s="1"/>
  <c r="AB91" i="19" s="1"/>
  <c r="AB92" i="19" s="1"/>
  <c r="AB93" i="19" s="1"/>
  <c r="AB94" i="19" s="1"/>
  <c r="AB95" i="19" s="1"/>
  <c r="AB96" i="19" s="1"/>
  <c r="AB97" i="19" s="1"/>
  <c r="AB98" i="19" s="1"/>
  <c r="AB99" i="19" s="1"/>
  <c r="AB100" i="19" s="1"/>
  <c r="AB101" i="19" s="1"/>
  <c r="AB102" i="19" s="1"/>
  <c r="AB103" i="19" s="1"/>
  <c r="BC16" i="19" l="1"/>
  <c r="BC105" i="19" s="1"/>
  <c r="BN16" i="19"/>
  <c r="AU106" i="19"/>
  <c r="AU105" i="19"/>
  <c r="BC106" i="19"/>
  <c r="BA105" i="19"/>
  <c r="BA106" i="19"/>
  <c r="BD16" i="19"/>
  <c r="AT105" i="19"/>
  <c r="AT106" i="19"/>
  <c r="AZ106" i="19"/>
  <c r="AZ105" i="19"/>
  <c r="BJ17" i="19"/>
  <c r="BL17" i="19"/>
  <c r="BM17" i="19" s="1"/>
  <c r="BN17" i="19" s="1"/>
  <c r="AC18" i="19"/>
  <c r="BI16" i="19" l="1"/>
  <c r="BD105" i="19"/>
  <c r="BD106" i="19"/>
  <c r="BJ18" i="19"/>
  <c r="BL18" i="19"/>
  <c r="BM18" i="19" s="1"/>
  <c r="BN18" i="19" s="1"/>
  <c r="AC19" i="19"/>
  <c r="BJ19" i="19" l="1"/>
  <c r="BL19" i="19"/>
  <c r="BM19" i="19" s="1"/>
  <c r="BN19" i="19" s="1"/>
  <c r="AC20" i="19"/>
  <c r="BJ20" i="19" l="1"/>
  <c r="BL20" i="19"/>
  <c r="BM20" i="19" s="1"/>
  <c r="BN20" i="19" s="1"/>
  <c r="AC21" i="19"/>
  <c r="BJ21" i="19" l="1"/>
  <c r="BL21" i="19"/>
  <c r="BM21" i="19" s="1"/>
  <c r="BN21" i="19" s="1"/>
  <c r="AC22" i="19"/>
  <c r="BJ22" i="19" l="1"/>
  <c r="AC23" i="19"/>
  <c r="BL22" i="19"/>
  <c r="BM22" i="19" s="1"/>
  <c r="BN22" i="19" s="1"/>
  <c r="BJ23" i="19" l="1"/>
  <c r="BL23" i="19"/>
  <c r="BM23" i="19" s="1"/>
  <c r="BN23" i="19" s="1"/>
  <c r="AC24" i="19"/>
  <c r="BJ24" i="19" l="1"/>
  <c r="BL24" i="19"/>
  <c r="BM24" i="19" s="1"/>
  <c r="BN24" i="19" s="1"/>
  <c r="AC25" i="19"/>
  <c r="BJ25" i="19" l="1"/>
  <c r="BL25" i="19"/>
  <c r="BM25" i="19" s="1"/>
  <c r="BN25" i="19" s="1"/>
  <c r="AC26" i="19"/>
  <c r="BJ26" i="19" l="1"/>
  <c r="BL26" i="19"/>
  <c r="BM26" i="19" s="1"/>
  <c r="BN26" i="19" s="1"/>
  <c r="AC27" i="19"/>
  <c r="BJ27" i="19" l="1"/>
  <c r="BL27" i="19"/>
  <c r="BM27" i="19" s="1"/>
  <c r="BN27" i="19" s="1"/>
  <c r="AC28" i="19"/>
  <c r="BJ28" i="19" l="1"/>
  <c r="BL28" i="19"/>
  <c r="BM28" i="19" s="1"/>
  <c r="BN28" i="19" s="1"/>
  <c r="AC29" i="19"/>
  <c r="BJ29" i="19" l="1"/>
  <c r="BL29" i="19"/>
  <c r="BM29" i="19" s="1"/>
  <c r="BN29" i="19" s="1"/>
  <c r="AC30" i="19"/>
  <c r="BJ30" i="19" l="1"/>
  <c r="BL30" i="19"/>
  <c r="BM30" i="19" s="1"/>
  <c r="BN30" i="19" s="1"/>
  <c r="AC31" i="19"/>
  <c r="BJ31" i="19" l="1"/>
  <c r="BL31" i="19"/>
  <c r="BM31" i="19" s="1"/>
  <c r="BN31" i="19" s="1"/>
  <c r="AC32" i="19"/>
  <c r="BJ32" i="19" l="1"/>
  <c r="BL32" i="19"/>
  <c r="BM32" i="19" s="1"/>
  <c r="BN32" i="19" s="1"/>
  <c r="AC33" i="19"/>
  <c r="BL33" i="19" l="1"/>
  <c r="BM33" i="19" s="1"/>
  <c r="BN33" i="19" s="1"/>
  <c r="BJ33" i="19"/>
  <c r="AC34" i="19"/>
  <c r="BL34" i="19" l="1"/>
  <c r="BM34" i="19" s="1"/>
  <c r="BN34" i="19" s="1"/>
  <c r="BJ34" i="19"/>
  <c r="AC35" i="19"/>
  <c r="BL35" i="19" l="1"/>
  <c r="BM35" i="19" s="1"/>
  <c r="BN35" i="19" s="1"/>
  <c r="BJ35" i="19"/>
  <c r="AC36" i="19"/>
  <c r="BL36" i="19" l="1"/>
  <c r="BM36" i="19" s="1"/>
  <c r="BN36" i="19" s="1"/>
  <c r="BJ36" i="19"/>
  <c r="AC37" i="19"/>
  <c r="BL37" i="19" l="1"/>
  <c r="BM37" i="19" s="1"/>
  <c r="BN37" i="19" s="1"/>
  <c r="AC38" i="19"/>
  <c r="BJ37" i="19"/>
  <c r="BL38" i="19" l="1"/>
  <c r="BM38" i="19" s="1"/>
  <c r="BN38" i="19" s="1"/>
  <c r="BJ38" i="19"/>
  <c r="AC39" i="19"/>
  <c r="BL39" i="19" l="1"/>
  <c r="BM39" i="19" s="1"/>
  <c r="BN39" i="19" s="1"/>
  <c r="BJ39" i="19"/>
  <c r="AC40" i="19"/>
  <c r="BL40" i="19" l="1"/>
  <c r="BM40" i="19" s="1"/>
  <c r="BN40" i="19" s="1"/>
  <c r="BJ40" i="19"/>
  <c r="AC41" i="19"/>
  <c r="BL41" i="19" l="1"/>
  <c r="BM41" i="19" s="1"/>
  <c r="BN41" i="19" s="1"/>
  <c r="BJ41" i="19"/>
  <c r="AC42" i="19"/>
  <c r="BJ42" i="19" l="1"/>
  <c r="BL42" i="19"/>
  <c r="BM42" i="19" s="1"/>
  <c r="BN42" i="19" s="1"/>
  <c r="AC43" i="19"/>
  <c r="BJ43" i="19" l="1"/>
  <c r="BL43" i="19"/>
  <c r="BM43" i="19" s="1"/>
  <c r="BN43" i="19" s="1"/>
  <c r="AC44" i="19"/>
  <c r="BJ44" i="19" l="1"/>
  <c r="BL44" i="19"/>
  <c r="BM44" i="19" s="1"/>
  <c r="BN44" i="19" s="1"/>
  <c r="AC45" i="19"/>
  <c r="BL45" i="19" l="1"/>
  <c r="BM45" i="19" s="1"/>
  <c r="BN45" i="19" s="1"/>
  <c r="BJ45" i="19"/>
  <c r="AC46" i="19"/>
  <c r="BJ46" i="19" l="1"/>
  <c r="BL46" i="19"/>
  <c r="BM46" i="19" s="1"/>
  <c r="BN46" i="19" s="1"/>
  <c r="AC47" i="19"/>
  <c r="BL47" i="19" l="1"/>
  <c r="BM47" i="19" s="1"/>
  <c r="BN47" i="19" s="1"/>
  <c r="BJ47" i="19"/>
  <c r="AC48" i="19"/>
  <c r="BL48" i="19" l="1"/>
  <c r="BM48" i="19" s="1"/>
  <c r="BN48" i="19" s="1"/>
  <c r="AC49" i="19"/>
  <c r="BJ48" i="19"/>
  <c r="BL49" i="19" l="1"/>
  <c r="BM49" i="19" s="1"/>
  <c r="BN49" i="19" s="1"/>
  <c r="BJ49" i="19"/>
  <c r="AC50" i="19"/>
  <c r="BL50" i="19" l="1"/>
  <c r="BM50" i="19" s="1"/>
  <c r="BN50" i="19" s="1"/>
  <c r="BJ50" i="19"/>
  <c r="AC51" i="19"/>
  <c r="BJ51" i="19" l="1"/>
  <c r="BL51" i="19"/>
  <c r="BM51" i="19" s="1"/>
  <c r="BN51" i="19" s="1"/>
  <c r="AC52" i="19"/>
  <c r="BL52" i="19" l="1"/>
  <c r="BM52" i="19" s="1"/>
  <c r="BN52" i="19" s="1"/>
  <c r="BJ52" i="19"/>
  <c r="AC53" i="19"/>
  <c r="BL53" i="19" l="1"/>
  <c r="BM53" i="19" s="1"/>
  <c r="BN53" i="19" s="1"/>
  <c r="BJ53" i="19"/>
  <c r="AC54" i="19"/>
  <c r="BL54" i="19" l="1"/>
  <c r="BM54" i="19" s="1"/>
  <c r="BN54" i="19" s="1"/>
  <c r="AC55" i="19"/>
  <c r="BJ54" i="19"/>
  <c r="BJ55" i="19" l="1"/>
  <c r="BL55" i="19"/>
  <c r="BM55" i="19" s="1"/>
  <c r="BN55" i="19" s="1"/>
  <c r="AC56" i="19"/>
  <c r="BL56" i="19" l="1"/>
  <c r="BM56" i="19" s="1"/>
  <c r="BN56" i="19" s="1"/>
  <c r="BJ56" i="19"/>
  <c r="AC57" i="19"/>
  <c r="BL57" i="19" l="1"/>
  <c r="BM57" i="19" s="1"/>
  <c r="BN57" i="19" s="1"/>
  <c r="AC58" i="19"/>
  <c r="BJ57" i="19"/>
  <c r="BL58" i="19" l="1"/>
  <c r="BM58" i="19" s="1"/>
  <c r="BN58" i="19" s="1"/>
  <c r="AC59" i="19"/>
  <c r="BJ58" i="19"/>
  <c r="BJ59" i="19" l="1"/>
  <c r="BL59" i="19"/>
  <c r="BM59" i="19" s="1"/>
  <c r="BN59" i="19" s="1"/>
  <c r="AC60" i="19"/>
  <c r="BJ60" i="19" l="1"/>
  <c r="BL60" i="19"/>
  <c r="BM60" i="19" s="1"/>
  <c r="BN60" i="19" s="1"/>
  <c r="AC61" i="19"/>
  <c r="BL61" i="19" l="1"/>
  <c r="BM61" i="19" s="1"/>
  <c r="BN61" i="19" s="1"/>
  <c r="BJ61" i="19"/>
  <c r="AC62" i="19"/>
  <c r="BJ62" i="19" l="1"/>
  <c r="BL62" i="19"/>
  <c r="BM62" i="19" s="1"/>
  <c r="BN62" i="19" s="1"/>
  <c r="AC63" i="19"/>
  <c r="BL63" i="19" l="1"/>
  <c r="BM63" i="19" s="1"/>
  <c r="BN63" i="19" s="1"/>
  <c r="BJ63" i="19"/>
  <c r="AC64" i="19"/>
  <c r="BL64" i="19" l="1"/>
  <c r="BM64" i="19" s="1"/>
  <c r="BN64" i="19" s="1"/>
  <c r="BJ64" i="19"/>
  <c r="AC65" i="19"/>
  <c r="AC66" i="19" l="1"/>
  <c r="BL65" i="19"/>
  <c r="BM65" i="19" s="1"/>
  <c r="BN65" i="19" s="1"/>
  <c r="BJ65" i="19"/>
  <c r="BJ66" i="19" l="1"/>
  <c r="BL66" i="19"/>
  <c r="BM66" i="19" s="1"/>
  <c r="BN66" i="19" s="1"/>
  <c r="AC67" i="19"/>
  <c r="BL67" i="19" l="1"/>
  <c r="BM67" i="19" s="1"/>
  <c r="BN67" i="19" s="1"/>
  <c r="BJ67" i="19"/>
  <c r="AC68" i="19"/>
  <c r="BL68" i="19" l="1"/>
  <c r="BM68" i="19" s="1"/>
  <c r="BN68" i="19" s="1"/>
  <c r="AC69" i="19"/>
  <c r="BJ68" i="19"/>
  <c r="BL69" i="19" l="1"/>
  <c r="BM69" i="19" s="1"/>
  <c r="BN69" i="19" s="1"/>
  <c r="AC70" i="19"/>
  <c r="BJ69" i="19"/>
  <c r="AC71" i="19" l="1"/>
  <c r="BJ70" i="19"/>
  <c r="BL70" i="19"/>
  <c r="BM70" i="19" s="1"/>
  <c r="BN70" i="19" s="1"/>
  <c r="BJ71" i="19" l="1"/>
  <c r="BL71" i="19"/>
  <c r="BM71" i="19" s="1"/>
  <c r="BN71" i="19" s="1"/>
  <c r="AC72" i="19"/>
  <c r="BL72" i="19" l="1"/>
  <c r="BM72" i="19" s="1"/>
  <c r="BN72" i="19" s="1"/>
  <c r="BJ72" i="19"/>
  <c r="AC73" i="19"/>
  <c r="BJ73" i="19" l="1"/>
  <c r="AC74" i="19"/>
  <c r="BL73" i="19"/>
  <c r="BM73" i="19" s="1"/>
  <c r="BN73" i="19" s="1"/>
  <c r="BJ74" i="19" l="1"/>
  <c r="BL74" i="19"/>
  <c r="BM74" i="19" s="1"/>
  <c r="BN74" i="19" s="1"/>
  <c r="AC75" i="19"/>
  <c r="BJ75" i="19" l="1"/>
  <c r="BL75" i="19"/>
  <c r="BM75" i="19" s="1"/>
  <c r="BN75" i="19" s="1"/>
  <c r="AC76" i="19"/>
  <c r="BL76" i="19" l="1"/>
  <c r="BM76" i="19" s="1"/>
  <c r="BN76" i="19" s="1"/>
  <c r="AC77" i="19"/>
  <c r="BJ76" i="19"/>
  <c r="BL77" i="19" l="1"/>
  <c r="BM77" i="19" s="1"/>
  <c r="BN77" i="19" s="1"/>
  <c r="AC78" i="19"/>
  <c r="BJ77" i="19"/>
  <c r="AC79" i="19" l="1"/>
  <c r="BJ78" i="19"/>
  <c r="BL78" i="19"/>
  <c r="BM78" i="19" s="1"/>
  <c r="BN78" i="19" s="1"/>
  <c r="BJ79" i="19" l="1"/>
  <c r="BL79" i="19"/>
  <c r="BM79" i="19" s="1"/>
  <c r="BN79" i="19" s="1"/>
  <c r="AC80" i="19"/>
  <c r="BL80" i="19" l="1"/>
  <c r="BM80" i="19" s="1"/>
  <c r="BN80" i="19" s="1"/>
  <c r="BJ80" i="19"/>
  <c r="AC81" i="19"/>
  <c r="BJ81" i="19" l="1"/>
  <c r="AC82" i="19"/>
  <c r="BL81" i="19"/>
  <c r="BM81" i="19" s="1"/>
  <c r="BN81" i="19" s="1"/>
  <c r="BL82" i="19" l="1"/>
  <c r="BM82" i="19" s="1"/>
  <c r="BN82" i="19" s="1"/>
  <c r="BJ82" i="19"/>
  <c r="AC83" i="19"/>
  <c r="BL83" i="19" l="1"/>
  <c r="BM83" i="19" s="1"/>
  <c r="BN83" i="19" s="1"/>
  <c r="BJ83" i="19"/>
  <c r="AC84" i="19"/>
  <c r="BL84" i="19" l="1"/>
  <c r="BM84" i="19" s="1"/>
  <c r="BN84" i="19" s="1"/>
  <c r="BJ84" i="19"/>
  <c r="AC85" i="19"/>
  <c r="BJ85" i="19" l="1"/>
  <c r="BL85" i="19"/>
  <c r="BM85" i="19" s="1"/>
  <c r="BN85" i="19" s="1"/>
  <c r="AC86" i="19"/>
  <c r="BJ86" i="19" l="1"/>
  <c r="AC87" i="19"/>
  <c r="BL86" i="19"/>
  <c r="BM86" i="19" s="1"/>
  <c r="BN86" i="19" s="1"/>
  <c r="BJ87" i="19" l="1"/>
  <c r="BL87" i="19"/>
  <c r="BM87" i="19" s="1"/>
  <c r="BN87" i="19" s="1"/>
  <c r="AC88" i="19"/>
  <c r="BL88" i="19" l="1"/>
  <c r="BM88" i="19" s="1"/>
  <c r="BN88" i="19" s="1"/>
  <c r="BJ88" i="19"/>
  <c r="AC89" i="19"/>
  <c r="AC90" i="19" l="1"/>
  <c r="BJ89" i="19"/>
  <c r="BL89" i="19"/>
  <c r="BM89" i="19" s="1"/>
  <c r="BN89" i="19" s="1"/>
  <c r="BJ90" i="19" l="1"/>
  <c r="BL90" i="19"/>
  <c r="BM90" i="19" s="1"/>
  <c r="BN90" i="19" s="1"/>
  <c r="AC91" i="19"/>
  <c r="BJ91" i="19" l="1"/>
  <c r="BL91" i="19"/>
  <c r="BM91" i="19" s="1"/>
  <c r="BN91" i="19" s="1"/>
  <c r="AC92" i="19"/>
  <c r="BJ92" i="19" l="1"/>
  <c r="BL92" i="19"/>
  <c r="BM92" i="19" s="1"/>
  <c r="BN92" i="19" s="1"/>
  <c r="AC93" i="19"/>
  <c r="BJ93" i="19" l="1"/>
  <c r="AC94" i="19"/>
  <c r="BL93" i="19"/>
  <c r="BM93" i="19" s="1"/>
  <c r="BN93" i="19" s="1"/>
  <c r="BJ94" i="19" l="1"/>
  <c r="AC95" i="19"/>
  <c r="BL94" i="19"/>
  <c r="BM94" i="19" s="1"/>
  <c r="BN94" i="19" s="1"/>
  <c r="BJ95" i="19" l="1"/>
  <c r="BL95" i="19"/>
  <c r="BM95" i="19" s="1"/>
  <c r="BN95" i="19" s="1"/>
  <c r="AC96" i="19"/>
  <c r="BJ96" i="19" l="1"/>
  <c r="AC97" i="19"/>
  <c r="BL96" i="19"/>
  <c r="BM96" i="19" s="1"/>
  <c r="BN96" i="19" s="1"/>
  <c r="BJ97" i="19" l="1"/>
  <c r="AC98" i="19"/>
  <c r="BL97" i="19"/>
  <c r="BM97" i="19" s="1"/>
  <c r="BN97" i="19" s="1"/>
  <c r="BJ98" i="19" l="1"/>
  <c r="AC99" i="19"/>
  <c r="BL98" i="19"/>
  <c r="BM98" i="19" s="1"/>
  <c r="BN98" i="19" s="1"/>
  <c r="BJ99" i="19" l="1"/>
  <c r="BL99" i="19"/>
  <c r="BM99" i="19" s="1"/>
  <c r="BN99" i="19" s="1"/>
  <c r="AC100" i="19"/>
  <c r="BL100" i="19" l="1"/>
  <c r="BM100" i="19" s="1"/>
  <c r="BN100" i="19" s="1"/>
  <c r="AC101" i="19"/>
  <c r="BJ100" i="19"/>
  <c r="BJ101" i="19" l="1"/>
  <c r="AC102" i="19"/>
  <c r="BL101" i="19"/>
  <c r="BM101" i="19" s="1"/>
  <c r="BN101" i="19" s="1"/>
  <c r="BJ102" i="19" l="1"/>
  <c r="BL102" i="19"/>
  <c r="BM102" i="19" s="1"/>
  <c r="BN102" i="19" s="1"/>
  <c r="AC103" i="19"/>
  <c r="BL103" i="19" l="1"/>
  <c r="BM103" i="19" s="1"/>
  <c r="BJ103" i="19"/>
  <c r="BN103" i="19" l="1"/>
  <c r="BM105" i="19"/>
  <c r="BM106" i="1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Antoine Vaillancourt</author>
  </authors>
  <commentList>
    <comment ref="S18" authorId="0" shapeId="0" xr:uid="{3FA83FA0-A6BC-4FD5-A24E-CFB1C7CE8F65}">
      <text>
        <r>
          <rPr>
            <b/>
            <sz val="9"/>
            <color indexed="81"/>
            <rFont val="Tahoma"/>
            <family val="2"/>
          </rPr>
          <t>Antoine Vaillancourt:</t>
        </r>
        <r>
          <rPr>
            <sz val="9"/>
            <color indexed="81"/>
            <rFont val="Tahoma"/>
            <family val="2"/>
          </rPr>
          <t xml:space="preserve">
92 000 kg vendu noir brut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<sst xmlns="http://schemas.openxmlformats.org/spreadsheetml/2006/main" count="671" uniqueCount="240">
  <si>
    <t>PRIORITE</t>
  </si>
  <si>
    <t>JOB #</t>
  </si>
  <si>
    <t>OUI</t>
  </si>
  <si>
    <t># POSTE</t>
  </si>
  <si>
    <t>SOUDURE</t>
  </si>
  <si>
    <t>HRE/JOUR</t>
  </si>
  <si>
    <t>DEBUT</t>
  </si>
  <si>
    <t>HQ</t>
  </si>
  <si>
    <t>CNP</t>
  </si>
  <si>
    <t>RADIAL
(WF + C)</t>
  </si>
  <si>
    <t>FORMAT
BARRE  LB</t>
  </si>
  <si>
    <t>WF
(6@15)et (6@8.5) (8@13)</t>
  </si>
  <si>
    <t>DIVERS</t>
  </si>
  <si>
    <t>Soudure
Mks / Pièces</t>
  </si>
  <si>
    <t>RADIAL (WF + C)</t>
  </si>
  <si>
    <t>DESCRIPTION</t>
  </si>
  <si>
    <t>MARQ</t>
  </si>
  <si>
    <t>POIDS</t>
  </si>
  <si>
    <t>Desc. Job</t>
  </si>
  <si>
    <t># HOMMES</t>
  </si>
  <si>
    <t>FIN</t>
  </si>
  <si>
    <t>DATE</t>
  </si>
  <si>
    <t>client</t>
  </si>
  <si>
    <t>DATE FIN</t>
  </si>
  <si>
    <t>PLANIFIÉ</t>
  </si>
  <si>
    <t>DATE DEB</t>
  </si>
  <si>
    <t>CAP/JOUR</t>
  </si>
  <si>
    <r>
      <t xml:space="preserve">PERC. C/N
(LS OU LC) </t>
    </r>
    <r>
      <rPr>
        <b/>
        <sz val="11"/>
        <rFont val="Bookman Old Style"/>
        <family val="1"/>
      </rPr>
      <t xml:space="preserve">9/16" </t>
    </r>
    <r>
      <rPr>
        <b/>
        <sz val="18"/>
        <rFont val="Bookman Old Style"/>
        <family val="1"/>
      </rPr>
      <t xml:space="preserve"> ≥</t>
    </r>
    <r>
      <rPr>
        <b/>
        <sz val="10"/>
        <rFont val="Bookman Old Style"/>
        <family val="1"/>
      </rPr>
      <t xml:space="preserve"> et plus</t>
    </r>
  </si>
  <si>
    <r>
      <t xml:space="preserve">PROFEL LC 1/2" </t>
    </r>
    <r>
      <rPr>
        <b/>
        <sz val="18"/>
        <rFont val="Bookman Old Style"/>
        <family val="1"/>
      </rPr>
      <t>≤</t>
    </r>
    <r>
      <rPr>
        <b/>
        <sz val="10"/>
        <rFont val="Bookman Old Style"/>
        <family val="1"/>
      </rPr>
      <t xml:space="preserve"> d´épais et moins </t>
    </r>
  </si>
  <si>
    <r>
      <t xml:space="preserve">RADIAL
(PL ET FLAT)  </t>
    </r>
    <r>
      <rPr>
        <b/>
        <sz val="11"/>
        <rFont val="Bookman Old Style"/>
        <family val="1"/>
      </rPr>
      <t>9/16"</t>
    </r>
    <r>
      <rPr>
        <b/>
        <sz val="10"/>
        <rFont val="Bookman Old Style"/>
        <family val="1"/>
      </rPr>
      <t xml:space="preserve"> </t>
    </r>
    <r>
      <rPr>
        <b/>
        <sz val="18"/>
        <rFont val="Bookman Old Style"/>
        <family val="1"/>
      </rPr>
      <t xml:space="preserve"> ≥ </t>
    </r>
    <r>
      <rPr>
        <b/>
        <sz val="10"/>
        <rFont val="Bookman Old Style"/>
        <family val="1"/>
      </rPr>
      <t>et plus</t>
    </r>
  </si>
  <si>
    <r>
      <t xml:space="preserve">POINÇ.
(PL ET FLAT)  </t>
    </r>
    <r>
      <rPr>
        <b/>
        <sz val="11"/>
        <rFont val="Bookman Old Style"/>
        <family val="1"/>
      </rPr>
      <t>1/2"</t>
    </r>
    <r>
      <rPr>
        <b/>
        <sz val="10"/>
        <rFont val="Bookman Old Style"/>
        <family val="1"/>
      </rPr>
      <t xml:space="preserve"> </t>
    </r>
    <r>
      <rPr>
        <b/>
        <sz val="18"/>
        <rFont val="Bookman Old Style"/>
        <family val="1"/>
      </rPr>
      <t>≤</t>
    </r>
    <r>
      <rPr>
        <b/>
        <sz val="10"/>
        <rFont val="Bookman Old Style"/>
        <family val="1"/>
      </rPr>
      <t xml:space="preserve"> d´épais et moins </t>
    </r>
  </si>
  <si>
    <t>DATE MIN</t>
  </si>
  <si>
    <t>DATE MAX</t>
  </si>
  <si>
    <t># JOURS</t>
  </si>
  <si>
    <t xml:space="preserve"> </t>
  </si>
  <si>
    <t>LS</t>
  </si>
  <si>
    <t>LC</t>
  </si>
  <si>
    <t>LB</t>
  </si>
  <si>
    <t>PL+</t>
  </si>
  <si>
    <t>PL-</t>
  </si>
  <si>
    <t>6a15</t>
  </si>
  <si>
    <t>AJOUT D'UN PROJET</t>
  </si>
  <si>
    <t>MISE A JOUR DES DONNÉES DES PROJETS</t>
  </si>
  <si>
    <t>Si il y a une quantité NULLE, inscrire un ZÉRO</t>
  </si>
  <si>
    <t>S'assurer d'inscrire le projet sur une ligne dont les cellules sont en couleur.</t>
  </si>
  <si>
    <t>Ceci indique qu'il y a des formules dans les zones grises et que les formules</t>
  </si>
  <si>
    <t>vont tenir compte de l'ajout</t>
  </si>
  <si>
    <t>*</t>
  </si>
  <si>
    <t>DEPLACER UN PROJET DANS L'ORDRE DES PRIORITÉS</t>
  </si>
  <si>
    <t>Sélectionner la ligne du projet désiré (Au complet)</t>
  </si>
  <si>
    <t>Couper</t>
  </si>
  <si>
    <t>Insérer la ligne a l'endroit désiré (Coller)</t>
  </si>
  <si>
    <t>MISE A JOUR DES DONNÉES PAR POSTE</t>
  </si>
  <si>
    <t>VARIABLE PAR POSTE MODIFIABLE SOUS L'ONGLET "POSTE" :</t>
  </si>
  <si>
    <t>Date de départ des Forecast</t>
  </si>
  <si>
    <t>Moyenne Kg/heure</t>
  </si>
  <si>
    <t>Nombre d'employés / poste</t>
  </si>
  <si>
    <t>AJOUT D'UN NOUVEAU POSTE DE TRAVAIL</t>
  </si>
  <si>
    <t>Faire la demande a la comptabilité</t>
  </si>
  <si>
    <t>Nombre d'heures / jour ouvrable</t>
  </si>
  <si>
    <t>FABRIMET</t>
  </si>
  <si>
    <t>DIAGRAMME DE GANT</t>
  </si>
  <si>
    <t>Jour de l'an</t>
  </si>
  <si>
    <t>Lundi de paques</t>
  </si>
  <si>
    <t>fete du travail</t>
  </si>
  <si>
    <t>Fete nationale</t>
  </si>
  <si>
    <t>Noel</t>
  </si>
  <si>
    <t>Dimanche Pâques</t>
  </si>
  <si>
    <t>Fetes des patriotes</t>
  </si>
  <si>
    <t>Fete du canada</t>
  </si>
  <si>
    <t>Action graces</t>
  </si>
  <si>
    <t>Vacances</t>
  </si>
  <si>
    <t>REQUISITION</t>
  </si>
  <si>
    <t>PRIORITÉ</t>
  </si>
  <si>
    <t>Colonne</t>
  </si>
  <si>
    <t>JOB</t>
  </si>
  <si>
    <t>OUI/NON</t>
  </si>
  <si>
    <t>Inscrire les données du projet sous l'onglet "DATA" (Colonne C a Z)</t>
  </si>
  <si>
    <t>RETIRER UN PROJET EXISTANT DE LA PLANIFICATION TEMPORAIREMENT</t>
  </si>
  <si>
    <t>Inscrire NON sous la colonne "H" de l'onglet "DATA"</t>
  </si>
  <si>
    <t>Ceci permet de conserver les données dans le fichier ET de les</t>
  </si>
  <si>
    <t>exclures de la palnification en terme de Qté et de date</t>
  </si>
  <si>
    <t>ONGLET SOMMAIRE</t>
  </si>
  <si>
    <t>TABLEAU SOMMAIRE</t>
  </si>
  <si>
    <t xml:space="preserve">Tableau sommaire qui permet d'avoir une vue d'ensemble de la planification </t>
  </si>
  <si>
    <t>avec la date de fin de tous les projets par poste</t>
  </si>
  <si>
    <t>ONGLET DETAIL TOUT</t>
  </si>
  <si>
    <t>Présente la date de fin des travaux pour chaque job planifié pour</t>
  </si>
  <si>
    <t>chaque étape de production planifiée.</t>
  </si>
  <si>
    <t>a jour le TCD pour que la modification se reflete dans le tableau.</t>
  </si>
  <si>
    <t>Important : Après avoir fait des changements sous l'onglet DATA, il faut mettre</t>
  </si>
  <si>
    <t>AJOUTER DES CONGÉS FÉRIÉES</t>
  </si>
  <si>
    <t>Incrire la date sous l'onglet CONGÉ dans la zone BLEU</t>
  </si>
  <si>
    <t>GANTT PAR JOB</t>
  </si>
  <si>
    <t xml:space="preserve">Selectionner LA JOB désirée dans le menu déroulant </t>
  </si>
  <si>
    <t>(Cellule B2 de l'onglet GANTT JOB)</t>
  </si>
  <si>
    <t>Il est possible d'utiliser les filtres pour cibler un poste ou une job en particulier</t>
  </si>
  <si>
    <t>Si la date de fin de livrison est plus grandes que la date de réquisition du client</t>
  </si>
  <si>
    <t>la cellule de la date de livraison sera rouge</t>
  </si>
  <si>
    <t>S'il n'y a pas de date de requisition pour la job, la date de requisition sera rouge</t>
  </si>
  <si>
    <t>KG/HEURE</t>
  </si>
  <si>
    <t xml:space="preserve"> TOTAL</t>
  </si>
  <si>
    <t>LC + LB</t>
  </si>
  <si>
    <t>CUM</t>
  </si>
  <si>
    <t>CONTRÔLE</t>
  </si>
  <si>
    <t>DUREE</t>
  </si>
  <si>
    <t>ECART</t>
  </si>
  <si>
    <t>CLIENT</t>
  </si>
  <si>
    <t>TRAVAIL</t>
  </si>
  <si>
    <t>FIN EMBALLAGE</t>
  </si>
  <si>
    <t>TTL MARKS</t>
  </si>
  <si>
    <t>TTL KG</t>
  </si>
  <si>
    <t>COMM. CLIENT</t>
  </si>
  <si>
    <t xml:space="preserve">FIN LS </t>
  </si>
  <si>
    <t xml:space="preserve">FIN LC </t>
  </si>
  <si>
    <t xml:space="preserve">FIN LB </t>
  </si>
  <si>
    <t>FIN MOY LC-LB</t>
  </si>
  <si>
    <t xml:space="preserve">FIN PL- </t>
  </si>
  <si>
    <t xml:space="preserve">FIN 6a15 </t>
  </si>
  <si>
    <t xml:space="preserve">FIN DIVERS </t>
  </si>
  <si>
    <t xml:space="preserve">FIN SOUDURE </t>
  </si>
  <si>
    <t>FIN PRODUCTION</t>
  </si>
  <si>
    <t>MONTAGE</t>
  </si>
  <si>
    <t>HRE</t>
  </si>
  <si>
    <t>MONTAGE-HRE</t>
  </si>
  <si>
    <t>NON</t>
  </si>
  <si>
    <t>FIN MONTAGE</t>
  </si>
  <si>
    <t>Soudeur 1</t>
  </si>
  <si>
    <t>Pierre Hamel</t>
  </si>
  <si>
    <t>Jour</t>
  </si>
  <si>
    <t>Soudeur 2</t>
  </si>
  <si>
    <t>Yanick Dufresne</t>
  </si>
  <si>
    <t>Soudeur 3</t>
  </si>
  <si>
    <t>Marco Ayotte</t>
  </si>
  <si>
    <t>Soudeur 4</t>
  </si>
  <si>
    <t>Francis Desharnais</t>
  </si>
  <si>
    <t>Soudeur 5</t>
  </si>
  <si>
    <t>Soir</t>
  </si>
  <si>
    <t>Soudeur 6</t>
  </si>
  <si>
    <t>Serge Villemure</t>
  </si>
  <si>
    <t>Soudeur 7</t>
  </si>
  <si>
    <t xml:space="preserve">John Fredy </t>
  </si>
  <si>
    <t>weekly</t>
  </si>
  <si>
    <t>monthly</t>
  </si>
  <si>
    <t>CAP/SEM</t>
  </si>
  <si>
    <t>&gt;&lt;&lt;</t>
  </si>
  <si>
    <t/>
  </si>
  <si>
    <t>DÉBUT MONTAGE</t>
  </si>
  <si>
    <t>Nbre d'Homme / Poste</t>
  </si>
  <si>
    <t>Nombre d'heure</t>
  </si>
  <si>
    <t>FIN 0851 (WF + C)</t>
  </si>
  <si>
    <t>FIN EMB. / LIV.</t>
  </si>
  <si>
    <t xml:space="preserve">FORECAST DÉTAILLÉ
DATE DE FIN DES PROJETS PAR POSTE
PRODUCTION FABRIMET
</t>
  </si>
  <si>
    <t>PRIO</t>
  </si>
  <si>
    <t>HEURE</t>
  </si>
  <si>
    <t>Marque</t>
  </si>
  <si>
    <t>KG</t>
  </si>
  <si>
    <t>ONCOR</t>
  </si>
  <si>
    <t>Délais LIV.</t>
  </si>
  <si>
    <t>TEMPS</t>
  </si>
  <si>
    <t>FAB-LIV</t>
  </si>
  <si>
    <t>MORT</t>
  </si>
  <si>
    <t>$C$2@$C$80 pour les dates de congé</t>
  </si>
  <si>
    <t>FIN PL+</t>
  </si>
  <si>
    <t>LIVRAISON</t>
  </si>
  <si>
    <t>797-00</t>
  </si>
  <si>
    <t>TOT. MARQUE</t>
  </si>
  <si>
    <t>TOT. KG</t>
  </si>
  <si>
    <t>PRODUCTION ANNUALISÉ</t>
  </si>
  <si>
    <t>NBRE SEMAINE / AN</t>
  </si>
  <si>
    <r>
      <t xml:space="preserve">FORECAST DÉTAILLÉ
DATE DE FIN DES PROJETS PAR POSTE
PRODUCTION FABRIMET
</t>
    </r>
    <r>
      <rPr>
        <b/>
        <sz val="14"/>
        <color rgb="FFFF0000"/>
        <rFont val="Calibri"/>
        <family val="2"/>
        <scheme val="minor"/>
      </rPr>
      <t>CAPACITÉ MAXIMAL</t>
    </r>
  </si>
  <si>
    <t>Annualy</t>
  </si>
  <si>
    <t>Rabia</t>
  </si>
  <si>
    <t>830-00</t>
  </si>
  <si>
    <t>830-03</t>
  </si>
  <si>
    <t>797-04</t>
  </si>
  <si>
    <t>975-00</t>
  </si>
  <si>
    <t>797-FAB</t>
  </si>
  <si>
    <t>979-00</t>
  </si>
  <si>
    <t>797-05</t>
  </si>
  <si>
    <t>987-2025</t>
  </si>
  <si>
    <t>830-02-M</t>
  </si>
  <si>
    <t>975-01-M</t>
  </si>
  <si>
    <t>898-01-M</t>
  </si>
  <si>
    <t>898-03-M</t>
  </si>
  <si>
    <t>898-04-M</t>
  </si>
  <si>
    <t>987-2026</t>
  </si>
  <si>
    <t>797-02-M ZERTECH</t>
  </si>
  <si>
    <t>830-01-M ZERTECH</t>
  </si>
  <si>
    <t>FERM. SOUMISSION</t>
  </si>
  <si>
    <t>RECEPT. COMMANDE</t>
  </si>
  <si>
    <t>DELAI BT</t>
  </si>
  <si>
    <t>DELAI ACHATS</t>
  </si>
  <si>
    <t>DELAI RECEPT MP</t>
  </si>
  <si>
    <t>DATE OPTIMAL</t>
  </si>
  <si>
    <t>MISE EN PROD</t>
  </si>
  <si>
    <t>DEBUT PROD</t>
  </si>
  <si>
    <t>STATUT JOB</t>
  </si>
  <si>
    <t>PLANIE JOB</t>
  </si>
  <si>
    <t>Date</t>
  </si>
  <si>
    <t>Mise en prod</t>
  </si>
  <si>
    <t>Produit A</t>
  </si>
  <si>
    <t>Produit B</t>
  </si>
  <si>
    <t>Produit C</t>
  </si>
  <si>
    <t>Produit D</t>
  </si>
  <si>
    <t>Produit E</t>
  </si>
  <si>
    <t>Produit F</t>
  </si>
  <si>
    <t>Produit G</t>
  </si>
  <si>
    <t>Produit H</t>
  </si>
  <si>
    <t>Produit I</t>
  </si>
  <si>
    <t>Produit J</t>
  </si>
  <si>
    <t>Produit K</t>
  </si>
  <si>
    <t>Produit L</t>
  </si>
  <si>
    <t>Travail 1</t>
  </si>
  <si>
    <t>Traail 2</t>
  </si>
  <si>
    <t>Traail 3</t>
  </si>
  <si>
    <t>Traail 4</t>
  </si>
  <si>
    <t>Traail 5</t>
  </si>
  <si>
    <t>Traail 6</t>
  </si>
  <si>
    <t>Traail 7</t>
  </si>
  <si>
    <t>Traail 8</t>
  </si>
  <si>
    <t>Traail 9</t>
  </si>
  <si>
    <t>Traail 10</t>
  </si>
  <si>
    <t>Traail 11</t>
  </si>
  <si>
    <t>Traail 12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</si>
  <si>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</si>
  <si>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</si>
  <si>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</si>
  <si>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</si>
  <si>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</si>
  <si>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</si>
  <si>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</si>
  <si>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</si>
  <si>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</si>
  <si>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</si>
  <si>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</si>
  <si>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</si>
  <si>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clé</t>
  </si>
  <si>
    <t>ligne</t>
  </si>
  <si>
    <t>prio corrigée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</si>
</sst>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_ * #,##0.00_)_ ;_ * \(#,##0.00\)_ ;_ * &quot;-&quot;??_)_ ;_ @_ "/>
    <numFmt numFmtId="165" formatCode="_ * #,##0_)\ _$_ ;_ * \(#,##0\)\ _$_ ;_ * &quot;-&quot;_)\ _$_ ;_ @_ "/>
    <numFmt numFmtId="166" formatCode="yyyy\-mm\-dd;@"/>
    <numFmt numFmtId="167" formatCode="_ * #,##0_)_ ;_ * \(#,##0\)_ ;_ * &quot;-&quot;??_)_ ;_ @_ "/>
    <numFmt numFmtId="168" formatCode="_ * #,##0.0_)\ _$_ ;_ * \(#,##0.0\)\ _$_ ;_ * &quot;-&quot;?_)\ _$_ ;_ @_ "/>
    <numFmt numFmtId="169" formatCode="yyyy\-mm\-dd"/>
  </numFmts>
  <fonts count="3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1"/>
      <name val="Bookman Old Style"/>
      <family val="1"/>
    </font>
    <font>
      <b/>
      <sz val="18"/>
      <name val="Bookman Old Style"/>
      <family val="1"/>
    </font>
    <font>
      <b/>
      <sz val="10"/>
      <name val="Bookman Old Style"/>
      <family val="1"/>
    </font>
    <font>
      <sz val="11"/>
      <color rgb="FFFF0000"/>
      <name val="Bookman Old Style"/>
      <family val="1"/>
    </font>
    <font>
      <i/>
      <sz val="11"/>
      <color rgb="FFFF0000"/>
      <name val="Bookman Old Style"/>
      <family val="1"/>
    </font>
    <font>
      <sz val="11"/>
      <name val="Bookman Old Style"/>
      <family val="1"/>
    </font>
    <font>
      <sz val="11"/>
      <color rgb="FFFF0000"/>
      <name val="Calibri"/>
      <family val="2"/>
    </font>
    <font>
      <sz val="11"/>
      <color rgb="FF171717"/>
      <name val="Arial"/>
      <family val="2"/>
    </font>
    <font>
      <sz val="11"/>
      <color rgb="FFFF0000"/>
      <name val="Calibri"/>
      <family val="2"/>
      <scheme val="minor"/>
    </font>
    <font>
      <sz val="11"/>
      <color rgb="FFFF0000"/>
      <name val="Arial"/>
      <family val="2"/>
    </font>
    <font>
      <sz val="8"/>
      <name val="Bookman Old Style"/>
      <family val="1"/>
    </font>
    <font>
      <sz val="9"/>
      <name val="Bookman Old Style"/>
      <family val="1"/>
    </font>
    <font>
      <sz val="10"/>
      <name val="Bookman Old Style"/>
      <family val="1"/>
    </font>
    <font>
      <b/>
      <u/>
      <sz val="11"/>
      <color theme="0"/>
      <name val="Bookman Old Style"/>
      <family val="1"/>
    </font>
    <font>
      <b/>
      <u/>
      <sz val="11"/>
      <color theme="1"/>
      <name val="Bookman Old Style"/>
      <family val="1"/>
    </font>
    <font>
      <i/>
      <sz val="11"/>
      <name val="Bookman Old Style"/>
      <family val="1"/>
    </font>
    <font>
      <sz val="11"/>
      <color rgb="FF7030A0"/>
      <name val="Bookman Old Style"/>
      <family val="1"/>
    </font>
    <font>
      <i/>
      <sz val="11"/>
      <color theme="0"/>
      <name val="Bookman Old Style"/>
      <family val="1"/>
    </font>
    <font>
      <sz val="20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Bookman Old Style"/>
      <family val="1"/>
    </font>
    <font>
      <b/>
      <sz val="11"/>
      <color rgb="FF7030A0"/>
      <name val="Bookman Old Style"/>
      <family val="1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6337778862885"/>
        <bgColor indexed="64"/>
      </patternFill>
    </fill>
    <fill>
      <gradientFill degree="45">
        <stop position="0">
          <color theme="0"/>
        </stop>
        <stop position="1">
          <color theme="8" tint="0.59999389629810485"/>
        </stop>
      </gradient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44">
    <border>
      <left/>
      <right/>
      <top/>
      <bottom/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medium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medium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medium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medium">
        <color theme="0" tint="-0.499984740745262"/>
      </left>
      <right/>
      <top style="dashed">
        <color theme="0" tint="-0.499984740745262"/>
      </top>
      <bottom style="dashed">
        <color theme="0" tint="-0.499984740745262"/>
      </bottom>
      <diagonal/>
    </border>
    <border>
      <left style="medium">
        <color theme="0" tint="-0.499984740745262"/>
      </left>
      <right style="dashed">
        <color theme="0" tint="-0.499984740745262"/>
      </right>
      <top/>
      <bottom style="dashed">
        <color theme="0" tint="-0.499984740745262"/>
      </bottom>
      <diagonal/>
    </border>
    <border>
      <left style="medium">
        <color theme="0" tint="-0.499984740745262"/>
      </left>
      <right style="dashed">
        <color theme="0" tint="-0.499984740745262"/>
      </right>
      <top style="dashed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/>
      <diagonal/>
    </border>
    <border>
      <left style="dashed">
        <color theme="0" tint="-0.499984740745262"/>
      </left>
      <right style="medium">
        <color theme="0" tint="-0.499984740745262"/>
      </right>
      <top style="dashed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 style="dashed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 style="dashed">
        <color theme="0" tint="-0.499984740745262"/>
      </bottom>
      <diagonal/>
    </border>
    <border>
      <left style="medium">
        <color theme="0" tint="-0.499984740745262"/>
      </left>
      <right style="dashed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 style="medium">
        <color theme="0" tint="-0.499984740745262"/>
      </top>
      <bottom/>
      <diagonal/>
    </border>
    <border>
      <left style="dashed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dashed">
        <color theme="0" tint="-0.499984740745262"/>
      </right>
      <top style="medium">
        <color theme="0" tint="-0.499984740745262"/>
      </top>
      <bottom/>
      <diagonal/>
    </border>
    <border>
      <left/>
      <right/>
      <top style="dashed">
        <color theme="0" tint="-0.499984740745262"/>
      </top>
      <bottom style="dashed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/>
      <bottom style="dashed">
        <color theme="0" tint="-0.499984740745262"/>
      </bottom>
      <diagonal/>
    </border>
    <border>
      <left style="medium">
        <color theme="0" tint="-0.499984740745262"/>
      </left>
      <right style="dashed">
        <color theme="0" tint="-0.499984740745262"/>
      </right>
      <top/>
      <bottom/>
      <diagonal/>
    </border>
    <border>
      <left style="dashed">
        <color theme="0" tint="-0.499984740745262"/>
      </left>
      <right/>
      <top style="dashed">
        <color theme="0" tint="-0.499984740745262"/>
      </top>
      <bottom style="dashed">
        <color theme="0" tint="-0.499984740745262"/>
      </bottom>
      <diagonal/>
    </border>
    <border>
      <left/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/>
      <bottom style="dashed">
        <color theme="0" tint="-0.499984740745262"/>
      </bottom>
      <diagonal/>
    </border>
    <border>
      <left style="dashed">
        <color theme="0" tint="-0.499984740745262"/>
      </left>
      <right style="medium">
        <color theme="0" tint="-0.499984740745262"/>
      </right>
      <top/>
      <bottom style="dashed">
        <color theme="0" tint="-0.499984740745262"/>
      </bottom>
      <diagonal/>
    </border>
    <border>
      <left style="thick">
        <color theme="0" tint="-0.499984740745262"/>
      </left>
      <right/>
      <top style="thick">
        <color theme="0" tint="-0.499984740745262"/>
      </top>
      <bottom/>
      <diagonal/>
    </border>
    <border>
      <left/>
      <right/>
      <top style="thick">
        <color theme="0" tint="-0.499984740745262"/>
      </top>
      <bottom/>
      <diagonal/>
    </border>
    <border>
      <left/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/>
      <top/>
      <bottom/>
      <diagonal/>
    </border>
    <border>
      <left/>
      <right style="thick">
        <color theme="0" tint="-0.499984740745262"/>
      </right>
      <top/>
      <bottom/>
      <diagonal/>
    </border>
    <border>
      <left style="thick">
        <color theme="0" tint="-0.499984740745262"/>
      </left>
      <right/>
      <top/>
      <bottom style="thick">
        <color theme="0" tint="-0.499984740745262"/>
      </bottom>
      <diagonal/>
    </border>
    <border>
      <left/>
      <right/>
      <top/>
      <bottom style="thick">
        <color theme="0" tint="-0.499984740745262"/>
      </bottom>
      <diagonal/>
    </border>
    <border>
      <left/>
      <right style="thick">
        <color theme="0" tint="-0.499984740745262"/>
      </right>
      <top/>
      <bottom style="thick">
        <color theme="0" tint="-0.499984740745262"/>
      </bottom>
      <diagonal/>
    </border>
  </borders>
  <cellStyleXfs count="2">
    <xf numFmtId="0" fontId="0" fillId="0" borderId="0"/>
    <xf numFmtId="164" fontId="27" fillId="0" borderId="0" applyFont="0" applyFill="0" applyBorder="0" applyAlignment="0" applyProtection="0"/>
  </cellStyleXfs>
  <cellXfs count="205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/>
    <xf numFmtId="0" fontId="0" fillId="0" borderId="0" xfId="0" pivotButton="1" applyAlignment="1">
      <alignment horizontal="center"/>
    </xf>
    <xf numFmtId="0" fontId="6" fillId="3" borderId="0" xfId="0" applyFont="1" applyFill="1" applyAlignment="1">
      <alignment horizont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166" fontId="6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6" fontId="0" fillId="0" borderId="0" xfId="0" applyNumberFormat="1" applyAlignment="1">
      <alignment horizontal="center"/>
    </xf>
    <xf numFmtId="0" fontId="6" fillId="3" borderId="0" xfId="0" applyFont="1" applyFill="1" applyAlignment="1">
      <alignment vertical="center"/>
    </xf>
    <xf numFmtId="16" fontId="6" fillId="0" borderId="0" xfId="0" applyNumberFormat="1" applyFont="1"/>
    <xf numFmtId="166" fontId="6" fillId="0" borderId="0" xfId="0" applyNumberFormat="1" applyFont="1"/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165" fontId="12" fillId="3" borderId="9" xfId="0" applyNumberFormat="1" applyFont="1" applyFill="1" applyBorder="1" applyAlignment="1">
      <alignment horizontal="center" vertical="center"/>
    </xf>
    <xf numFmtId="165" fontId="12" fillId="3" borderId="1" xfId="0" applyNumberFormat="1" applyFont="1" applyFill="1" applyBorder="1" applyAlignment="1">
      <alignment horizontal="center" vertical="center"/>
    </xf>
    <xf numFmtId="165" fontId="12" fillId="3" borderId="10" xfId="0" applyNumberFormat="1" applyFont="1" applyFill="1" applyBorder="1" applyAlignment="1">
      <alignment horizontal="center" vertical="center"/>
    </xf>
    <xf numFmtId="0" fontId="15" fillId="0" borderId="0" xfId="0" applyFont="1"/>
    <xf numFmtId="0" fontId="10" fillId="11" borderId="0" xfId="0" applyFont="1" applyFill="1" applyAlignment="1">
      <alignment horizontal="center" vertical="center"/>
    </xf>
    <xf numFmtId="166" fontId="12" fillId="0" borderId="0" xfId="0" applyNumberFormat="1" applyFont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166" fontId="12" fillId="4" borderId="17" xfId="0" applyNumberFormat="1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/>
    </xf>
    <xf numFmtId="0" fontId="10" fillId="11" borderId="18" xfId="0" applyFont="1" applyFill="1" applyBorder="1" applyAlignment="1">
      <alignment horizontal="center" vertical="center"/>
    </xf>
    <xf numFmtId="166" fontId="10" fillId="11" borderId="0" xfId="0" applyNumberFormat="1" applyFont="1" applyFill="1" applyAlignment="1">
      <alignment horizontal="center" vertical="center"/>
    </xf>
    <xf numFmtId="165" fontId="10" fillId="11" borderId="0" xfId="0" applyNumberFormat="1" applyFont="1" applyFill="1" applyAlignment="1">
      <alignment horizontal="center" vertical="center"/>
    </xf>
    <xf numFmtId="0" fontId="18" fillId="4" borderId="9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horizontal="center" vertical="center"/>
    </xf>
    <xf numFmtId="165" fontId="12" fillId="4" borderId="9" xfId="0" applyNumberFormat="1" applyFont="1" applyFill="1" applyBorder="1" applyAlignment="1">
      <alignment horizontal="center" vertical="center"/>
    </xf>
    <xf numFmtId="165" fontId="12" fillId="4" borderId="1" xfId="0" applyNumberFormat="1" applyFont="1" applyFill="1" applyBorder="1" applyAlignment="1">
      <alignment horizontal="center" vertical="center"/>
    </xf>
    <xf numFmtId="165" fontId="12" fillId="4" borderId="10" xfId="0" applyNumberFormat="1" applyFont="1" applyFill="1" applyBorder="1" applyAlignment="1">
      <alignment horizontal="center" vertical="center"/>
    </xf>
    <xf numFmtId="165" fontId="12" fillId="4" borderId="12" xfId="0" applyNumberFormat="1" applyFont="1" applyFill="1" applyBorder="1" applyAlignment="1">
      <alignment horizontal="center" vertical="center"/>
    </xf>
    <xf numFmtId="14" fontId="6" fillId="0" borderId="0" xfId="0" applyNumberFormat="1" applyFont="1"/>
    <xf numFmtId="0" fontId="10" fillId="11" borderId="24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66" fontId="12" fillId="3" borderId="1" xfId="0" applyNumberFormat="1" applyFont="1" applyFill="1" applyBorder="1" applyAlignment="1">
      <alignment horizontal="center" vertical="center"/>
    </xf>
    <xf numFmtId="0" fontId="20" fillId="9" borderId="0" xfId="0" applyFont="1" applyFill="1"/>
    <xf numFmtId="0" fontId="6" fillId="9" borderId="0" xfId="0" applyFont="1" applyFill="1"/>
    <xf numFmtId="0" fontId="21" fillId="6" borderId="0" xfId="0" applyFont="1" applyFill="1"/>
    <xf numFmtId="0" fontId="6" fillId="6" borderId="0" xfId="0" applyFont="1" applyFill="1"/>
    <xf numFmtId="0" fontId="21" fillId="3" borderId="0" xfId="0" applyFont="1" applyFill="1"/>
    <xf numFmtId="0" fontId="21" fillId="7" borderId="0" xfId="0" applyFont="1" applyFill="1"/>
    <xf numFmtId="0" fontId="6" fillId="7" borderId="0" xfId="0" applyFont="1" applyFill="1"/>
    <xf numFmtId="0" fontId="11" fillId="0" borderId="0" xfId="0" applyFont="1"/>
    <xf numFmtId="0" fontId="21" fillId="12" borderId="0" xfId="0" applyFont="1" applyFill="1"/>
    <xf numFmtId="0" fontId="6" fillId="12" borderId="0" xfId="0" applyFont="1" applyFill="1"/>
    <xf numFmtId="0" fontId="21" fillId="2" borderId="0" xfId="0" applyFont="1" applyFill="1"/>
    <xf numFmtId="0" fontId="21" fillId="8" borderId="0" xfId="0" applyFont="1" applyFill="1"/>
    <xf numFmtId="0" fontId="6" fillId="8" borderId="0" xfId="0" applyFont="1" applyFill="1"/>
    <xf numFmtId="0" fontId="21" fillId="10" borderId="0" xfId="0" applyFont="1" applyFill="1"/>
    <xf numFmtId="0" fontId="21" fillId="7" borderId="0" xfId="0" applyFont="1" applyFill="1" applyAlignment="1">
      <alignment horizontal="left"/>
    </xf>
    <xf numFmtId="0" fontId="22" fillId="4" borderId="17" xfId="0" applyFont="1" applyFill="1" applyBorder="1" applyAlignment="1">
      <alignment horizontal="center" vertical="center"/>
    </xf>
    <xf numFmtId="0" fontId="10" fillId="11" borderId="25" xfId="0" applyFont="1" applyFill="1" applyBorder="1" applyAlignment="1">
      <alignment horizontal="center" vertical="center"/>
    </xf>
    <xf numFmtId="0" fontId="10" fillId="11" borderId="26" xfId="0" applyFont="1" applyFill="1" applyBorder="1" applyAlignment="1">
      <alignment horizontal="center" vertical="center"/>
    </xf>
    <xf numFmtId="0" fontId="10" fillId="11" borderId="27" xfId="0" applyFont="1" applyFill="1" applyBorder="1" applyAlignment="1">
      <alignment horizontal="center" vertical="center"/>
    </xf>
    <xf numFmtId="166" fontId="12" fillId="3" borderId="9" xfId="0" applyNumberFormat="1" applyFont="1" applyFill="1" applyBorder="1" applyAlignment="1">
      <alignment horizontal="center" vertical="center"/>
    </xf>
    <xf numFmtId="166" fontId="12" fillId="3" borderId="10" xfId="0" applyNumberFormat="1" applyFont="1" applyFill="1" applyBorder="1" applyAlignment="1">
      <alignment horizontal="center" vertical="center"/>
    </xf>
    <xf numFmtId="166" fontId="12" fillId="4" borderId="9" xfId="0" applyNumberFormat="1" applyFont="1" applyFill="1" applyBorder="1" applyAlignment="1">
      <alignment horizontal="center" vertical="center"/>
    </xf>
    <xf numFmtId="166" fontId="12" fillId="4" borderId="1" xfId="0" applyNumberFormat="1" applyFont="1" applyFill="1" applyBorder="1" applyAlignment="1">
      <alignment horizontal="center" vertical="center"/>
    </xf>
    <xf numFmtId="3" fontId="0" fillId="0" borderId="0" xfId="0" applyNumberFormat="1"/>
    <xf numFmtId="0" fontId="12" fillId="7" borderId="9" xfId="0" applyFont="1" applyFill="1" applyBorder="1" applyAlignment="1">
      <alignment horizontal="center" vertical="center"/>
    </xf>
    <xf numFmtId="3" fontId="12" fillId="7" borderId="0" xfId="0" applyNumberFormat="1" applyFont="1" applyFill="1" applyAlignment="1">
      <alignment horizontal="center" vertical="center"/>
    </xf>
    <xf numFmtId="166" fontId="12" fillId="7" borderId="9" xfId="0" applyNumberFormat="1" applyFont="1" applyFill="1" applyBorder="1" applyAlignment="1">
      <alignment horizontal="center" vertical="center"/>
    </xf>
    <xf numFmtId="3" fontId="0" fillId="7" borderId="0" xfId="0" applyNumberFormat="1" applyFill="1"/>
    <xf numFmtId="3" fontId="10" fillId="11" borderId="0" xfId="0" applyNumberFormat="1" applyFont="1" applyFill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10" fillId="11" borderId="8" xfId="0" applyFont="1" applyFill="1" applyBorder="1" applyAlignment="1">
      <alignment horizontal="center" vertical="center"/>
    </xf>
    <xf numFmtId="0" fontId="17" fillId="4" borderId="9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166" fontId="6" fillId="3" borderId="0" xfId="0" applyNumberFormat="1" applyFont="1" applyFill="1"/>
    <xf numFmtId="166" fontId="12" fillId="7" borderId="0" xfId="0" applyNumberFormat="1" applyFont="1" applyFill="1" applyAlignment="1">
      <alignment horizontal="center" vertical="center"/>
    </xf>
    <xf numFmtId="166" fontId="10" fillId="11" borderId="27" xfId="0" applyNumberFormat="1" applyFont="1" applyFill="1" applyBorder="1" applyAlignment="1">
      <alignment horizontal="center" vertical="center"/>
    </xf>
    <xf numFmtId="166" fontId="0" fillId="7" borderId="0" xfId="0" applyNumberFormat="1" applyFill="1"/>
    <xf numFmtId="0" fontId="6" fillId="5" borderId="0" xfId="0" applyFont="1" applyFill="1" applyAlignment="1" applyProtection="1">
      <alignment vertical="center"/>
      <protection locked="0"/>
    </xf>
    <xf numFmtId="166" fontId="6" fillId="5" borderId="0" xfId="0" applyNumberFormat="1" applyFont="1" applyFill="1" applyProtection="1">
      <protection locked="0"/>
    </xf>
    <xf numFmtId="0" fontId="6" fillId="5" borderId="0" xfId="0" applyFont="1" applyFill="1" applyAlignment="1" applyProtection="1">
      <alignment horizontal="center"/>
      <protection locked="0"/>
    </xf>
    <xf numFmtId="0" fontId="23" fillId="0" borderId="0" xfId="0" applyFont="1" applyAlignment="1">
      <alignment horizontal="center" vertical="center"/>
    </xf>
    <xf numFmtId="0" fontId="24" fillId="9" borderId="19" xfId="0" applyFont="1" applyFill="1" applyBorder="1" applyAlignment="1">
      <alignment horizontal="center" vertical="center"/>
    </xf>
    <xf numFmtId="0" fontId="6" fillId="2" borderId="8" xfId="0" applyFont="1" applyFill="1" applyBorder="1" applyAlignment="1" applyProtection="1">
      <alignment horizontal="center" vertical="center" wrapText="1"/>
      <protection locked="0"/>
    </xf>
    <xf numFmtId="166" fontId="6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8" xfId="0" applyFont="1" applyFill="1" applyBorder="1" applyAlignment="1" applyProtection="1">
      <alignment horizontal="center" vertical="center"/>
      <protection locked="0"/>
    </xf>
    <xf numFmtId="165" fontId="6" fillId="2" borderId="9" xfId="0" applyNumberFormat="1" applyFont="1" applyFill="1" applyBorder="1" applyAlignment="1" applyProtection="1">
      <alignment horizontal="center" vertical="center"/>
      <protection locked="0"/>
    </xf>
    <xf numFmtId="165" fontId="6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2" borderId="8" xfId="0" applyFont="1" applyFill="1" applyBorder="1" applyAlignment="1" applyProtection="1">
      <alignment horizontal="center" vertical="center"/>
      <protection locked="0"/>
    </xf>
    <xf numFmtId="0" fontId="6" fillId="2" borderId="16" xfId="0" applyFont="1" applyFill="1" applyBorder="1" applyAlignment="1" applyProtection="1">
      <alignment horizontal="center" vertical="center"/>
      <protection locked="0"/>
    </xf>
    <xf numFmtId="0" fontId="6" fillId="2" borderId="16" xfId="0" applyFont="1" applyFill="1" applyBorder="1" applyAlignment="1" applyProtection="1">
      <alignment horizontal="center" vertical="center" wrapText="1"/>
      <protection locked="0"/>
    </xf>
    <xf numFmtId="166" fontId="6" fillId="2" borderId="16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16" xfId="0" applyFont="1" applyFill="1" applyBorder="1" applyAlignment="1" applyProtection="1">
      <alignment horizontal="center" vertical="center"/>
      <protection locked="0"/>
    </xf>
    <xf numFmtId="165" fontId="6" fillId="2" borderId="13" xfId="0" applyNumberFormat="1" applyFont="1" applyFill="1" applyBorder="1" applyAlignment="1" applyProtection="1">
      <alignment horizontal="center" vertical="center"/>
      <protection locked="0"/>
    </xf>
    <xf numFmtId="165" fontId="6" fillId="2" borderId="15" xfId="0" applyNumberFormat="1" applyFont="1" applyFill="1" applyBorder="1" applyAlignment="1" applyProtection="1">
      <alignment horizontal="center" vertical="center"/>
      <protection locked="0"/>
    </xf>
    <xf numFmtId="0" fontId="6" fillId="2" borderId="6" xfId="0" applyFont="1" applyFill="1" applyBorder="1" applyProtection="1">
      <protection locked="0"/>
    </xf>
    <xf numFmtId="0" fontId="0" fillId="2" borderId="7" xfId="0" applyFill="1" applyBorder="1" applyAlignment="1" applyProtection="1">
      <alignment horizontal="center"/>
      <protection locked="0"/>
    </xf>
    <xf numFmtId="166" fontId="14" fillId="2" borderId="7" xfId="0" applyNumberFormat="1" applyFont="1" applyFill="1" applyBorder="1" applyAlignment="1" applyProtection="1">
      <alignment horizontal="center"/>
      <protection locked="0"/>
    </xf>
    <xf numFmtId="166" fontId="16" fillId="2" borderId="7" xfId="0" applyNumberFormat="1" applyFont="1" applyFill="1" applyBorder="1" applyAlignment="1" applyProtection="1">
      <alignment horizontal="center"/>
      <protection locked="0"/>
    </xf>
    <xf numFmtId="0" fontId="0" fillId="2" borderId="6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18" fillId="4" borderId="28" xfId="0" applyFont="1" applyFill="1" applyBorder="1" applyAlignment="1">
      <alignment horizontal="center" vertical="center"/>
    </xf>
    <xf numFmtId="165" fontId="12" fillId="4" borderId="28" xfId="0" applyNumberFormat="1" applyFont="1" applyFill="1" applyBorder="1" applyAlignment="1">
      <alignment horizontal="center" vertical="center"/>
    </xf>
    <xf numFmtId="0" fontId="18" fillId="3" borderId="28" xfId="0" applyFont="1" applyFill="1" applyBorder="1" applyAlignment="1">
      <alignment horizontal="center" vertical="center"/>
    </xf>
    <xf numFmtId="165" fontId="12" fillId="3" borderId="28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66" fontId="0" fillId="13" borderId="0" xfId="0" applyNumberFormat="1" applyFill="1" applyAlignment="1">
      <alignment horizontal="center"/>
    </xf>
    <xf numFmtId="166" fontId="0" fillId="4" borderId="0" xfId="0" applyNumberFormat="1" applyFill="1" applyAlignment="1">
      <alignment horizontal="center"/>
    </xf>
    <xf numFmtId="0" fontId="19" fillId="4" borderId="29" xfId="0" applyFont="1" applyFill="1" applyBorder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165" fontId="6" fillId="2" borderId="30" xfId="0" applyNumberFormat="1" applyFont="1" applyFill="1" applyBorder="1" applyAlignment="1" applyProtection="1">
      <alignment horizontal="center" vertical="center"/>
      <protection locked="0"/>
    </xf>
    <xf numFmtId="165" fontId="6" fillId="2" borderId="0" xfId="0" applyNumberFormat="1" applyFont="1" applyFill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/>
    </xf>
    <xf numFmtId="0" fontId="18" fillId="8" borderId="28" xfId="0" applyFont="1" applyFill="1" applyBorder="1" applyAlignment="1">
      <alignment horizontal="center" vertical="center"/>
    </xf>
    <xf numFmtId="0" fontId="10" fillId="8" borderId="27" xfId="0" applyFont="1" applyFill="1" applyBorder="1" applyAlignment="1">
      <alignment horizontal="center" vertical="center"/>
    </xf>
    <xf numFmtId="165" fontId="12" fillId="8" borderId="10" xfId="0" applyNumberFormat="1" applyFont="1" applyFill="1" applyBorder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18" fillId="8" borderId="10" xfId="0" applyFont="1" applyFill="1" applyBorder="1" applyAlignment="1">
      <alignment horizontal="center" vertical="center"/>
    </xf>
    <xf numFmtId="0" fontId="10" fillId="8" borderId="31" xfId="0" applyFont="1" applyFill="1" applyBorder="1" applyAlignment="1">
      <alignment horizontal="center" vertical="center"/>
    </xf>
    <xf numFmtId="0" fontId="17" fillId="8" borderId="28" xfId="0" applyFont="1" applyFill="1" applyBorder="1" applyAlignment="1">
      <alignment horizontal="center" vertical="center"/>
    </xf>
    <xf numFmtId="0" fontId="17" fillId="8" borderId="10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166" fontId="12" fillId="8" borderId="10" xfId="0" applyNumberFormat="1" applyFont="1" applyFill="1" applyBorder="1" applyAlignment="1">
      <alignment horizontal="center" vertical="center"/>
    </xf>
    <xf numFmtId="166" fontId="6" fillId="8" borderId="0" xfId="0" applyNumberFormat="1" applyFont="1" applyFill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0" fillId="8" borderId="25" xfId="0" applyFont="1" applyFill="1" applyBorder="1" applyAlignment="1">
      <alignment horizontal="center" vertical="center"/>
    </xf>
    <xf numFmtId="167" fontId="6" fillId="0" borderId="0" xfId="0" applyNumberFormat="1" applyFont="1"/>
    <xf numFmtId="168" fontId="6" fillId="0" borderId="0" xfId="0" applyNumberFormat="1" applyFont="1"/>
    <xf numFmtId="167" fontId="6" fillId="3" borderId="0" xfId="1" applyNumberFormat="1" applyFont="1" applyFill="1" applyAlignment="1">
      <alignment horizontal="center"/>
    </xf>
    <xf numFmtId="166" fontId="4" fillId="2" borderId="7" xfId="0" applyNumberFormat="1" applyFont="1" applyFill="1" applyBorder="1" applyAlignment="1" applyProtection="1">
      <alignment horizontal="center"/>
      <protection locked="0"/>
    </xf>
    <xf numFmtId="0" fontId="0" fillId="6" borderId="0" xfId="0" applyFill="1"/>
    <xf numFmtId="0" fontId="26" fillId="0" borderId="0" xfId="0" applyFont="1"/>
    <xf numFmtId="0" fontId="5" fillId="0" borderId="0" xfId="0" applyFont="1" applyAlignment="1">
      <alignment horizontal="center"/>
    </xf>
    <xf numFmtId="0" fontId="10" fillId="8" borderId="23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0" fontId="15" fillId="0" borderId="0" xfId="0" applyFont="1" applyAlignment="1">
      <alignment horizontal="center"/>
    </xf>
    <xf numFmtId="3" fontId="15" fillId="0" borderId="0" xfId="0" applyNumberFormat="1" applyFont="1" applyAlignment="1">
      <alignment horizontal="center"/>
    </xf>
    <xf numFmtId="0" fontId="10" fillId="0" borderId="0" xfId="0" applyFont="1" applyAlignment="1">
      <alignment vertical="center"/>
    </xf>
    <xf numFmtId="0" fontId="0" fillId="8" borderId="2" xfId="0" applyFill="1" applyBorder="1"/>
    <xf numFmtId="0" fontId="5" fillId="15" borderId="0" xfId="0" applyFont="1" applyFill="1" applyAlignment="1">
      <alignment horizontal="center"/>
    </xf>
    <xf numFmtId="0" fontId="5" fillId="0" borderId="0" xfId="0" applyFont="1" applyAlignment="1">
      <alignment horizontal="right"/>
    </xf>
    <xf numFmtId="0" fontId="0" fillId="0" borderId="0" xfId="0" applyAlignment="1">
      <alignment horizontal="left"/>
    </xf>
    <xf numFmtId="167" fontId="28" fillId="8" borderId="0" xfId="1" applyNumberFormat="1" applyFont="1" applyFill="1" applyAlignment="1">
      <alignment horizontal="center"/>
    </xf>
    <xf numFmtId="165" fontId="28" fillId="8" borderId="0" xfId="0" applyNumberFormat="1" applyFont="1" applyFill="1" applyAlignment="1">
      <alignment horizontal="center"/>
    </xf>
    <xf numFmtId="167" fontId="6" fillId="0" borderId="0" xfId="1" applyNumberFormat="1" applyFont="1" applyAlignment="1">
      <alignment horizontal="center"/>
    </xf>
    <xf numFmtId="0" fontId="5" fillId="6" borderId="0" xfId="0" applyFont="1" applyFill="1" applyAlignment="1">
      <alignment horizontal="center"/>
    </xf>
    <xf numFmtId="0" fontId="12" fillId="7" borderId="17" xfId="0" applyFont="1" applyFill="1" applyBorder="1" applyAlignment="1">
      <alignment horizontal="center" vertical="center"/>
    </xf>
    <xf numFmtId="166" fontId="12" fillId="7" borderId="17" xfId="0" applyNumberFormat="1" applyFont="1" applyFill="1" applyBorder="1" applyAlignment="1">
      <alignment horizontal="center" vertical="center"/>
    </xf>
    <xf numFmtId="0" fontId="22" fillId="7" borderId="17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14" fontId="6" fillId="2" borderId="8" xfId="0" applyNumberFormat="1" applyFont="1" applyFill="1" applyBorder="1" applyAlignment="1" applyProtection="1">
      <alignment horizontal="center" vertical="center" wrapText="1"/>
      <protection locked="0"/>
    </xf>
    <xf numFmtId="14" fontId="6" fillId="7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16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5" fillId="0" borderId="0" xfId="0" applyFont="1"/>
    <xf numFmtId="0" fontId="22" fillId="3" borderId="6" xfId="0" applyFont="1" applyFill="1" applyBorder="1" applyAlignment="1">
      <alignment horizontal="center" vertical="center"/>
    </xf>
    <xf numFmtId="165" fontId="12" fillId="4" borderId="33" xfId="0" applyNumberFormat="1" applyFont="1" applyFill="1" applyBorder="1" applyAlignment="1">
      <alignment horizontal="center" vertical="center"/>
    </xf>
    <xf numFmtId="0" fontId="12" fillId="3" borderId="34" xfId="0" applyFont="1" applyFill="1" applyBorder="1" applyAlignment="1">
      <alignment horizontal="center" vertical="center"/>
    </xf>
    <xf numFmtId="0" fontId="12" fillId="3" borderId="35" xfId="0" applyFont="1" applyFill="1" applyBorder="1" applyAlignment="1">
      <alignment horizontal="center" vertical="center"/>
    </xf>
    <xf numFmtId="0" fontId="19" fillId="4" borderId="20" xfId="0" applyFont="1" applyFill="1" applyBorder="1" applyAlignment="1">
      <alignment horizontal="center" vertical="center"/>
    </xf>
    <xf numFmtId="0" fontId="19" fillId="4" borderId="23" xfId="0" applyFont="1" applyFill="1" applyBorder="1" applyAlignment="1">
      <alignment horizontal="center" vertical="center"/>
    </xf>
    <xf numFmtId="0" fontId="25" fillId="14" borderId="21" xfId="0" applyFont="1" applyFill="1" applyBorder="1" applyAlignment="1">
      <alignment horizontal="center" vertical="center"/>
    </xf>
    <xf numFmtId="0" fontId="25" fillId="14" borderId="14" xfId="0" applyFont="1" applyFill="1" applyBorder="1" applyAlignment="1">
      <alignment horizontal="center" vertical="center"/>
    </xf>
    <xf numFmtId="0" fontId="25" fillId="14" borderId="22" xfId="0" applyFont="1" applyFill="1" applyBorder="1" applyAlignment="1">
      <alignment horizontal="center" vertical="center"/>
    </xf>
    <xf numFmtId="0" fontId="5" fillId="14" borderId="6" xfId="0" applyFont="1" applyFill="1" applyBorder="1" applyAlignment="1">
      <alignment horizontal="center" vertical="center" wrapText="1"/>
    </xf>
    <xf numFmtId="0" fontId="5" fillId="14" borderId="0" xfId="0" applyFont="1" applyFill="1" applyAlignment="1">
      <alignment horizontal="center" vertical="center" wrapText="1"/>
    </xf>
    <xf numFmtId="2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10" fillId="3" borderId="32" xfId="0" quotePrefix="1" applyFont="1" applyFill="1" applyBorder="1" applyAlignment="1">
      <alignment horizontal="center" vertical="center"/>
    </xf>
    <xf numFmtId="169" fontId="12" fillId="3" borderId="1" xfId="0" applyNumberFormat="1" applyFont="1" applyFill="1" applyBorder="1" applyAlignment="1">
      <alignment horizontal="center" vertical="center"/>
    </xf>
    <xf numFmtId="169" fontId="10" fillId="11" borderId="25" xfId="0" applyNumberFormat="1" applyFont="1" applyFill="1" applyBorder="1" applyAlignment="1">
      <alignment horizontal="center" vertical="center"/>
    </xf>
    <xf numFmtId="169" fontId="10" fillId="11" borderId="0" xfId="0" applyNumberFormat="1" applyFont="1" applyFill="1" applyAlignment="1">
      <alignment horizontal="center" vertical="center"/>
    </xf>
    <xf numFmtId="169" fontId="12" fillId="0" borderId="0" xfId="0" applyNumberFormat="1" applyFont="1" applyAlignment="1">
      <alignment horizontal="center" vertical="center"/>
    </xf>
    <xf numFmtId="169" fontId="12" fillId="3" borderId="34" xfId="0" applyNumberFormat="1" applyFont="1" applyFill="1" applyBorder="1" applyAlignment="1">
      <alignment horizontal="center" vertical="center"/>
    </xf>
    <xf numFmtId="0" fontId="12" fillId="3" borderId="36" xfId="0" applyFont="1" applyFill="1" applyBorder="1" applyAlignment="1">
      <alignment horizontal="center" vertical="center"/>
    </xf>
    <xf numFmtId="0" fontId="12" fillId="3" borderId="37" xfId="0" applyFont="1" applyFill="1" applyBorder="1" applyAlignment="1">
      <alignment horizontal="center" vertical="center"/>
    </xf>
    <xf numFmtId="169" fontId="12" fillId="3" borderId="37" xfId="0" applyNumberFormat="1" applyFont="1" applyFill="1" applyBorder="1" applyAlignment="1">
      <alignment horizontal="center" vertical="center"/>
    </xf>
    <xf numFmtId="0" fontId="12" fillId="3" borderId="38" xfId="0" applyFont="1" applyFill="1" applyBorder="1" applyAlignment="1">
      <alignment horizontal="center" vertical="center"/>
    </xf>
    <xf numFmtId="0" fontId="12" fillId="3" borderId="39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169" fontId="12" fillId="3" borderId="0" xfId="0" applyNumberFormat="1" applyFont="1" applyFill="1" applyBorder="1" applyAlignment="1">
      <alignment horizontal="center" vertical="center"/>
    </xf>
    <xf numFmtId="0" fontId="12" fillId="3" borderId="40" xfId="0" applyFont="1" applyFill="1" applyBorder="1" applyAlignment="1">
      <alignment horizontal="center" vertical="center"/>
    </xf>
    <xf numFmtId="0" fontId="12" fillId="3" borderId="41" xfId="0" applyFont="1" applyFill="1" applyBorder="1" applyAlignment="1">
      <alignment horizontal="center" vertical="center"/>
    </xf>
    <xf numFmtId="0" fontId="12" fillId="3" borderId="42" xfId="0" applyFont="1" applyFill="1" applyBorder="1" applyAlignment="1">
      <alignment horizontal="center" vertical="center"/>
    </xf>
    <xf numFmtId="169" fontId="12" fillId="3" borderId="42" xfId="0" applyNumberFormat="1" applyFont="1" applyFill="1" applyBorder="1" applyAlignment="1">
      <alignment horizontal="center" vertical="center"/>
    </xf>
    <xf numFmtId="0" fontId="12" fillId="3" borderId="43" xfId="0" applyFont="1" applyFill="1" applyBorder="1" applyAlignment="1">
      <alignment horizontal="center" vertical="center"/>
    </xf>
    <xf numFmtId="0" fontId="10" fillId="8" borderId="24" xfId="0" applyFont="1" applyFill="1" applyBorder="1" applyAlignment="1">
      <alignment horizontal="center" vertical="center"/>
    </xf>
    <xf numFmtId="167" fontId="10" fillId="8" borderId="24" xfId="1" applyNumberFormat="1" applyFont="1" applyFill="1" applyBorder="1" applyAlignment="1">
      <alignment horizontal="center" vertical="center"/>
    </xf>
  </cellXfs>
  <cellStyles count="2">
    <cellStyle name="Komma" xfId="1" builtinId="3"/>
    <cellStyle name="Standaard" xfId="0" builtinId="0"/>
  </cellStyles>
  <dxfs count="176"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fill>
        <patternFill patternType="solid">
          <bgColor theme="8" tint="0.59996337778862885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theme="8" tint="0.5999633777886288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5" formatCode="_ * #,##0_)\ _$_ ;_ * \(#,##0\)\ _$_ ;_ * &quot;-&quot;_)\ _$_ ;_ @_ "/>
    </dxf>
    <dxf>
      <numFmt numFmtId="165" formatCode="_ * #,##0_)\ _$_ ;_ * \(#,##0\)\ _$_ ;_ * &quot;-&quot;_)\ _$_ ;_ @_ "/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fill>
        <patternFill patternType="solid">
          <bgColor theme="8" tint="0.59996337778862885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theme="8" tint="0.5999633777886288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5" formatCode="_ * #,##0_)\ _$_ ;_ * \(#,##0\)\ _$_ ;_ * &quot;-&quot;_)\ _$_ ;_ @_ "/>
    </dxf>
    <dxf>
      <numFmt numFmtId="165" formatCode="_ * #,##0_)\ _$_ ;_ * \(#,##0\)\ _$_ ;_ * &quot;-&quot;_)\ _$_ ;_ @_ "/>
    </dxf>
    <dxf>
      <fill>
        <patternFill>
          <bgColor theme="0" tint="-0.24994659260841701"/>
        </patternFill>
      </fill>
      <border>
        <top style="thin">
          <color theme="0" tint="-0.34998626667073579"/>
        </top>
        <bottom style="thin">
          <color theme="0" tint="-0.34998626667073579"/>
        </bottom>
        <horizontal style="thin">
          <color theme="0" tint="-0.34998626667073579"/>
        </horizontal>
      </border>
    </dxf>
    <dxf>
      <fill>
        <patternFill>
          <bgColor theme="0" tint="-4.9989318521683403E-2"/>
        </patternFill>
      </fill>
      <border>
        <top style="thin">
          <color theme="0" tint="-0.24994659260841701"/>
        </top>
        <bottom style="thin">
          <color theme="0" tint="-0.24994659260841701"/>
        </bottom>
        <horizontal style="thin">
          <color theme="0" tint="-0.24994659260841701"/>
        </horizontal>
      </border>
    </dxf>
    <dxf>
      <fill>
        <patternFill>
          <bgColor theme="0" tint="-0.14996795556505021"/>
        </patternFill>
      </fill>
      <border>
        <top style="thin">
          <color theme="0" tint="-0.34998626667073579"/>
        </top>
        <bottom style="thin">
          <color theme="0" tint="-0.34998626667073579"/>
        </bottom>
        <horizontal style="thin">
          <color theme="0" tint="-0.34998626667073579"/>
        </horizontal>
      </border>
    </dxf>
    <dxf>
      <border>
        <top style="thin">
          <color theme="0" tint="-0.34998626667073579"/>
        </top>
        <bottom style="thin">
          <color theme="0" tint="-0.34998626667073579"/>
        </bottom>
        <horizontal style="thin">
          <color theme="0" tint="-0.34998626667073579"/>
        </horizontal>
      </border>
    </dxf>
    <dxf>
      <font>
        <b/>
        <i val="0"/>
      </font>
      <fill>
        <patternFill>
          <bgColor theme="8" tint="0.59996337778862885"/>
        </patternFill>
      </fill>
      <border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horizontal style="medium">
          <color theme="0" tint="-0.34998626667073579"/>
        </horizontal>
      </border>
    </dxf>
    <dxf>
      <border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</border>
    </dxf>
    <dxf>
      <fill>
        <patternFill>
          <bgColor theme="0" tint="-0.14996795556505021"/>
        </patternFill>
      </fill>
      <border>
        <top style="thin">
          <color theme="0" tint="-0.34998626667073579"/>
        </top>
        <bottom style="thin">
          <color theme="0" tint="-0.34998626667073579"/>
        </bottom>
        <horizontal style="thin">
          <color theme="0" tint="-0.34998626667073579"/>
        </horizontal>
      </border>
    </dxf>
    <dxf>
      <border>
        <top style="thin">
          <color theme="0" tint="-0.34998626667073579"/>
        </top>
        <bottom style="thin">
          <color theme="0" tint="-0.34998626667073579"/>
        </bottom>
        <horizontal style="thin">
          <color theme="0" tint="-0.34998626667073579"/>
        </horizontal>
      </border>
    </dxf>
    <dxf>
      <font>
        <b/>
        <i val="0"/>
      </font>
      <fill>
        <patternFill>
          <bgColor theme="4" tint="0.59996337778862885"/>
        </patternFill>
      </fill>
      <border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</border>
    </dxf>
    <dxf>
      <border>
        <left style="medium">
          <color theme="0" tint="-0.499984740745262"/>
        </left>
        <right style="medium">
          <color theme="0" tint="-0.499984740745262"/>
        </right>
        <top style="medium">
          <color theme="0" tint="-0.499984740745262"/>
        </top>
        <bottom style="medium">
          <color theme="0" tint="-0.499984740745262"/>
        </bottom>
      </border>
    </dxf>
    <dxf>
      <font>
        <b/>
        <i val="0"/>
      </font>
      <fill>
        <patternFill>
          <bgColor theme="4" tint="0.59996337778862885"/>
        </patternFill>
      </fill>
    </dxf>
  </dxfs>
  <tableStyles count="5" defaultTableStyle="TableStyleMedium2" defaultPivotStyle="Forecast 4">
    <tableStyle name="fORECAST" table="0" count="0" xr9:uid="{F9F0F571-44EA-44B0-9F97-6BCB8C745EA6}"/>
    <tableStyle name="fORECAST 2" table="0" count="1" xr9:uid="{5D2C124D-B589-49CA-A2C7-76FC296209A2}">
      <tableStyleElement type="headerRow" dxfId="175"/>
    </tableStyle>
    <tableStyle name="Forecast 3" table="0" count="4" xr9:uid="{BC8E1DF8-60EE-4E2D-80E0-BA4F4168D3AF}">
      <tableStyleElement type="wholeTable" dxfId="174"/>
      <tableStyleElement type="headerRow" dxfId="173"/>
      <tableStyleElement type="firstSubtotalRow" dxfId="172"/>
      <tableStyleElement type="secondSubtotalRow" dxfId="171"/>
    </tableStyle>
    <tableStyle name="Forecast 4" table="0" count="4" xr9:uid="{8C277A48-63D4-4513-B2A7-426F47E1E59D}">
      <tableStyleElement type="wholeTable" dxfId="170"/>
      <tableStyleElement type="headerRow" dxfId="169"/>
      <tableStyleElement type="firstRowStripe" dxfId="168"/>
      <tableStyleElement type="secondRowStripe" dxfId="167"/>
    </tableStyle>
    <tableStyle name="Style de tableau croisé dynamique 1" table="0" count="2" xr9:uid="{F3C50B2E-7D9B-4DCA-AA6D-1EC1530DA972}">
      <tableStyleElement type="firstRowStripe" dxfId="166"/>
      <tableStyleElement type="secondRowStripe" dxfId="165"/>
    </tableStyle>
  </tableStyles>
  <colors>
    <mruColors>
      <color rgb="FFFF9999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oine Vaillancourt" refreshedDate="45742.352013773147" createdVersion="7" refreshedVersion="8" minRefreshableVersion="3" recordCount="102" xr:uid="{8ED314CE-2E81-4F81-B5F5-FE505DCA5504}">
  <cacheSource type="worksheet">
    <worksheetSource ref="A1:BJ103" sheet="CUM"/>
  </cacheSource>
  <cacheFields count="61">
    <cacheField name="PRIORITÉ" numFmtId="0">
      <sharedItems containsBlank="1" containsMixedTypes="1" containsNumber="1" containsInteger="1" minValue="1" maxValue="99" count="102">
        <m/>
        <s v="Colonne"/>
        <s v="cum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</sharedItems>
    </cacheField>
    <cacheField name="JOB" numFmtId="0">
      <sharedItems containsMixedTypes="1" containsNumber="1" containsInteger="1" minValue="0" maxValue="2" count="66">
        <n v="0"/>
        <n v="2"/>
        <s v="830-02-M"/>
        <s v="797-FAB"/>
        <s v="797-02-M ZERTECH"/>
        <s v="797-04"/>
        <s v="975-01-M"/>
        <s v="830-01-M ZERTECH"/>
        <s v="797-00"/>
        <s v="898-01-M"/>
        <s v="898-03-M"/>
        <s v="898-04-M"/>
        <s v="797-05"/>
        <s v="975-00"/>
        <s v="830-00"/>
        <s v="830-03"/>
        <s v="979-00"/>
        <s v="987-2025"/>
        <s v="987-2026"/>
        <s v="960-FCE-FOND"/>
        <s v="960-FCE-PYL"/>
        <s v="960-FCN-FOND"/>
        <s v="960-FCN-PYL"/>
        <s v="960-FCT-FOND"/>
        <s v="960-FCT-PYL"/>
        <s v="960-FHD-FOND"/>
        <s v="960-FHD-PYL"/>
        <s v="138kV - TANGENT"/>
        <s v="138kV - 5 DEG/LST"/>
        <s v="138kV - 15 DEG"/>
        <s v="138 kV - 30 DEG"/>
        <s v="138 kV - 60 DEG"/>
        <s v="138 kV - 90 DEG"/>
        <s v="345 kV - TANGENT"/>
        <s v="345- kV - 5 DEG/LST"/>
        <s v="345 kV - 30 DEG"/>
        <s v="345 kV - 90 DEG"/>
        <s v="654-00"/>
        <s v="Préfix 72 1x"/>
        <s v="Préfix 72 5x"/>
        <s v="Préfix 72 10x"/>
        <s v="Préfix 72 25x"/>
        <s v="Préfix 09 1x"/>
        <s v="Préfix 09 5x"/>
        <s v="Préfix 09 10x"/>
        <s v="Préfix 09 25x"/>
        <s v="Préfix 06 1x"/>
        <s v="Préfix 06 5x"/>
        <s v="Préfix 06 10x"/>
        <s v="Préfix 06 25x"/>
        <s v="Préfix 84 1x"/>
        <s v="Préfix 84 5x"/>
        <s v="Préfix 84 10x"/>
        <s v="Préfix 84 25x"/>
        <s v="Préfix 86 1x"/>
        <s v="Préfix 86 5x"/>
        <s v="Préfix 86 10x"/>
        <s v="Préfix 86 25x"/>
        <s v="Préfix 97 1x"/>
        <s v="Préfix 97 5x"/>
        <s v="Préfix 97 10x"/>
        <s v="Préfix 97 25x"/>
        <s v="Préfix 88 1x"/>
        <s v="Préfix 88 5x"/>
        <s v="Préfix 88 10x"/>
        <s v="Préfix 88 25x"/>
      </sharedItems>
    </cacheField>
    <cacheField name="CLIENT" numFmtId="0">
      <sharedItems containsBlank="1" containsMixedTypes="1" containsNumber="1" containsInteger="1" minValue="0" maxValue="3" count="7">
        <m/>
        <n v="3"/>
        <s v="HQ"/>
        <s v="FABRIMET"/>
        <s v="CNP"/>
        <s v="ONCOR"/>
        <n v="0"/>
      </sharedItems>
    </cacheField>
    <cacheField name="REQUISITION" numFmtId="0">
      <sharedItems containsDate="1" containsBlank="1" containsMixedTypes="1" minDate="1899-12-31T00:17:04" maxDate="2032-08-08T00:00:00" count="140">
        <m/>
        <n v="4"/>
        <d v="2025-07-17T00:00:00"/>
        <d v="2025-07-05T00:00:00"/>
        <d v="2025-08-29T00:00:00"/>
        <d v="2025-06-06T00:00:00"/>
        <d v="2025-05-05T00:00:00"/>
        <d v="2025-04-30T00:00:00"/>
        <d v="2025-05-16T00:00:00"/>
        <d v="2025-08-01T00:00:00"/>
        <d v="2025-08-15T00:00:00"/>
        <d v="1899-12-30T00:00:00"/>
        <d v="2026-03-05T00:00:00"/>
        <d v="2026-12-12T00:00:00"/>
        <d v="2024-12-31T00:00:00"/>
        <d v="2024-01-26T00:00:00"/>
        <d v="2025-01-01T00:00:00"/>
        <d v="2025-12-30T00:00:00" u="1"/>
        <d v="2025-07-18T00:00:00" u="1"/>
        <d v="2025-01-17T00:00:00" u="1"/>
        <d v="2025-03-13T00:00:00" u="1"/>
        <d v="2025-04-28T00:00:00" u="1"/>
        <d v="2025-01-10T00:00:00" u="1"/>
        <d v="2026-01-01T00:00:00" u="1"/>
        <d v="2024-09-27T00:00:00" u="1"/>
        <d v="2025-01-05T00:00:00" u="1"/>
        <d v="2024-09-01T00:00:00" u="1"/>
        <d v="2024-12-15T00:00:00" u="1"/>
        <d v="2025-02-04T00:00:00" u="1"/>
        <d v="2024-12-16T00:00:00" u="1"/>
        <d v="2025-01-15T00:00:00" u="1"/>
        <d v="2024-10-31T00:00:00" u="1"/>
        <d v="2024-12-12T00:00:00" u="1"/>
        <s v="2024--10-31" u="1"/>
        <d v="2024-12-01T00:00:00" u="1"/>
        <d v="2024-06-01T00:00:00" u="1"/>
        <d v="2024-01-15T00:00:00" u="1"/>
        <d v="2024-09-30T00:00:00" u="1"/>
        <d v="2024-11-15T00:00:00" u="1"/>
        <d v="2024-07-19T00:00:00" u="1"/>
        <d v="2024-08-01T00:00:00" u="1"/>
        <d v="2024-07-18T00:00:00" u="1"/>
        <d v="2024-07-17T00:00:00" u="1"/>
        <d v="2024-09-06T00:00:00" u="1"/>
        <d v="2024-10-10T00:00:00" u="1"/>
        <d v="2024-07-01T00:00:00" u="1"/>
        <d v="2024-04-15T00:00:00" u="1"/>
        <d v="2024-06-03T00:00:00" u="1"/>
        <d v="2024-05-03T00:00:00" u="1"/>
        <d v="2024-05-08T00:00:00" u="1"/>
        <d v="2024-06-15T00:00:00" u="1"/>
        <d v="2024-06-05T00:00:00" u="1"/>
        <d v="2024-03-22T00:00:00" u="1"/>
        <d v="2024-03-29T00:00:00" u="1"/>
        <d v="2024-04-01T00:00:00" u="1"/>
        <d v="2024-04-05T00:00:00" u="1"/>
        <d v="2024-03-04T00:00:00" u="1"/>
        <d v="2024-03-08T00:00:00" u="1"/>
        <d v="2024-02-02T00:00:00" u="1"/>
        <d v="2024-03-12T00:00:00" u="1"/>
        <d v="2024-04-02T00:00:00" u="1"/>
        <d v="2024-01-31T00:00:00" u="1"/>
        <d v="2024-01-08T00:00:00" u="1"/>
        <d v="2022-06-01T00:00:00" u="1"/>
        <s v="2024-06-31" u="1"/>
        <d v="2023-12-01T00:00:00" u="1"/>
        <d v="2023-11-15T00:00:00" u="1"/>
        <d v="2023-12-15T00:00:00" u="1"/>
        <d v="2024-11-01T00:00:00" u="1"/>
        <d v="2024-01-19T00:00:00" u="1"/>
        <d v="2024-04-12T00:00:00" u="1"/>
        <d v="2032-08-07T00:00:00" u="1"/>
        <d v="2023-10-16T00:00:00" u="1"/>
        <d v="2023-10-18T00:00:00" u="1"/>
        <d v="2023-10-19T00:00:00" u="1"/>
        <d v="2023-10-20T00:00:00" u="1"/>
        <d v="2023-10-21T00:00:00" u="1"/>
        <d v="2023-04-17T00:00:00" u="1"/>
        <d v="2023-07-10T00:00:00" u="1"/>
        <d v="2023-04-05T00:00:00" u="1"/>
        <d v="2023-03-01T00:00:00" u="1"/>
        <d v="2023-12-12T00:00:00" u="1"/>
        <d v="2022-07-30T00:00:00" u="1"/>
        <d v="2023-12-31T00:00:00" u="1"/>
        <d v="2021-09-01T00:00:00" u="1"/>
        <d v="2021-09-13T00:00:00" u="1"/>
        <d v="2022-09-13T00:00:00" u="1"/>
        <d v="2022-05-05T00:00:00" u="1"/>
        <d v="2021-09-06T00:00:00" u="1"/>
        <d v="2023-05-05T00:00:00" u="1"/>
        <d v="2021-10-04T00:00:00" u="1"/>
        <d v="2021-04-05T00:00:00" u="1"/>
        <d v="2021-08-06T00:00:00" u="1"/>
        <d v="2024-10-04T00:00:00" u="1"/>
        <d v="2021-07-20T00:00:00" u="1"/>
        <d v="2022-01-02T00:00:00" u="1"/>
        <d v="2022-02-07T00:00:00" u="1"/>
        <s v="???" u="1"/>
        <d v="2021-10-09T00:00:00" u="1"/>
        <d v="2021-06-01T00:00:00" u="1"/>
        <d v="2024-10-09T00:00:00" u="1"/>
        <d v="2023-01-26T00:00:00" u="1"/>
        <d v="2021-05-20T00:00:00" u="1"/>
        <e v="#N/A" u="1"/>
        <d v="2021-10-05T00:00:00" u="1"/>
        <d v="2021-02-15T00:00:00" u="1"/>
        <d v="2022-01-10T00:00:00" u="1"/>
        <d v="2022-03-01T00:00:00" u="1"/>
        <d v="2022-02-15T00:00:00" u="1"/>
        <d v="2021-09-12T00:00:00" u="1"/>
        <d v="2022-01-03T00:00:00" u="1"/>
        <d v="2022-09-12T00:00:00" u="1"/>
        <d v="2020-02-01T00:00:00" u="1"/>
        <d v="2024-09-12T00:00:00" u="1"/>
        <d v="2022-09-05T00:00:00" u="1"/>
        <s v="A REVOIR" u="1"/>
        <d v="2021-11-15T00:00:00" u="1"/>
        <d v="2021-12-20T00:00:00" u="1"/>
        <d v="2020-04-04T00:00:00" u="1"/>
        <d v="2022-10-03T00:00:00" u="1"/>
        <d v="2022-04-04T00:00:00" u="1"/>
        <d v="2024-12-20T00:00:00" u="1"/>
        <d v="2021-01-01T00:00:00" u="1"/>
        <d v="2021-11-01T00:00:00" u="1"/>
        <d v="2021-10-15T00:00:00" u="1"/>
        <d v="2021-12-06T00:00:00" u="1"/>
        <d v="2023-11-01T00:00:00" u="1"/>
        <d v="2024-01-01T00:00:00" u="1"/>
        <d v="2021-07-12T00:00:00" u="1"/>
        <d v="2021-12-25T00:00:00" u="1"/>
        <d v="2024-10-15T00:00:00" u="1"/>
        <d v="2021-10-27T00:00:00" u="1"/>
        <d v="2024-12-25T00:00:00" u="1"/>
        <d v="2021-08-10T00:00:00" u="1"/>
        <d v="2021-10-01T00:00:00" u="1"/>
        <d v="2022-09-15T00:00:00" u="1"/>
        <d v="2024-10-27T00:00:00" u="1"/>
        <d v="2023-04-02T00:00:00" u="1"/>
        <d v="2024-08-10T00:00:00" u="1"/>
        <d v="2021-09-27T00:00:00" u="1"/>
      </sharedItems>
    </cacheField>
    <cacheField name="PLANIFIÉ" numFmtId="0">
      <sharedItems containsBlank="1" containsMixedTypes="1" containsNumber="1" containsInteger="1" minValue="0" maxValue="5" count="5">
        <m/>
        <n v="5"/>
        <s v="OUI"/>
        <n v="0"/>
        <s v="NON"/>
      </sharedItems>
    </cacheField>
    <cacheField name="RADIAL (WF + C)-MARQ" numFmtId="0">
      <sharedItems containsString="0" containsBlank="1" containsNumber="1" containsInteger="1" minValue="0" maxValue="20"/>
    </cacheField>
    <cacheField name="LS-MARQ" numFmtId="0">
      <sharedItems containsString="0" containsBlank="1" containsNumber="1" containsInteger="1" minValue="0" maxValue="47"/>
    </cacheField>
    <cacheField name="LC-MARQ" numFmtId="0">
      <sharedItems containsString="0" containsBlank="1" containsNumber="1" containsInteger="1" minValue="0" maxValue="315"/>
    </cacheField>
    <cacheField name="LB-MARQ" numFmtId="0">
      <sharedItems containsString="0" containsBlank="1" containsNumber="1" containsInteger="1" minValue="0" maxValue="466"/>
    </cacheField>
    <cacheField name="PL+-MARQ" numFmtId="0">
      <sharedItems containsString="0" containsBlank="1" containsNumber="1" containsInteger="1" minValue="0" maxValue="109"/>
    </cacheField>
    <cacheField name="PL--MARQ" numFmtId="0">
      <sharedItems containsString="0" containsBlank="1" containsNumber="1" containsInteger="1" minValue="0" maxValue="197"/>
    </cacheField>
    <cacheField name="6a15-MARQ" numFmtId="0">
      <sharedItems containsString="0" containsBlank="1" containsNumber="1" containsInteger="1" minValue="0" maxValue="12"/>
    </cacheField>
    <cacheField name="DIVERS-MARQ" numFmtId="0">
      <sharedItems containsString="0" containsBlank="1" containsNumber="1" containsInteger="1" minValue="0" maxValue="21"/>
    </cacheField>
    <cacheField name="SOUDURE-MARQ" numFmtId="0">
      <sharedItems containsString="0" containsBlank="1" containsNumber="1" containsInteger="1" minValue="0" maxValue="56"/>
    </cacheField>
    <cacheField name="TTL MARKS" numFmtId="0">
      <sharedItems containsString="0" containsBlank="1" containsNumber="1" minValue="-1175" maxValue="7152" count="277">
        <m/>
        <n v="15"/>
        <n v="5"/>
        <n v="3"/>
        <n v="60"/>
        <n v="65"/>
        <n v="571"/>
        <n v="579"/>
        <n v="14"/>
        <n v="601"/>
        <n v="725"/>
        <n v="315"/>
        <n v="12"/>
        <n v="113"/>
        <n v="83"/>
        <n v="316"/>
        <n v="269"/>
        <n v="90"/>
        <n v="959"/>
        <n v="0"/>
        <n v="61"/>
        <n v="1105"/>
        <n v="13" u="1"/>
        <n v="20" u="1"/>
        <n v="237" u="1"/>
        <n v="205" u="1"/>
        <n v="18" u="1"/>
        <n v="92" u="1"/>
        <n v="26" u="1"/>
        <n v="840" u="1"/>
        <n v="160" u="1"/>
        <n v="263" u="1"/>
        <n v="32" u="1"/>
        <n v="585" u="1"/>
        <n v="487" u="1"/>
        <n v="25" u="1"/>
        <n v="156" u="1"/>
        <n v="41" u="1"/>
        <n v="1" u="1"/>
        <n v="106" u="1"/>
        <n v="42" u="1"/>
        <n v="127" u="1"/>
        <n v="210" u="1"/>
        <n v="2" u="1"/>
        <n v="235" u="1"/>
        <n v="598.4000000000002" u="1"/>
        <n v="1094" u="1"/>
        <n v="1243" u="1"/>
        <n v="1022" u="1"/>
        <n v="208" u="1"/>
        <n v="4" u="1"/>
        <n v="880" u="1"/>
        <n v="659" u="1"/>
        <n v="29" u="1"/>
        <n v="735" u="1"/>
        <n v="8" u="1"/>
        <n v="34" u="1"/>
        <n v="408" u="1"/>
        <n v="281" u="1"/>
        <n v="304" u="1"/>
        <n v="2808" u="1"/>
        <n v="99" u="1"/>
        <n v="28" u="1"/>
        <n v="178" u="1"/>
        <n v="382" u="1"/>
        <n v="622" u="1"/>
        <n v="104" u="1"/>
        <n v="388" u="1"/>
        <n v="626" u="1"/>
        <n v="121" u="1"/>
        <n v="48" u="1"/>
        <n v="639" u="1"/>
        <n v="155" u="1"/>
        <n v="107" u="1"/>
        <n v="36" u="1"/>
        <n v="7" u="1"/>
        <n v="103" u="1"/>
        <n v="165" u="1"/>
        <n v="124" u="1"/>
        <n v="686" u="1"/>
        <n v="182" u="1"/>
        <n v="177" u="1"/>
        <n v="37" u="1"/>
        <n v="727" u="1"/>
        <n v="10" u="1"/>
        <n v="31" u="1"/>
        <n v="211" u="1"/>
        <n v="233" u="1"/>
        <n v="40" u="1"/>
        <n v="35" u="1"/>
        <n v="213" u="1"/>
        <n v="244" u="1"/>
        <n v="728" u="1"/>
        <n v="53" u="1"/>
        <n v="54" u="1"/>
        <n v="342" u="1"/>
        <n v="906" u="1"/>
        <n v="82" u="1"/>
        <n v="144" u="1"/>
        <n v="248" u="1"/>
        <n v="559" u="1"/>
        <n v="912" u="1"/>
        <n v="3032" u="1"/>
        <n v="1417" u="1"/>
        <n v="1078" u="1"/>
        <n v="399" u="1"/>
        <n v="796" u="1"/>
        <n v="9" u="1"/>
        <n v="11" u="1"/>
        <n v="145" u="1"/>
        <n v="225" u="1"/>
        <n v="6" u="1"/>
        <n v="45" u="1"/>
        <n v="17" u="1"/>
        <n v="181" u="1"/>
        <n v="16" u="1"/>
        <n v="203" u="1"/>
        <n v="274" u="1"/>
        <n v="109" u="1"/>
        <n v="39" u="1"/>
        <n v="86" u="1"/>
        <n v="294" u="1"/>
        <n v="394" u="1"/>
        <n v="259" u="1"/>
        <n v="591" u="1"/>
        <n v="236" u="1"/>
        <n v="313" u="1"/>
        <n v="46" u="1"/>
        <n v="93" u="1"/>
        <n v="934" u="1"/>
        <n v="387" u="1"/>
        <n v="268" u="1"/>
        <n v="319" u="1"/>
        <n v="50" u="1"/>
        <n v="123" u="1"/>
        <n v="1760" u="1"/>
        <n v="367" u="1"/>
        <n v="186" u="1"/>
        <n v="21" u="1"/>
        <n v="27" u="1"/>
        <n v="19" u="1"/>
        <n v="403" u="1"/>
        <n v="318" u="1"/>
        <n v="88" u="1"/>
        <n v="117" u="1"/>
        <n v="85" u="1"/>
        <n v="108" u="1"/>
        <n v="227" u="1"/>
        <n v="47" u="1"/>
        <n v="289" u="1"/>
        <n v="71" u="1"/>
        <n v="73" u="1"/>
        <n v="189" u="1"/>
        <n v="101" u="1"/>
        <n v="58" u="1"/>
        <n v="254" u="1"/>
        <n v="348" u="1"/>
        <n v="166" u="1"/>
        <n v="234" u="1"/>
        <n v="277" u="1"/>
        <n v="286" u="1"/>
        <n v="309" u="1"/>
        <n v="353" u="1"/>
        <n v="96" u="1"/>
        <n v="379" u="1"/>
        <n v="38" u="1"/>
        <n v="224" u="1"/>
        <n v="835" u="1"/>
        <n v="769" u="1"/>
        <n v="211.66666666666669" u="1"/>
        <n v="67" u="1"/>
        <n v="241" u="1"/>
        <n v="599" u="1"/>
        <n v="453" u="1"/>
        <n v="147" u="1"/>
        <n v="406" u="1"/>
        <n v="137" u="1"/>
        <n v="69" u="1"/>
        <n v="685" u="1"/>
        <n v="475" u="1"/>
        <n v="167" u="1"/>
        <n v="201" u="1"/>
        <n v="401" u="1"/>
        <n v="491" u="1"/>
        <n v="169" u="1"/>
        <n v="256" u="1"/>
        <n v="302" u="1"/>
        <n v="420" u="1"/>
        <n v="170" u="1"/>
        <n v="631" u="1"/>
        <n v="317" u="1"/>
        <n v="405" u="1"/>
        <n v="593" u="1"/>
        <n v="23" u="1"/>
        <n v="643" u="1"/>
        <n v="349" u="1"/>
        <n v="415" u="1"/>
        <n v="608" u="1"/>
        <n v="122" u="1"/>
        <n v="252" u="1"/>
        <n v="515" u="1"/>
        <n v="484" u="1"/>
        <n v="607" u="1"/>
        <n v="66" u="1"/>
        <n v="118" u="1"/>
        <n v="335" u="1"/>
        <n v="215" u="1"/>
        <n v="74" u="1"/>
        <n v="172" u="1"/>
        <n v="126" u="1"/>
        <n v="79" u="1"/>
        <n v="22" u="1"/>
        <n v="57" u="1"/>
        <n v="185" u="1"/>
        <n v="710" u="1"/>
        <n v="164" u="1"/>
        <n v="427" u="1"/>
        <n v="456" u="1"/>
        <n v="414" u="1"/>
        <n v="2990" u="1"/>
        <n v="716" u="1"/>
        <n v="548" u="1"/>
        <n v="-700" u="1"/>
        <n v="63" u="1"/>
        <n v="-509" u="1"/>
        <n v="146" u="1"/>
        <n v="116" u="1"/>
        <n v="175" u="1"/>
        <n v="2986" u="1"/>
        <n v="336" u="1"/>
        <n v="133" u="1"/>
        <n v="436" u="1"/>
        <n v="507" u="1"/>
        <n v="120" u="1"/>
        <n v="141" u="1"/>
        <n v="212" u="1"/>
        <n v="384" u="1"/>
        <n v="682" u="1"/>
        <n v="940" u="1"/>
        <n v="2987" u="1"/>
        <n v="194" u="1"/>
        <n v="173" u="1"/>
        <n v="261" u="1"/>
        <n v="332" u="1"/>
        <n v="578" u="1"/>
        <n v="-1014" u="1"/>
        <n v="361" u="1"/>
        <n v="7152" u="1"/>
        <n v="855" u="1"/>
        <n v="322" u="1"/>
        <n v="380" u="1"/>
        <n v="803" u="1"/>
        <n v="134" u="1"/>
        <n v="509" u="1"/>
        <n v="635" u="1"/>
        <n v="609" u="1"/>
        <n v="596" u="1"/>
        <n v="171" u="1"/>
        <n v="242" u="1"/>
        <n v="512" u="1"/>
        <n v="583" u="1"/>
        <n v="221" u="1"/>
        <n v="-1175" u="1"/>
        <n v="386" u="1"/>
        <n v="-683" u="1"/>
        <n v="589" u="1"/>
        <n v="634" u="1"/>
        <n v="847" u="1"/>
        <n v="595" u="1"/>
        <n v="924" u="1"/>
        <n v="556" u="1"/>
        <n v="190" u="1"/>
        <n v="148" u="1"/>
        <n v="198" u="1"/>
        <n v="282" u="1"/>
        <n v="691" u="1"/>
        <n v="736" u="1"/>
      </sharedItems>
    </cacheField>
    <cacheField name="RADIAL (WF + C)-POIDS" numFmtId="0">
      <sharedItems containsString="0" containsBlank="1" containsNumber="1" containsInteger="1" minValue="0" maxValue="370953"/>
    </cacheField>
    <cacheField name="LS-POIDS" numFmtId="0">
      <sharedItems containsString="0" containsBlank="1" containsNumber="1" containsInteger="1" minValue="0" maxValue="101846"/>
    </cacheField>
    <cacheField name="LC-POIDS" numFmtId="0">
      <sharedItems containsString="0" containsBlank="1" containsNumber="1" containsInteger="1" minValue="0" maxValue="250688"/>
    </cacheField>
    <cacheField name="LB-POIDS" numFmtId="0">
      <sharedItems containsString="0" containsBlank="1" containsNumber="1" containsInteger="1" minValue="0" maxValue="148542"/>
    </cacheField>
    <cacheField name="PL+-POIDS" numFmtId="0">
      <sharedItems containsString="0" containsBlank="1" containsNumber="1" containsInteger="1" minValue="0" maxValue="22240"/>
    </cacheField>
    <cacheField name="PL--POIDS" numFmtId="0">
      <sharedItems containsString="0" containsBlank="1" containsNumber="1" containsInteger="1" minValue="0" maxValue="71043"/>
    </cacheField>
    <cacheField name="6a15-POIDS" numFmtId="0">
      <sharedItems containsString="0" containsBlank="1" containsNumber="1" containsInteger="1" minValue="0" maxValue="358266"/>
    </cacheField>
    <cacheField name="DIVERS-POIDS" numFmtId="0">
      <sharedItems containsString="0" containsBlank="1" containsNumber="1" containsInteger="1" minValue="0" maxValue="12160"/>
    </cacheField>
    <cacheField name="SOUDURE-POIDS" numFmtId="0">
      <sharedItems containsString="0" containsBlank="1" containsNumber="1" containsInteger="1" minValue="0" maxValue="1810"/>
    </cacheField>
    <cacheField name="TTL KG" numFmtId="0">
      <sharedItems containsString="0" containsBlank="1" containsNumber="1" minValue="0" maxValue="1808003" count="479">
        <m/>
        <n v="25"/>
        <n v="527"/>
        <n v="120"/>
        <n v="21341"/>
        <n v="44465"/>
        <n v="75213"/>
        <n v="121316"/>
        <n v="51014"/>
        <n v="38349"/>
        <n v="40229"/>
        <n v="76020"/>
        <n v="5390"/>
        <n v="95779"/>
        <n v="747999"/>
        <n v="501360"/>
        <n v="258599"/>
        <n v="190568"/>
        <n v="247306"/>
        <n v="0"/>
        <n v="159115"/>
        <n v="324526"/>
        <n v="258521" u="1"/>
        <n v="11365" u="1"/>
        <n v="337" u="1"/>
        <n v="7154" u="1"/>
        <n v="40858" u="1"/>
        <n v="95109" u="1"/>
        <n v="55751" u="1"/>
        <n v="763044" u="1"/>
        <n v="245161" u="1"/>
        <n v="3964" u="1"/>
        <n v="238523" u="1"/>
        <n v="10671" u="1"/>
        <n v="82732" u="1"/>
        <n v="163642" u="1"/>
        <n v="104650" u="1"/>
        <n v="799419" u="1"/>
        <n v="7718" u="1"/>
        <n v="1" u="1"/>
        <n v="2539" u="1"/>
        <n v="16259" u="1"/>
        <n v="34786" u="1"/>
        <n v="7337" u="1"/>
        <n v="10678" u="1"/>
        <n v="800034" u="1"/>
        <n v="7719" u="1"/>
        <n v="55130" u="1"/>
        <n v="52607" u="1"/>
        <n v="37434" u="1"/>
        <n v="108223" u="1"/>
        <n v="17524" u="1"/>
        <n v="62469" u="1"/>
        <n v="88065.380952380961" u="1"/>
        <n v="716656" u="1"/>
        <n v="1307913" u="1"/>
        <n v="259975" u="1"/>
        <n v="113" u="1"/>
        <n v="31510" u="1"/>
        <n v="46380" u="1"/>
        <n v="80" u="1"/>
        <n v="127748" u="1"/>
        <n v="1175" u="1"/>
        <n v="5926" u="1"/>
        <n v="107887" u="1"/>
        <n v="52686" u="1"/>
        <n v="378250" u="1"/>
        <n v="455968" u="1"/>
        <n v="127815" u="1"/>
        <n v="359326" u="1"/>
        <n v="1275783" u="1"/>
        <n v="250" u="1"/>
        <n v="4961" u="1"/>
        <n v="6684" u="1"/>
        <n v="3971" u="1"/>
        <n v="147731" u="1"/>
        <n v="623600" u="1"/>
        <n v="5325" u="1"/>
        <n v="9968" u="1"/>
        <n v="148871" u="1"/>
        <n v="627690" u="1"/>
        <n v="15071" u="1"/>
        <n v="45128" u="1"/>
        <n v="641152" u="1"/>
        <n v="28932" u="1"/>
        <n v="99146" u="1"/>
        <n v="407914" u="1"/>
        <n v="662909" u="1"/>
        <n v="400" u="1"/>
        <n v="17727" u="1"/>
        <n v="31148" u="1"/>
        <n v="122969" u="1"/>
        <n v="667523" u="1"/>
        <n v="340" u="1"/>
        <n v="33898" u="1"/>
        <n v="194438" u="1"/>
        <n v="407991" u="1"/>
        <n v="614841" u="1"/>
        <n v="542" u="1"/>
        <n v="707781" u="1"/>
        <n v="1399" u="1"/>
        <n v="3202" u="1"/>
        <n v="44127" u="1"/>
        <n v="231889" u="1"/>
        <n v="412981" u="1"/>
        <n v="2803" u="1"/>
        <n v="3608" u="1"/>
        <n v="44416" u="1"/>
        <n v="262119" u="1"/>
        <n v="712884" u="1"/>
        <n v="141528" u="1"/>
        <n v="140" u="1"/>
        <n v="2794" u="1"/>
        <n v="3671" u="1"/>
        <n v="44323" u="1"/>
        <n v="262167" u="1"/>
        <n v="414035" u="1"/>
        <n v="712924" u="1"/>
        <n v="332" u="1"/>
        <n v="8947" u="1"/>
        <n v="4603" u="1"/>
        <n v="53733" u="1"/>
        <n v="320163" u="1"/>
        <n v="1297703" u="1"/>
        <n v="17691" u="1"/>
        <n v="16578" u="1"/>
        <n v="128" u="1"/>
        <n v="9205" u="1"/>
        <n v="16452" u="1"/>
        <n v="27095" u="1"/>
        <n v="481760" u="1"/>
        <n v="1305633" u="1"/>
        <n v="406145" u="1"/>
        <n v="725480" u="1"/>
        <n v="1313976" u="1"/>
        <n v="521534" u="1"/>
        <n v="767162" u="1"/>
        <n v="140372" u="1"/>
        <n v="2672" u="1"/>
        <n v="887" u="1"/>
        <n v="22443" u="1"/>
        <n v="10397" u="1"/>
        <n v="154" u="1"/>
        <n v="27577" u="1"/>
        <n v="298145" u="1"/>
        <n v="77462" u="1"/>
        <n v="8636" u="1"/>
        <n v="6141" u="1"/>
        <n v="8984" u="1"/>
        <n v="913" u="1"/>
        <n v="28033" u="1"/>
        <n v="977" u="1"/>
        <n v="944" u="1"/>
        <n v="108592" u="1"/>
        <n v="105994" u="1"/>
        <n v="81316" u="1"/>
        <n v="12483" u="1"/>
        <n v="12341" u="1"/>
        <n v="24622" u="1"/>
        <n v="36125" u="1"/>
        <n v="245576" u="1"/>
        <n v="262980" u="1"/>
        <n v="224520" u="1"/>
        <n v="258992" u="1"/>
        <n v="129496" u="1"/>
        <n v="30" u="1"/>
        <n v="6483" u="1"/>
        <n v="5305" u="1"/>
        <n v="1664" u="1"/>
        <n v="608" u="1"/>
        <n v="3585" u="1"/>
        <n v="1481" u="1"/>
        <n v="113125" u="1"/>
        <n v="116570" u="1"/>
        <n v="13746" u="1"/>
        <n v="13892" u="1"/>
        <n v="27724" u="1"/>
        <n v="1304048" u="1"/>
        <n v="43680" u="1"/>
        <n v="5805" u="1"/>
        <n v="117559" u="1"/>
        <n v="117415" u="1"/>
        <n v="14256" u="1"/>
        <n v="15944" u="1"/>
        <n v="293433" u="1"/>
        <n v="31828" u="1"/>
        <n v="40" u="1"/>
        <n v="6518" u="1"/>
        <n v="5425" u="1"/>
        <n v="117525" u="1"/>
        <n v="293617" u="1"/>
        <n v="43724" u="1"/>
        <n v="13522" u="1"/>
        <n v="131" u="1"/>
        <n v="7112" u="1"/>
        <n v="86208" u="1"/>
        <n v="5070" u="1"/>
        <n v="9277" u="1"/>
        <n v="6084" u="1"/>
        <n v="135022" u="1"/>
        <n v="18382" u="1"/>
        <n v="24310" u="1"/>
        <n v="48560" u="1"/>
        <n v="7057" u="1"/>
        <n v="9202" u="1"/>
        <n v="438026" u="1"/>
        <n v="200" u="1"/>
        <n v="19157" u="1"/>
        <n v="27994" u="1"/>
        <n v="217" u="1"/>
        <n v="525" u="1"/>
        <n v="9960" u="1"/>
        <n v="439576" u="1"/>
        <n v="51599" u="1"/>
        <n v="45056" u="1"/>
        <n v="600" u="1"/>
        <n v="35583" u="1"/>
        <n v="25288" u="1"/>
        <n v="14886" u="1"/>
        <n v="25888" u="1"/>
        <n v="37820" u="1"/>
        <n v="17569" u="1"/>
        <n v="25284" u="1"/>
        <n v="16006" u="1"/>
        <n v="308" u="1"/>
        <n v="38533" u="1"/>
        <n v="16020" u="1"/>
        <n v="38565" u="1"/>
        <n v="48694" u="1"/>
        <n v="89491" u="1"/>
        <n v="39229" u="1"/>
        <n v="54123" u="1"/>
        <n v="96491" u="1"/>
        <n v="28610" u="1"/>
        <n v="16032" u="1"/>
        <n v="325" u="1"/>
        <n v="9075" u="1"/>
        <n v="10285" u="1"/>
        <n v="77741" u="1"/>
        <n v="27789" u="1"/>
        <n v="27805" u="1"/>
        <n v="726" u="1"/>
        <n v="85683" u="1"/>
        <n v="70536" u="1"/>
        <n v="108012" u="1"/>
        <n v="8752.9" u="1"/>
        <n v="5236" u="1"/>
        <n v="6807.32" u="1"/>
        <n v="14263.700000000003" u="1"/>
        <n v="26326" u="1"/>
        <n v="34223.800000000003" u="1"/>
        <n v="26055" u="1"/>
        <n v="26323.7" u="1"/>
        <n v="44326.879999999997" u="1"/>
        <n v="54481.700000000004" u="1"/>
        <n v="533" u="1"/>
        <n v="67704" u="1"/>
        <n v="28874" u="1"/>
        <n v="18067" u="1"/>
        <n v="49723" u="1"/>
        <n v="133547" u="1"/>
        <n v="40525" u="1"/>
        <n v="35495.333333333336" u="1"/>
        <n v="271379" u="1"/>
        <n v="771546" u="1"/>
        <n v="42931.666666666664" u="1"/>
        <n v="5959" u="1"/>
        <n v="136649" u="1"/>
        <n v="73752" u="1"/>
        <n v="31270" u="1"/>
        <n v="62245" u="1"/>
        <n v="146314" u="1"/>
        <n v="84962" u="1"/>
        <n v="43987.999999999993" u="1"/>
        <n v="87695.999999999985" u="1"/>
        <n v="31638" u="1"/>
        <n v="178070" u="1"/>
        <n v="125576" u="1"/>
        <n v="33373" u="1"/>
        <n v="64102" u="1"/>
        <n v="161695" u="1"/>
        <n v="233905" u="1"/>
        <n v="56388" u="1"/>
        <n v="312979" u="1"/>
        <n v="63293" u="1"/>
        <n v="64116" u="1"/>
        <n v="43904.333333333328" u="1"/>
        <n v="87808.666666666657" u="1"/>
        <n v="479" u="1"/>
        <n v="7853" u="1"/>
        <n v="39265" u="1"/>
        <n v="78530" u="1"/>
        <n v="196325" u="1"/>
        <n v="135475" u="1"/>
        <n v="270950" u="1"/>
        <n v="677375" u="1"/>
        <n v="15163" u="1"/>
        <n v="75815" u="1"/>
        <n v="151630" u="1"/>
        <n v="379075" u="1"/>
        <n v="88455" u="1"/>
        <n v="176910" u="1"/>
        <n v="442275" u="1"/>
        <n v="39099" u="1"/>
        <n v="195495" u="1"/>
        <n v="390990" u="1"/>
        <n v="977475" u="1"/>
        <n v="42539" u="1"/>
        <n v="212695" u="1"/>
        <n v="425390" u="1"/>
        <n v="1063475" u="1"/>
        <n v="234011" u="1"/>
        <n v="56448" u="1"/>
        <n v="63298" u="1"/>
        <n v="85085" u="1"/>
        <n v="472" u="1"/>
        <n v="313678" u="1"/>
        <n v="237938" u="1"/>
        <n v="443678" u="1"/>
        <n v="5437" u="1"/>
        <n v="16893" u="1"/>
        <n v="1020" u="1"/>
        <n v="2624" u="1"/>
        <n v="378936" u="1"/>
        <n v="352403" u="1"/>
        <n v="94463" u="1"/>
        <n v="75696" u="1"/>
        <n v="89806" u="1"/>
        <n v="5457" u="1"/>
        <n v="26293" u="1"/>
        <n v="1030" u="1"/>
        <n v="383973" u="1"/>
        <n v="381297" u="1"/>
        <n v="95689" u="1"/>
        <n v="75975" u="1"/>
        <n v="5477" u="1"/>
        <n v="26173" u="1"/>
        <n v="2630" u="1"/>
        <n v="384009" u="1"/>
        <n v="380652" u="1"/>
        <n v="95669" u="1"/>
        <n v="75964" u="1"/>
        <n v="85644" u="1"/>
        <n v="79011" u="1"/>
        <n v="11380" u="1"/>
        <n v="30656" u="1"/>
        <n v="371825" u="1"/>
        <n v="421734" u="1"/>
        <n v="106499" u="1"/>
        <n v="129067" u="1"/>
        <n v="648" u="1"/>
        <n v="227666" u="1"/>
        <n v="83990" u="1"/>
        <n v="24152" u="1"/>
        <n v="41715" u="1"/>
        <n v="233754" u="1"/>
        <n v="83208" u="1"/>
        <n v="824" u="1"/>
        <n v="334936" u="1"/>
        <n v="24355" u="1"/>
        <n v="43715" u="1"/>
        <n v="1152" u="1"/>
        <n v="694804" u="1"/>
        <n v="23471" u="1"/>
        <n v="43989" u="1"/>
        <n v="107641" u="1"/>
        <n v="1001" u="1"/>
        <n v="2383.5" u="1"/>
        <n v="853073" u="1"/>
        <n v="380115" u="1"/>
        <n v="45826" u="1"/>
        <n v="7493" u="1"/>
        <n v="131613" u="1"/>
        <n v="658" u="1"/>
        <n v="14046" u="1"/>
        <n v="772349" u="1"/>
        <n v="21658" u="1"/>
        <n v="317" u="1"/>
        <n v="25441" u="1"/>
        <n v="527294" u="1"/>
        <n v="898092" u="1"/>
        <n v="590414" u="1"/>
        <n v="17164" u="1"/>
        <n v="151920" u="1"/>
        <n v="23432" u="1"/>
        <n v="51868" u="1"/>
        <n v="812" u="1"/>
        <n v="13599" u="1"/>
        <n v="45944" u="1"/>
        <n v="190092" u="1"/>
        <n v="685841" u="1"/>
        <n v="21788" u="1"/>
        <n v="36226" u="1"/>
        <n v="1808003" u="1"/>
        <n v="293979" u="1"/>
        <n v="1563906" u="1"/>
        <n v="18694" u="1"/>
        <n v="74841" u="1"/>
        <n v="193341" u="1"/>
        <n v="274703" u="1"/>
        <n v="28999" u="1"/>
        <n v="265633" u="1"/>
        <n v="18430" u="1"/>
        <n v="17162" u="1"/>
        <n v="28106" u="1"/>
        <n v="156395" u="1"/>
        <n v="1218924" u="1"/>
        <n v="1375621" u="1"/>
        <n v="2400" u="1"/>
        <n v="20813" u="1"/>
        <n v="25428" u="1"/>
        <n v="651057" u="1"/>
        <n v="28927" u="1"/>
        <n v="212157" u="1"/>
        <n v="1528275" u="1"/>
        <n v="312655" u="1"/>
        <n v="9145" u="1"/>
        <n v="192446" u="1"/>
        <n v="623" u="1"/>
        <n v="31736" u="1"/>
        <n v="700405" u="1"/>
        <n v="758696" u="1"/>
        <n v="9510" u="1"/>
        <n v="24017" u="1"/>
        <n v="323910" u="1"/>
        <n v="667037" u="1"/>
        <n v="23763" u="1"/>
        <n v="128132" u="1"/>
        <n v="360919" u="1"/>
        <n v="1377124" u="1"/>
        <n v="513.20000000000005" u="1"/>
        <n v="50704" u="1"/>
        <n v="61567" u="1"/>
        <n v="1559027" u="1"/>
        <n v="816" u="1"/>
        <n v="54436" u="1"/>
        <n v="118809" u="1"/>
        <n v="151782" u="1"/>
        <n v="250685" u="1"/>
        <n v="2021" u="1"/>
        <n v="8057" u="1"/>
        <n v="9271" u="1"/>
        <n v="64984" u="1"/>
        <n v="4228" u="1"/>
        <n v="91350" u="1"/>
        <n v="102994" u="1"/>
        <n v="629803" u="1"/>
        <n v="1027616" u="1"/>
        <n v="627958" u="1"/>
        <n v="30070" u="1"/>
        <n v="60671" u="1"/>
        <n v="525044" u="1"/>
        <n v="612871" u="1"/>
        <n v="67490" u="1"/>
        <n v="74874" u="1"/>
        <n v="19653" u="1"/>
        <n v="215932" u="1"/>
        <n v="990344" u="1"/>
        <n v="50882" u="1"/>
        <n v="224248" u="1"/>
        <n v="234898" u="1"/>
        <n v="50425" u="1"/>
        <n v="63773" u="1"/>
        <n v="613087" u="1"/>
        <n v="829815" u="1"/>
        <n v="60141" u="1"/>
        <n v="212294" u="1"/>
        <n v="1373809" u="1"/>
        <n v="1340" u="1"/>
        <n v="47523" u="1"/>
        <n v="240987" u="1"/>
        <n v="168008" u="1"/>
        <n v="865921" u="1"/>
        <n v="256723" u="1"/>
        <n v="42105" u="1"/>
        <n v="24347" u="1"/>
        <n v="25341" u="1"/>
        <n v="28891" u="1"/>
        <n v="73029" u="1"/>
      </sharedItems>
    </cacheField>
    <cacheField name="RADIAL (WF + C)-CUM" numFmtId="0">
      <sharedItems containsString="0" containsBlank="1" containsNumber="1" containsInteger="1" minValue="0" maxValue="554569"/>
    </cacheField>
    <cacheField name="LS-CUM" numFmtId="0">
      <sharedItems containsString="0" containsBlank="1" containsNumber="1" containsInteger="1" minValue="0" maxValue="455442"/>
    </cacheField>
    <cacheField name="LC-CUM" numFmtId="0">
      <sharedItems containsString="0" containsBlank="1" containsNumber="1" containsInteger="1" minValue="0" maxValue="872810"/>
    </cacheField>
    <cacheField name="LB-CUM" numFmtId="0">
      <sharedItems containsString="0" containsBlank="1" containsNumber="1" containsInteger="1" minValue="0" maxValue="340509"/>
    </cacheField>
    <cacheField name="PL+-CUM" numFmtId="0">
      <sharedItems containsString="0" containsBlank="1" containsNumber="1" containsInteger="1" minValue="0" maxValue="76814"/>
    </cacheField>
    <cacheField name="PL--CUM" numFmtId="0">
      <sharedItems containsString="0" containsBlank="1" containsNumber="1" containsInteger="1" minValue="0" maxValue="142891"/>
    </cacheField>
    <cacheField name="6a15-CUM" numFmtId="0">
      <sharedItems containsString="0" containsBlank="1" containsNumber="1" containsInteger="1" minValue="0" maxValue="534366"/>
    </cacheField>
    <cacheField name="DIVERS-CUM" numFmtId="0">
      <sharedItems containsString="0" containsBlank="1" containsNumber="1" containsInteger="1" minValue="0" maxValue="15870"/>
    </cacheField>
    <cacheField name="SOUDURE-CUM" numFmtId="0">
      <sharedItems containsString="0" containsBlank="1" containsNumber="1" containsInteger="1" minValue="0" maxValue="5965"/>
    </cacheField>
    <cacheField name="RADIAL (WF + C)" numFmtId="0">
      <sharedItems containsDate="1" containsBlank="1" containsMixedTypes="1" minDate="1900-01-05T09:06:04" maxDate="2025-07-04T00:00:00"/>
    </cacheField>
    <cacheField name="LS" numFmtId="0">
      <sharedItems containsDate="1" containsBlank="1" containsMixedTypes="1" minDate="1899-12-31T01:07:04" maxDate="2025-06-12T00:00:00"/>
    </cacheField>
    <cacheField name="LC" numFmtId="0">
      <sharedItems containsDate="1" containsBlank="1" containsMixedTypes="1" minDate="1900-01-05T09:07:04" maxDate="2025-09-19T00:00:00"/>
    </cacheField>
    <cacheField name="LB" numFmtId="0">
      <sharedItems containsDate="1" containsBlank="1" containsMixedTypes="1" minDate="1899-12-31T01:08:04" maxDate="2025-06-17T00:00:00"/>
    </cacheField>
    <cacheField name="PL+" numFmtId="0">
      <sharedItems containsDate="1" containsBlank="1" containsMixedTypes="1" minDate="1900-01-05T09:08:04" maxDate="2024-01-02T00:00:00" count="501">
        <s v="DATE DEB"/>
        <n v="39"/>
        <m/>
        <s v=" "/>
        <d v="2025-03-26T00:00:00"/>
        <d v="2025-04-08T00:00:00"/>
        <d v="2025-04-10T00:00:00"/>
        <d v="2025-04-11T00:00:00"/>
        <d v="2025-04-15T00:00:00"/>
        <d v="2025-04-17T00:00:00"/>
        <d v="2025-04-29T00:00:00"/>
        <d v="2025-05-19T00:00:00"/>
        <d v="2025-05-21T00:00:00"/>
        <d v="2025-05-23T00:00:00"/>
        <d v="2025-05-27T00:00:00"/>
        <d v="2025-03-25T00:00:00" u="1"/>
        <d v="2025-04-07T00:00:00" u="1"/>
        <d v="2025-04-09T00:00:00" u="1"/>
        <d v="2025-04-14T00:00:00" u="1"/>
        <d v="2025-04-16T00:00:00" u="1"/>
        <d v="2025-04-28T00:00:00" u="1"/>
        <d v="2025-05-16T00:00:00" u="1"/>
        <d v="2025-05-20T00:00:00" u="1"/>
        <d v="2025-05-22T00:00:00" u="1"/>
        <d v="2025-05-26T00:00:00" u="1"/>
        <d v="2025-04-24T00:00:00" u="1"/>
        <d v="2025-05-14T00:00:00" u="1"/>
        <d v="2025-05-15T00:00:00" u="1"/>
        <d v="2025-04-23T00:00:00" u="1"/>
        <d v="2025-05-13T00:00:00" u="1"/>
        <d v="2025-03-21T00:00:00" u="1"/>
        <d v="2025-04-03T00:00:00" u="1"/>
        <d v="2025-04-21T00:00:00" u="1"/>
        <d v="2025-04-22T00:00:00" u="1"/>
        <d v="2025-05-09T00:00:00" u="1"/>
        <d v="2025-03-05T00:00:00" u="1"/>
        <d v="2025-03-10T00:00:00" u="1"/>
        <d v="2025-03-19T00:00:00" u="1"/>
        <d v="2025-04-18T00:00:00" u="1"/>
        <d v="2025-05-08T00:00:00" u="1"/>
        <d v="2025-05-12T00:00:00" u="1"/>
        <d v="2025-03-04T00:00:00" u="1"/>
        <d v="2025-03-12T00:00:00" u="1"/>
        <d v="2025-05-02T00:00:00" u="1"/>
        <d v="2025-05-28T00:00:00" u="1"/>
        <d v="2025-05-29T00:00:00" u="1"/>
        <d v="2025-03-27T00:00:00" u="1"/>
        <d v="2025-03-31T00:00:00" u="1"/>
        <d v="2025-05-06T00:00:00" u="1"/>
        <d v="2025-05-07T00:00:00" u="1"/>
        <d v="2025-02-05T00:00:00" u="1"/>
        <d v="2025-02-19T00:00:00" u="1"/>
        <d v="2025-02-21T00:00:00" u="1"/>
        <d v="2025-03-18T00:00:00" u="1"/>
        <d v="2025-04-02T00:00:00" u="1"/>
        <d v="2025-02-12T00:00:00" u="1"/>
        <d v="2025-02-13T00:00:00" u="1"/>
        <d v="2025-02-18T00:00:00" u="1"/>
        <d v="2025-02-25T00:00:00" u="1"/>
        <d v="2025-02-26T00:00:00" u="1"/>
        <d v="2025-02-27T00:00:00" u="1"/>
        <d v="2025-03-14T00:00:00" u="1"/>
        <d v="2025-02-17T00:00:00" u="1"/>
        <d v="2025-03-06T00:00:00" u="1"/>
        <d v="2024-11-11T00:00:00" u="1"/>
        <d v="2024-11-13T00:00:00" u="1"/>
        <d v="2024-11-15T00:00:00" u="1"/>
        <d v="2024-11-18T00:00:00" u="1"/>
        <d v="2024-11-20T00:00:00" u="1"/>
        <d v="2024-11-21T00:00:00" u="1"/>
        <d v="2025-01-06T00:00:00" u="1"/>
        <d v="2025-01-27T00:00:00" u="1"/>
        <d v="2025-02-11T00:00:00" u="1"/>
        <d v="2024-10-23T00:00:00" u="1"/>
        <d v="2024-10-25T00:00:00" u="1"/>
        <d v="2024-11-12T00:00:00" u="1"/>
        <d v="2024-11-14T00:00:00" u="1"/>
        <d v="2024-12-18T00:00:00" u="1"/>
        <d v="2024-12-19T00:00:00" u="1"/>
        <d v="2024-10-24T00:00:00" u="1"/>
        <d v="2024-11-06T00:00:00" u="1"/>
        <d v="2024-11-07T00:00:00" u="1"/>
        <d v="2024-11-08T00:00:00" u="1"/>
        <d v="2024-12-04T00:00:00" u="1"/>
        <d v="2024-12-05T00:00:00" u="1"/>
        <d v="2024-12-06T00:00:00" u="1"/>
        <d v="2024-10-07T00:00:00" u="1"/>
        <d v="2024-10-11T00:00:00" u="1"/>
        <d v="2024-11-01T00:00:00" u="1"/>
        <d v="2024-11-04T00:00:00" u="1"/>
        <d v="2024-11-05T00:00:00" u="1"/>
        <d v="2024-12-10T00:00:00" u="1"/>
        <d v="2024-12-11T00:00:00" u="1"/>
        <d v="2024-12-13T00:00:00" u="1"/>
        <d v="2025-01-20T00:00:00" u="1"/>
        <d v="2025-01-23T00:00:00" u="1"/>
        <d v="2024-10-10T00:00:00" u="1"/>
        <d v="2024-10-28T00:00:00" u="1"/>
        <d v="2024-10-29T00:00:00" u="1"/>
        <d v="2024-10-31T00:00:00" u="1"/>
        <d v="2024-11-25T00:00:00" u="1"/>
        <d v="2024-11-27T00:00:00" u="1"/>
        <d v="2024-12-17T00:00:00" u="1"/>
        <d v="2024-09-24T00:00:00" u="1"/>
        <d v="2024-09-30T00:00:00" u="1"/>
        <d v="2024-11-26T00:00:00" u="1"/>
        <d v="2024-11-29T00:00:00" u="1"/>
        <d v="2024-09-20T00:00:00" u="1"/>
        <d v="2024-09-26T00:00:00" u="1"/>
        <d v="2024-10-21T00:00:00" u="1"/>
        <d v="2024-09-17T00:00:00" u="1"/>
        <d v="2024-09-23T00:00:00" u="1"/>
        <d v="2024-10-16T00:00:00" u="1"/>
        <d v="2024-10-18T00:00:00" u="1"/>
        <d v="2024-11-19T00:00:00" u="1"/>
        <d v="2024-11-22T00:00:00" u="1"/>
        <d v="2024-10-08T00:00:00" u="1"/>
        <d v="2024-10-09T00:00:00" u="1"/>
        <d v="2024-09-09T00:00:00" u="1"/>
        <d v="2024-09-13T00:00:00" u="1"/>
        <d v="2024-09-06T00:00:00" u="1"/>
        <d v="2024-09-12T00:00:00" u="1"/>
        <d v="2024-10-04T00:00:00" u="1"/>
        <d v="2024-09-05T00:00:00" u="1"/>
        <d v="2024-09-11T00:00:00" u="1"/>
        <d v="2024-10-03T00:00:00" u="1"/>
        <d v="2024-08-28T00:00:00" u="1"/>
        <d v="2024-09-04T00:00:00" u="1"/>
        <d v="2024-09-27T00:00:00" u="1"/>
        <d v="2024-10-01T00:00:00" u="1"/>
        <d v="2024-08-27T00:00:00" u="1"/>
        <d v="2024-09-03T00:00:00" u="1"/>
        <d v="2024-10-30T00:00:00" u="1"/>
        <d v="2024-08-22T00:00:00" u="1"/>
        <d v="2024-08-23T00:00:00" u="1"/>
        <d v="2024-08-30T00:00:00" u="1"/>
        <d v="2024-08-19T00:00:00" u="1"/>
        <d v="2024-08-20T00:00:00" u="1"/>
        <d v="2024-09-19T00:00:00" u="1"/>
        <d v="2024-10-22T00:00:00" u="1"/>
        <d v="2024-08-16T00:00:00" u="1"/>
        <d v="2024-08-26T00:00:00" u="1"/>
        <d v="2024-09-18T00:00:00" u="1"/>
        <d v="2024-08-15T00:00:00" u="1"/>
        <d v="2024-08-14T00:00:00" u="1"/>
        <d v="2024-09-10T00:00:00" u="1"/>
        <d v="2024-09-16T00:00:00" u="1"/>
        <d v="2024-10-17T00:00:00" u="1"/>
        <d v="2024-08-12T00:00:00" u="1"/>
        <d v="2024-08-13T00:00:00" u="1"/>
        <d v="2024-08-06T00:00:00" u="1"/>
        <d v="2024-07-19T00:00:00" u="1"/>
        <d v="2024-07-05T00:00:00" u="1"/>
        <d v="2024-07-09T00:00:00" u="1"/>
        <d v="2024-07-10T00:00:00" u="1"/>
        <d v="2024-07-15T00:00:00" u="1"/>
        <d v="2025-02-14T00:00:00" u="1"/>
        <d v="2025-03-03T00:00:00" u="1"/>
        <d v="2024-06-18T00:00:00" u="1"/>
        <d v="2024-06-19T00:00:00" u="1"/>
        <d v="2024-06-20T00:00:00" u="1"/>
        <d v="2024-06-21T00:00:00" u="1"/>
        <d v="2024-06-25T00:00:00" u="1"/>
        <d v="2024-06-28T00:00:00" u="1"/>
        <d v="2024-12-03T00:00:00" u="1"/>
        <d v="2025-02-03T00:00:00" u="1"/>
        <d v="2025-02-04T00:00:00" u="1"/>
        <d v="2024-12-20T00:00:00" u="1"/>
        <d v="2024-08-21T00:00:00" u="1"/>
        <d v="2024-06-14T00:00:00" u="1"/>
        <d v="2024-12-16T00:00:00" u="1"/>
        <d v="2025-01-14T00:00:00" u="1"/>
        <d v="2024-06-05T00:00:00" u="1"/>
        <d v="2024-06-07T00:00:00" u="1"/>
        <d v="2024-07-16T00:00:00" u="1"/>
        <d v="2024-06-06T00:00:00" u="1"/>
        <d v="2024-06-10T00:00:00" u="1"/>
        <d v="2024-06-11T00:00:00" u="1"/>
        <d v="2024-06-17T00:00:00" u="1"/>
        <d v="2024-06-04T00:00:00" u="1"/>
        <d v="2024-05-30T00:00:00" u="1"/>
        <d v="2024-05-31T00:00:00" u="1"/>
        <d v="2024-04-30T00:00:00" u="1"/>
        <d v="2024-05-10T00:00:00" u="1"/>
        <d v="2024-05-15T00:00:00" u="1"/>
        <d v="2024-05-16T00:00:00" u="1"/>
        <d v="2024-05-17T00:00:00" u="1"/>
        <d v="2024-05-23T00:00:00" u="1"/>
        <d v="2024-05-27T00:00:00" u="1"/>
        <d v="2024-05-28T00:00:00" u="1"/>
        <d v="2024-05-29T00:00:00" u="1"/>
        <d v="2024-08-05T00:00:00" u="1"/>
        <d v="2024-04-09T00:00:00" u="1"/>
        <d v="2024-04-10T00:00:00" u="1"/>
        <d v="2024-04-23T00:00:00" u="1"/>
        <d v="2024-04-26T00:00:00" u="1"/>
        <d v="2024-04-29T00:00:00" u="1"/>
        <d v="2024-05-02T00:00:00" u="1"/>
        <d v="2024-04-05T00:00:00" u="1"/>
        <d v="2024-04-08T00:00:00" u="1"/>
        <d v="2024-04-19T00:00:00" u="1"/>
        <d v="2024-04-24T00:00:00" u="1"/>
        <d v="2024-05-09T00:00:00" u="1"/>
        <d v="2024-03-28T00:00:00" u="1"/>
        <d v="2024-03-29T00:00:00" u="1"/>
        <d v="2024-04-02T00:00:00" u="1"/>
        <d v="2024-04-16T00:00:00" u="1"/>
        <d v="2024-04-18T00:00:00" u="1"/>
        <d v="2024-05-06T00:00:00" u="1"/>
        <d v="2024-04-03T00:00:00" u="1"/>
        <d v="2024-05-01T00:00:00" u="1"/>
        <d v="2024-04-15T00:00:00" u="1"/>
        <d v="2024-04-11T00:00:00" u="1"/>
        <d v="2024-04-22T00:00:00" u="1"/>
        <d v="2024-03-08T00:00:00" u="1"/>
        <d v="2024-03-11T00:00:00" u="1"/>
        <d v="2024-03-20T00:00:00" u="1"/>
        <d v="2024-03-21T00:00:00" u="1"/>
        <d v="2024-03-12T00:00:00" u="1"/>
        <d v="2024-04-04T00:00:00" u="1"/>
        <d v="2024-02-23T00:00:00" u="1"/>
        <d v="2024-02-26T00:00:00" u="1"/>
        <d v="2024-02-28T00:00:00" u="1"/>
        <d v="2024-02-29T00:00:00" u="1"/>
        <d v="2024-03-05T00:00:00" u="1"/>
        <d v="2024-03-06T00:00:00" u="1"/>
        <d v="2024-03-25T00:00:00" u="1"/>
        <d v="2024-03-26T00:00:00" u="1"/>
        <d v="2024-02-01T00:00:00" u="1"/>
        <d v="2024-02-06T00:00:00" u="1"/>
        <d v="2024-02-07T00:00:00" u="1"/>
        <d v="2024-02-08T00:00:00" u="1"/>
        <d v="2024-02-09T00:00:00" u="1"/>
        <d v="2024-02-12T00:00:00" u="1"/>
        <d v="2024-02-13T00:00:00" u="1"/>
        <d v="2024-02-19T00:00:00" u="1"/>
        <d v="2024-02-20T00:00:00" u="1"/>
        <d v="2024-01-26T00:00:00" u="1"/>
        <d v="2024-02-02T00:00:00" u="1"/>
        <d v="2024-02-05T00:00:00" u="1"/>
        <d v="2024-01-19T00:00:00" u="1"/>
        <d v="2024-01-29T00:00:00" u="1"/>
        <d v="2024-01-30T00:00:00" u="1"/>
        <d v="2024-01-31T00:00:00" u="1"/>
        <d v="2024-02-14T00:00:00" u="1"/>
        <d v="2024-02-15T00:00:00" u="1"/>
        <d v="2024-01-18T00:00:00" u="1"/>
        <d v="2024-01-12T00:00:00" u="1"/>
        <d v="2024-01-22T00:00:00" u="1"/>
        <d v="2024-01-23T00:00:00" u="1"/>
        <d v="2024-01-24T00:00:00" u="1"/>
        <d v="2023-12-12T00:00:00" u="1"/>
        <d v="2023-12-13T00:00:00" u="1"/>
        <d v="2023-12-15T00:00:00" u="1"/>
        <d v="2023-12-19T00:00:00" u="1"/>
        <d v="2024-01-17T00:00:00" u="1"/>
        <d v="2023-12-18T00:00:00" u="1"/>
        <d v="2023-12-21T00:00:00" u="1"/>
        <d v="2024-03-07T00:00:00" u="1"/>
        <d v="2023-12-20T00:00:00" u="1"/>
        <d v="2024-01-25T00:00:00" u="1"/>
        <d v="2023-11-30T00:00:00" u="1"/>
        <d v="2023-12-01T00:00:00" u="1"/>
        <d v="2023-12-05T00:00:00" u="1"/>
        <d v="2023-12-06T00:00:00" u="1"/>
        <d v="2024-03-01T00:00:00" u="1"/>
        <d v="2023-11-23T00:00:00" u="1"/>
        <d v="2023-11-24T00:00:00" u="1"/>
        <d v="2023-11-28T00:00:00" u="1"/>
        <d v="2023-12-11T00:00:00" u="1"/>
        <d v="2023-12-08T00:00:00" u="1"/>
        <d v="2023-11-10T00:00:00" u="1"/>
        <d v="2023-11-13T00:00:00" u="1"/>
        <d v="2023-11-15T00:00:00" u="1"/>
        <d v="2023-11-27T00:00:00" u="1"/>
        <d v="2023-12-04T00:00:00" u="1"/>
        <d v="2024-01-16T00:00:00" u="1"/>
        <d v="2024-02-27T00:00:00" u="1"/>
        <d v="2024-03-14T00:00:00" u="1"/>
        <d v="2024-06-12T00:00:00" u="1"/>
        <d v="2024-06-13T00:00:00" u="1"/>
        <d v="2024-07-12T00:00:00" u="1"/>
        <d v="2024-08-07T00:00:00" u="1"/>
        <d v="2024-08-29T00:00:00" u="1"/>
        <d v="2023-11-07T00:00:00" u="1"/>
        <d v="2023-11-08T00:00:00" u="1"/>
        <d v="2023-11-22T00:00:00" u="1"/>
        <d v="2023-11-29T00:00:00" u="1"/>
        <d v="2024-01-11T00:00:00" u="1"/>
        <d v="2024-02-21T00:00:00" u="1"/>
        <d v="2024-02-22T00:00:00" u="1"/>
        <d v="2023-11-06T00:00:00" u="1"/>
        <d v="2023-11-09T00:00:00" u="1"/>
        <d v="2023-11-21T00:00:00" u="1"/>
        <d v="2024-01-10T00:00:00" u="1"/>
        <d v="2024-01-15T00:00:00" u="1"/>
        <d v="2023-11-17T00:00:00" u="1"/>
        <d v="2024-03-13T00:00:00" u="1"/>
        <d v="2024-04-25T00:00:00" u="1"/>
        <d v="2024-05-03T00:00:00" u="1"/>
        <d v="2023-10-18T00:00:00" u="1"/>
        <d v="2023-10-20T00:00:00" u="1"/>
        <d v="2023-11-03T00:00:00" u="1"/>
        <d v="2023-11-20T00:00:00" u="1"/>
        <d v="2024-01-05T00:00:00" u="1"/>
        <d v="2023-10-16T00:00:00" u="1"/>
        <d v="2023-09-18T00:00:00" u="1"/>
        <d v="2023-09-20T00:00:00" u="1"/>
        <d v="2023-09-28T00:00:00" u="1"/>
        <d v="2023-09-29T00:00:00" u="1"/>
        <d v="2023-10-04T00:00:00" u="1"/>
        <d v="2023-10-25T00:00:00" u="1"/>
        <d v="2023-10-31T00:00:00" u="1"/>
        <d v="2023-11-16T00:00:00" u="1"/>
        <d v="2023-09-21T00:00:00" u="1"/>
        <d v="2023-10-05T00:00:00" u="1"/>
        <d v="2023-10-06T00:00:00" u="1"/>
        <d v="2023-10-13T00:00:00" u="1"/>
        <d v="2023-11-14T00:00:00" u="1"/>
        <d v="2023-09-11T00:00:00" u="1"/>
        <d v="2023-09-14T00:00:00" u="1"/>
        <d v="2023-10-02T00:00:00" u="1"/>
        <d v="2023-09-13T00:00:00" u="1"/>
        <d v="2023-09-22T00:00:00" u="1"/>
        <d v="2023-09-26T00:00:00" u="1"/>
        <d v="2023-10-27T00:00:00" u="1"/>
        <d v="2023-11-01T00:00:00" u="1"/>
        <d v="2024-01-08T00:00:00" u="1"/>
        <d v="2023-09-15T00:00:00" u="1"/>
        <d v="2023-09-08T00:00:00" u="1"/>
        <d v="2023-09-12T00:00:00" u="1"/>
        <d v="2023-09-19T00:00:00" u="1"/>
        <d v="2023-12-14T00:00:00" u="1"/>
        <d v="2023-09-07T00:00:00" u="1"/>
        <d v="2023-09-27T00:00:00" u="1"/>
        <d v="2023-10-30T00:00:00" u="1"/>
        <d v="2023-12-22T00:00:00" u="1"/>
        <d v="2023-11-02T00:00:00" u="1"/>
        <d v="2023-08-24T00:00:00" u="1"/>
        <d v="2023-08-28T00:00:00" u="1"/>
        <d v="2023-08-30T00:00:00" u="1"/>
        <d v="2023-09-05T00:00:00" u="1"/>
        <d v="2023-10-11T00:00:00" u="1"/>
        <d v="2021-09-01T00:00:00" u="1"/>
        <d v="2021-12-23T00:00:00" u="1"/>
        <d v="2022-02-23T00:00:00" u="1"/>
        <d v="2023-08-22T00:00:00" u="1"/>
        <d v="2021-10-06T00:00:00" u="1"/>
        <d v="2021-11-11T00:00:00" u="1"/>
        <d v="2022-01-11T00:00:00" u="1"/>
        <d v="2022-03-02T00:00:00" u="1"/>
        <d v="2021-10-25T00:00:00" u="1"/>
        <d v="2021-12-16T00:00:00" u="1"/>
        <d v="2022-02-16T00:00:00" u="1"/>
        <d v="2023-08-15T00:00:00" u="1"/>
        <d v="2021-11-30T00:00:00" u="1"/>
        <d v="2021-09-13T00:00:00" u="1"/>
        <d v="2021-11-04T00:00:00" u="1"/>
        <d v="2021-08-27T00:00:00" u="1"/>
        <d v="2021-10-18T00:00:00" u="1"/>
        <d v="2021-12-09T00:00:00" u="1"/>
        <d v="2022-02-09T00:00:00" u="1"/>
        <d v="2023-08-08T00:00:00" u="1"/>
        <d v="2024-01-04T00:00:00" u="1"/>
        <d v="2021-07-15T00:00:00" u="1"/>
        <d v="2022-02-28T00:00:00" u="1"/>
        <d v="2021-06-29T00:00:00" u="1"/>
        <d v="2021-12-02T00:00:00" u="1"/>
        <d v="2022-02-02T00:00:00" u="1"/>
        <d v="2021-11-16T00:00:00" u="1"/>
        <d v="2022-03-07T00:00:00" u="1"/>
        <d v="2023-09-06T00:00:00" u="1"/>
        <d v="2021-12-21T00:00:00" u="1"/>
        <d v="2022-02-21T00:00:00" u="1"/>
        <d v="2023-09-25T00:00:00" u="1"/>
        <d v="2021-11-09T00:00:00" u="1"/>
        <d v="2021-12-14T00:00:00" u="1"/>
        <d v="2022-02-14T00:00:00" u="1"/>
        <d v="2022-01-28T00:00:00" u="1"/>
        <d v="2023-07-27T00:00:00" u="1"/>
        <d v="2021-11-02T00:00:00" u="1"/>
        <d v="2023-10-23T00:00:00" u="1"/>
        <d v="2021-08-25T00:00:00" u="1"/>
        <d v="2021-12-07T00:00:00" u="1"/>
        <d v="2022-01-21T00:00:00" u="1"/>
        <d v="2023-07-20T00:00:00" u="1"/>
        <d v="2021-07-13T00:00:00" u="1"/>
        <d v="2023-08-25T00:00:00" u="1"/>
        <d v="2023-12-07T00:00:00" u="1"/>
        <d v="2022-01-14T00:00:00" u="1"/>
        <d v="2023-09-04T00:00:00" u="1"/>
        <d v="2021-07-06T00:00:00" u="1"/>
        <d v="2021-10-28T00:00:00" u="1"/>
        <d v="2023-08-18T00:00:00" u="1"/>
        <d v="2021-09-16T00:00:00" u="1"/>
        <d v="2022-01-07T00:00:00" u="1"/>
        <d v="2021-08-30T00:00:00" u="1"/>
        <d v="2021-10-21T00:00:00" u="1"/>
        <d v="2023-08-11T00:00:00" u="1"/>
        <d v="2021-08-04T00:00:00" u="1"/>
        <d v="2021-11-26T00:00:00" u="1"/>
        <d v="2022-01-26T00:00:00" u="1"/>
        <d v="2021-08-23T00:00:00" u="1"/>
        <d v="2021-11-19T00:00:00" u="1"/>
        <d v="2022-01-19T00:00:00" u="1"/>
        <d v="2022-03-10T00:00:00" u="1"/>
        <d v="2023-07-18T00:00:00" u="1"/>
        <d v="2021-09-02T00:00:00" u="1"/>
        <d v="2022-02-24T00:00:00" u="1"/>
        <d v="2023-08-23T00:00:00" u="1"/>
        <d v="2021-10-07T00:00:00" u="1"/>
        <d v="2021-11-12T00:00:00" u="1"/>
        <d v="2022-01-12T00:00:00" u="1"/>
        <d v="2022-03-03T00:00:00" u="1"/>
        <d v="2021-10-26T00:00:00" u="1"/>
        <d v="2021-12-17T00:00:00" u="1"/>
        <d v="2022-02-17T00:00:00" u="1"/>
        <d v="2023-08-16T00:00:00" u="1"/>
        <d v="2022-01-31T00:00:00" u="1"/>
        <d v="2021-09-14T00:00:00" u="1"/>
        <d v="2021-11-05T00:00:00" u="1"/>
        <d v="2022-01-05T00:00:00" u="1"/>
        <d v="2023-10-26T00:00:00" u="1"/>
        <d v="2021-10-19T00:00:00" u="1"/>
        <d v="2021-12-10T00:00:00" u="1"/>
        <d v="2022-02-10T00:00:00" u="1"/>
        <d v="2022-01-24T00:00:00" u="1"/>
        <d v="2021-07-16T00:00:00" u="1"/>
        <d v="2021-09-07T00:00:00" u="1"/>
        <d v="2023-10-19T00:00:00" u="1"/>
        <d v="2022-02-03T00:00:00" u="1"/>
        <d v="2021-11-17T00:00:00" u="1"/>
        <d v="2022-01-17T00:00:00" u="1"/>
        <d v="2022-03-08T00:00:00" u="1"/>
        <d v="2021-07-09T00:00:00" u="1"/>
        <d v="2021-12-22T00:00:00" u="1"/>
        <d v="2022-02-22T00:00:00" u="1"/>
        <d v="2023-08-21T00:00:00" u="1"/>
        <d v="2023-10-12T00:00:00" u="1"/>
        <e v="#N/A" u="1"/>
        <d v="2021-11-10T00:00:00" u="1"/>
        <d v="2022-01-10T00:00:00" u="1"/>
        <d v="2022-03-01T00:00:00" u="1"/>
        <d v="2021-12-15T00:00:00" u="1"/>
        <d v="2022-02-15T00:00:00" u="1"/>
        <d v="2023-08-14T00:00:00" u="1"/>
        <d v="2023-07-28T00:00:00" u="1"/>
        <d v="2021-11-03T00:00:00" u="1"/>
        <d v="2023-10-24T00:00:00" u="1"/>
        <d v="2021-08-26T00:00:00" u="1"/>
        <d v="2021-12-08T00:00:00" u="1"/>
        <d v="2022-02-08T00:00:00" u="1"/>
        <d v="2023-08-07T00:00:00" u="1"/>
        <n v="41" u="1"/>
        <d v="2023-07-21T00:00:00" u="1"/>
        <d v="2021-07-14T00:00:00" u="1"/>
        <d v="2023-10-17T00:00:00" u="1"/>
        <d v="2021-06-28T00:00:00" u="1"/>
        <d v="2021-12-01T00:00:00" u="1"/>
        <d v="2022-02-01T00:00:00" u="1"/>
        <d v="2021-11-15T00:00:00" u="1"/>
        <d v="2021-07-07T00:00:00" u="1"/>
        <d v="2021-10-29T00:00:00" u="1"/>
        <d v="2021-12-20T00:00:00" u="1"/>
        <d v="2021-11-08T00:00:00" u="1"/>
        <d v="2021-08-31T00:00:00" u="1"/>
        <d v="2021-10-22T00:00:00" u="1"/>
        <d v="2021-12-13T00:00:00" u="1"/>
        <d v="2023-10-03T00:00:00" u="1"/>
        <d v="2021-08-05T00:00:00" u="1"/>
        <d v="2022-01-27T00:00:00" u="1"/>
        <d v="2021-11-01T00:00:00" u="1"/>
        <d v="2023-08-31T00:00:00" u="1"/>
        <d v="2021-08-24T00:00:00" u="1"/>
        <d v="2021-12-06T00:00:00" u="1"/>
        <d v="2022-01-20T00:00:00" u="1"/>
        <d v="2023-07-19T00:00:00" u="1"/>
        <d v="2024-01-01T00:00:00" u="1"/>
        <d v="2021-09-03T00:00:00" u="1"/>
        <d v="2022-02-25T00:00:00" u="1"/>
        <d v="2021-09-22T00:00:00" u="1"/>
        <d v="2022-01-13T00:00:00" u="1"/>
        <d v="2022-03-04T00:00:00" u="1"/>
        <d v="2021-07-05T00:00:00" u="1"/>
        <d v="2021-10-27T00:00:00" u="1"/>
        <d v="2022-02-18T00:00:00" u="1"/>
        <d v="2023-08-17T00:00:00" u="1"/>
        <d v="2021-08-10T00:00:00" u="1"/>
        <d v="2022-01-06T00:00:00" u="1"/>
        <d v="2021-10-20T00:00:00" u="1"/>
        <d v="2022-02-11T00:00:00" u="1"/>
        <d v="2021-08-03T00:00:00" u="1"/>
        <d v="2021-11-25T00:00:00" u="1"/>
        <d v="2023-07-24T00:00:00" u="1"/>
        <d v="2021-09-08T00:00:00" u="1"/>
        <d v="2023-08-29T00:00:00" u="1"/>
        <d v="2022-02-04T00:00:00" u="1"/>
        <d v="2021-11-18T00:00:00" u="1"/>
        <d v="2022-01-18T00:00:00" u="1"/>
        <d v="2022-03-09T00:00:00" u="1"/>
        <d v="2023-07-17T00:00:00" u="1"/>
      </sharedItems>
    </cacheField>
    <cacheField name="PL-" numFmtId="0">
      <sharedItems containsDate="1" containsBlank="1" containsMixedTypes="1" minDate="1899-12-31T01:09:04" maxDate="2025-06-28T00:00:00"/>
    </cacheField>
    <cacheField name="6a15" numFmtId="0">
      <sharedItems containsDate="1" containsBlank="1" containsMixedTypes="1" minDate="1900-01-05T09:09:04" maxDate="2025-08-21T00:00:00"/>
    </cacheField>
    <cacheField name="DIVERS" numFmtId="0">
      <sharedItems containsDate="1" containsBlank="1" containsMixedTypes="1" minDate="1899-12-31T01:10:04" maxDate="2025-04-05T00:00:00"/>
    </cacheField>
    <cacheField name="SOUDURE" numFmtId="0">
      <sharedItems containsDate="1" containsBlank="1" containsMixedTypes="1" minDate="1900-01-05T09:10:04" maxDate="2025-08-19T00:00:00"/>
    </cacheField>
    <cacheField name="RADIAL (WF + C)2" numFmtId="0">
      <sharedItems containsDate="1" containsBlank="1" containsMixedTypes="1" minDate="1899-12-31T01:11:04" maxDate="2023-12-12T00:00:00" count="273">
        <s v="DATE FIN"/>
        <n v="44"/>
        <m/>
        <s v=" "/>
        <d v="2025-03-26T00:00:00"/>
        <d v="2025-04-02T00:00:00"/>
        <d v="2025-04-03T00:00:00"/>
        <d v="2025-06-06T00:00:00"/>
        <d v="2025-06-09T00:00:00"/>
        <d v="2025-06-23T00:00:00"/>
        <d v="2025-07-03T00:00:00"/>
        <d v="2025-03-25T00:00:00" u="1"/>
        <d v="2025-04-01T00:00:00" u="1"/>
        <d v="2025-06-05T00:00:00" u="1"/>
        <d v="2025-06-20T00:00:00" u="1"/>
        <d v="2025-07-02T00:00:00" u="1"/>
        <d v="2025-03-21T00:00:00" u="1"/>
        <d v="2025-03-28T00:00:00" u="1"/>
        <d v="2025-06-03T00:00:00" u="1"/>
        <d v="2025-06-04T00:00:00" u="1"/>
        <d v="2025-06-18T00:00:00" u="1"/>
        <d v="2025-06-27T00:00:00" u="1"/>
        <d v="2025-04-07T00:00:00" u="1"/>
        <d v="2025-09-09T00:00:00" u="1"/>
        <d v="2025-09-11T00:00:00" u="1"/>
        <d v="2025-10-10T00:00:00" u="1"/>
        <d v="2025-10-28T00:00:00" u="1"/>
        <d v="2025-08-26T00:00:00" u="1"/>
        <d v="2025-08-28T00:00:00" u="1"/>
        <d v="2025-09-15T00:00:00" u="1"/>
        <d v="2025-09-16T00:00:00" u="1"/>
        <d v="2025-09-12T00:00:00" u="1"/>
        <d v="2025-02-05T00:00:00" u="1"/>
        <d v="2025-03-11T00:00:00" u="1"/>
        <d v="2025-08-15T00:00:00" u="1"/>
        <d v="2025-08-19T00:00:00" u="1"/>
        <d v="2025-02-21T00:00:00" u="1"/>
        <d v="2025-04-30T00:00:00" u="1"/>
        <d v="2025-05-01T00:00:00" u="1"/>
        <d v="2024-11-11T00:00:00" u="1"/>
        <d v="2024-11-13T00:00:00" u="1"/>
        <d v="2024-12-09T00:00:00" u="1"/>
        <d v="2025-04-25T00:00:00" u="1"/>
        <d v="2025-04-28T00:00:00" u="1"/>
        <d v="2024-10-23T00:00:00" u="1"/>
        <d v="2024-12-06T00:00:00" u="1"/>
        <d v="2024-12-11T00:00:00" u="1"/>
        <d v="2025-01-20T00:00:00" u="1"/>
        <d v="2025-05-23T00:00:00" u="1"/>
        <d v="2024-11-14T00:00:00" u="1"/>
        <d v="2024-11-15T00:00:00" u="1"/>
        <d v="2024-11-28T00:00:00" u="1"/>
        <d v="2025-02-13T00:00:00" u="1"/>
        <d v="2024-10-07T00:00:00" u="1"/>
        <d v="2024-12-10T00:00:00" u="1"/>
        <d v="2024-12-12T00:00:00" u="1"/>
        <d v="2025-01-21T00:00:00" u="1"/>
        <d v="2025-05-26T00:00:00" u="1"/>
        <d v="2025-07-07T00:00:00" u="1"/>
        <d v="2024-11-06T00:00:00" u="1"/>
        <d v="2024-11-07T00:00:00" u="1"/>
        <d v="2024-11-08T00:00:00" u="1"/>
        <d v="2024-11-21T00:00:00" u="1"/>
        <d v="2025-02-06T00:00:00" u="1"/>
        <d v="2025-02-19T00:00:00" u="1"/>
        <d v="2025-02-26T00:00:00" u="1"/>
        <d v="2024-09-24T00:00:00" u="1"/>
        <d v="2024-11-26T00:00:00" u="1"/>
        <d v="2024-11-29T00:00:00" u="1"/>
        <d v="2025-01-08T00:00:00" u="1"/>
        <d v="2025-05-13T00:00:00" u="1"/>
        <d v="2024-09-20T00:00:00" u="1"/>
        <d v="2024-11-22T00:00:00" u="1"/>
        <d v="2024-11-27T00:00:00" u="1"/>
        <d v="2025-01-06T00:00:00" u="1"/>
        <d v="2025-05-09T00:00:00" u="1"/>
        <d v="2024-09-17T00:00:00" u="1"/>
        <d v="2024-11-19T00:00:00" u="1"/>
        <d v="2024-12-16T00:00:00" u="1"/>
        <d v="2025-05-02T00:00:00" u="1"/>
        <d v="2025-05-29T00:00:00" u="1"/>
        <d v="2024-10-18T00:00:00" u="1"/>
        <d v="2024-10-31T00:00:00" u="1"/>
        <d v="2025-01-16T00:00:00" u="1"/>
        <d v="2025-01-29T00:00:00" u="1"/>
        <d v="2024-09-09T00:00:00" u="1"/>
        <d v="2024-11-20T00:00:00" u="1"/>
        <d v="2024-12-17T00:00:00" u="1"/>
        <d v="2024-09-06T00:00:00" u="1"/>
        <d v="2024-11-18T00:00:00" u="1"/>
        <d v="2025-05-28T00:00:00" u="1"/>
        <d v="2024-09-05T00:00:00" u="1"/>
        <d v="2024-12-13T00:00:00" u="1"/>
        <d v="2025-05-27T00:00:00" u="1"/>
        <d v="2024-10-10T00:00:00" u="1"/>
        <d v="2024-10-25T00:00:00" u="1"/>
        <d v="2025-01-09T00:00:00" u="1"/>
        <d v="2025-01-22T00:00:00" u="1"/>
        <d v="2024-08-28T00:00:00" u="1"/>
        <d v="2024-10-03T00:00:00" u="1"/>
        <d v="2024-12-19T00:00:00" u="1"/>
        <d v="2025-01-15T00:00:00" u="1"/>
        <d v="2024-08-27T00:00:00" u="1"/>
        <d v="2024-10-02T00:00:00" u="1"/>
        <d v="2024-10-17T00:00:00" u="1"/>
        <d v="2024-12-18T00:00:00" u="1"/>
        <d v="2025-01-14T00:00:00" u="1"/>
        <d v="2024-08-22T00:00:00" u="1"/>
        <d v="2024-09-30T00:00:00" u="1"/>
        <d v="2024-10-11T00:00:00" u="1"/>
        <d v="2025-01-10T00:00:00" u="1"/>
        <d v="2024-08-19T00:00:00" u="1"/>
        <d v="2024-09-25T00:00:00" u="1"/>
        <d v="2024-10-08T00:00:00" u="1"/>
        <d v="2024-08-16T00:00:00" u="1"/>
        <d v="2024-11-01T00:00:00" u="1"/>
        <d v="2024-11-05T00:00:00" u="1"/>
        <d v="2025-04-17T00:00:00" u="1"/>
        <d v="2024-08-15T00:00:00" u="1"/>
        <d v="2024-10-30T00:00:00" u="1"/>
        <d v="2024-11-04T00:00:00" u="1"/>
        <d v="2025-04-16T00:00:00" u="1"/>
        <d v="2024-10-29T00:00:00" u="1"/>
        <d v="2024-08-14T00:00:00" u="1"/>
        <d v="2024-10-28T00:00:00" u="1"/>
        <d v="2025-04-14T00:00:00" u="1"/>
        <d v="2024-10-24T00:00:00" u="1"/>
        <d v="2025-04-09T00:00:00" u="1"/>
        <d v="2025-04-04T00:00:00" u="1"/>
        <d v="2024-07-05T00:00:00" u="1"/>
        <d v="2025-05-20T00:00:00" u="1"/>
        <d v="2025-09-05T00:00:00" u="1"/>
        <d v="2025-10-22T00:00:00" u="1"/>
        <d v="2026-01-06T00:00:00" u="1"/>
        <d v="2026-01-12T00:00:00" u="1"/>
        <d v="2024-09-03T00:00:00" u="1"/>
        <d v="2024-10-15T00:00:00" u="1"/>
        <d v="2025-02-11T00:00:00" u="1"/>
        <d v="2025-03-05T00:00:00" u="1"/>
        <d v="2025-04-08T00:00:00" u="1"/>
        <d v="2024-06-18T00:00:00" u="1"/>
        <d v="2024-08-30T00:00:00" u="1"/>
        <d v="2024-09-10T00:00:00" u="1"/>
        <d v="2024-09-27T00:00:00" u="1"/>
        <d v="2024-12-02T00:00:00" u="1"/>
        <d v="2025-01-27T00:00:00" u="1"/>
        <d v="2025-02-18T00:00:00" u="1"/>
        <d v="2025-03-20T00:00:00" u="1"/>
        <d v="2025-03-24T00:00:00" u="1"/>
        <d v="2025-01-07T00:00:00" u="1"/>
        <d v="2025-01-30T00:00:00" u="1"/>
        <d v="2025-03-03T00:00:00" u="1"/>
        <d v="2024-06-19T00:00:00" u="1"/>
        <d v="2024-08-20T00:00:00" u="1"/>
        <d v="2024-09-11T00:00:00" u="1"/>
        <d v="2025-01-31T00:00:00" u="1"/>
        <d v="2025-03-06T00:00:00" u="1"/>
        <d v="2024-06-10T00:00:00" u="1"/>
        <d v="2024-07-19T00:00:00" u="1"/>
        <d v="2024-08-23T00:00:00" u="1"/>
        <d v="2024-06-12T00:00:00" u="1"/>
        <d v="2024-09-12T00:00:00" u="1"/>
        <d v="2024-06-07T00:00:00" u="1"/>
        <d v="2024-05-10T00:00:00" u="1"/>
        <d v="2024-06-11T00:00:00" u="1"/>
        <d v="2024-10-22T00:00:00" u="1"/>
        <d v="2024-08-13T00:00:00" u="1"/>
        <d v="2024-04-10T00:00:00" u="1"/>
        <d v="2024-04-22T00:00:00" u="1"/>
        <d v="2024-07-10T00:00:00" u="1"/>
        <d v="2024-04-09T00:00:00" u="1"/>
        <d v="2024-04-17T00:00:00" u="1"/>
        <d v="2024-04-05T00:00:00" u="1"/>
        <d v="2024-04-15T00:00:00" u="1"/>
        <d v="2024-03-28T00:00:00" u="1"/>
        <d v="2024-04-04T00:00:00" u="1"/>
        <d v="2024-04-12T00:00:00" u="1"/>
        <d v="2024-04-03T00:00:00" u="1"/>
        <d v="2024-05-01T00:00:00" u="1"/>
        <d v="2024-05-07T00:00:00" u="1"/>
        <d v="2024-04-11T00:00:00" u="1"/>
        <d v="2024-05-15T00:00:00" u="1"/>
        <d v="2024-05-28T00:00:00" u="1"/>
        <d v="2024-02-23T00:00:00" u="1"/>
        <d v="2024-02-27T00:00:00" u="1"/>
        <d v="2024-05-03T00:00:00" u="1"/>
        <d v="2024-05-16T00:00:00" u="1"/>
        <d v="2024-03-08T00:00:00" u="1"/>
        <d v="2024-02-01T00:00:00" u="1"/>
        <d v="2024-02-12T00:00:00" u="1"/>
        <d v="2024-02-13T00:00:00" u="1"/>
        <d v="2024-01-26T00:00:00" u="1"/>
        <d v="2024-02-06T00:00:00" u="1"/>
        <d v="2024-02-07T00:00:00" u="1"/>
        <d v="2024-02-19T00:00:00" u="1"/>
        <d v="2024-01-19T00:00:00" u="1"/>
        <d v="2024-01-30T00:00:00" u="1"/>
        <d v="2024-01-31T00:00:00" u="1"/>
        <d v="2024-01-18T00:00:00" u="1"/>
        <d v="2024-01-29T00:00:00" u="1"/>
        <d v="2024-02-09T00:00:00" u="1"/>
        <d v="2024-01-12T00:00:00" u="1"/>
        <d v="2024-01-23T00:00:00" u="1"/>
        <d v="2024-01-24T00:00:00" u="1"/>
        <d v="2024-02-05T00:00:00" u="1"/>
        <d v="2023-12-12T00:00:00" u="1"/>
        <d v="2023-12-21T00:00:00" u="1"/>
        <d v="2024-01-15T00:00:00" u="1"/>
        <d v="2024-02-02T00:00:00" u="1"/>
        <d v="2024-02-15T00:00:00" u="1"/>
        <d v="2023-11-30T00:00:00" u="1"/>
        <d v="2023-11-23T00:00:00" u="1"/>
        <d v="2024-01-17T00:00:00" u="1"/>
        <d v="2023-12-06T00:00:00" u="1"/>
        <d v="2023-11-10T00:00:00" u="1"/>
        <d v="2023-12-22T00:00:00" u="1"/>
        <d v="2024-01-05T00:00:00" u="1"/>
        <d v="2024-01-08T00:00:00" u="1"/>
        <d v="2024-01-11T00:00:00" u="1"/>
        <d v="2024-01-16T00:00:00" u="1"/>
        <d v="2023-11-07T00:00:00" u="1"/>
        <d v="2023-12-19T00:00:00" u="1"/>
        <d v="2023-11-06T00:00:00" u="1"/>
        <d v="2023-12-18T00:00:00" u="1"/>
        <d v="2023-10-18T00:00:00" u="1"/>
        <d v="2023-10-19T00:00:00" u="1"/>
        <d v="2023-10-16T00:00:00" u="1"/>
        <d v="2023-10-17T00:00:00" u="1"/>
        <d v="2023-09-18T00:00:00" u="1"/>
        <d v="2023-09-11T00:00:00" u="1"/>
        <d v="2023-09-08T00:00:00" u="1"/>
        <d v="2023-09-07T00:00:00" u="1"/>
        <d v="2023-08-24T00:00:00" u="1"/>
        <d v="2021-12-23T00:00:00" u="1"/>
        <d v="2023-09-20T00:00:00" u="1"/>
        <d v="2023-09-13T00:00:00" u="1"/>
        <d v="2021-07-15T00:00:00" u="1"/>
        <d v="2021-06-29T00:00:00" u="1"/>
        <d v="2021-12-21T00:00:00" u="1"/>
        <d v="2022-01-28T00:00:00" u="1"/>
        <d v="2022-01-21T00:00:00" u="1"/>
        <d v="2023-07-20T00:00:00" u="1"/>
        <d v="2024-01-02T00:00:00" u="1"/>
        <d v="2021-07-13T00:00:00" u="1"/>
        <d v="2023-12-07T00:00:00" u="1"/>
        <d v="2022-01-07T00:00:00" u="1"/>
        <d v="2021-10-21T00:00:00" u="1"/>
        <d v="2022-01-26T00:00:00" u="1"/>
        <d v="2023-07-18T00:00:00" u="1"/>
        <d v="2023-12-05T00:00:00" u="1"/>
        <d v="2022-01-12T00:00:00" u="1"/>
        <d v="2021-12-17T00:00:00" u="1"/>
        <d v="2022-01-24T00:00:00" u="1"/>
        <d v="2023-09-14T00:00:00" u="1"/>
        <d v="2023-12-29T00:00:00" u="1"/>
        <d v="2021-07-09T00:00:00" u="1"/>
        <e v="#N/A" u="1"/>
        <d v="2021-11-03T00:00:00" u="1"/>
        <d v="2021-12-08T00:00:00" u="1"/>
        <d v="2023-08-07T00:00:00" u="1"/>
        <d v="2024-01-03T00:00:00" u="1"/>
        <d v="2023-12-08T00:00:00" u="1"/>
        <d v="2023-12-27T00:00:00" u="1"/>
        <n v="47" u="1"/>
        <d v="2021-11-01T00:00:00" u="1"/>
        <d v="2022-01-20T00:00:00" u="1"/>
        <d v="2023-07-19T00:00:00" u="1"/>
        <d v="2021-07-12T00:00:00" u="1"/>
        <d v="2022-01-13T00:00:00" u="1"/>
        <d v="2023-09-15T00:00:00" u="1"/>
        <d v="2023-12-11T00:00:00" u="1"/>
        <d v="2022-01-18T00:00:00" u="1"/>
        <d v="2023-07-17T00:00:00" u="1"/>
      </sharedItems>
    </cacheField>
    <cacheField name="LS2" numFmtId="0">
      <sharedItems containsDate="1" containsBlank="1" containsMixedTypes="1" minDate="1900-01-05T09:11:04" maxDate="2024-05-28T00:00:00" count="562">
        <s v="DATE FIN"/>
        <n v="45"/>
        <m/>
        <s v=" "/>
        <d v="2025-03-28T00:00:00"/>
        <d v="2025-04-04T00:00:00"/>
        <d v="2025-04-10T00:00:00"/>
        <d v="2025-04-16T00:00:00"/>
        <d v="2025-04-17T00:00:00"/>
        <d v="2025-04-21T00:00:00"/>
        <d v="2025-04-24T00:00:00"/>
        <d v="2025-05-07T00:00:00"/>
        <d v="2025-05-08T00:00:00"/>
        <d v="2025-05-28T00:00:00"/>
        <d v="2025-05-29T00:00:00"/>
        <d v="2025-06-06T00:00:00"/>
        <d v="2025-06-11T00:00:00"/>
        <d v="2025-06-23T00:00:00"/>
        <d v="2025-03-27T00:00:00" u="1"/>
        <d v="2025-04-03T00:00:00" u="1"/>
        <d v="2025-04-09T00:00:00" u="1"/>
        <d v="2025-04-15T00:00:00" u="1"/>
        <d v="2025-04-18T00:00:00" u="1"/>
        <d v="2025-04-23T00:00:00" u="1"/>
        <d v="2025-05-06T00:00:00" u="1"/>
        <d v="2025-05-27T00:00:00" u="1"/>
        <d v="2025-06-05T00:00:00" u="1"/>
        <d v="2025-06-10T00:00:00" u="1"/>
        <d v="2025-06-20T00:00:00" u="1"/>
        <d v="2025-04-29T00:00:00" u="1"/>
        <d v="2025-04-30T00:00:00" u="1"/>
        <d v="2025-05-20T00:00:00" u="1"/>
        <d v="2025-05-21T00:00:00" u="1"/>
        <d v="2025-04-28T00:00:00" u="1"/>
        <d v="2025-05-19T00:00:00" u="1"/>
        <d v="2025-03-25T00:00:00" u="1"/>
        <d v="2025-04-01T00:00:00" u="1"/>
        <d v="2025-04-07T00:00:00" u="1"/>
        <d v="2025-04-11T00:00:00" u="1"/>
        <d v="2025-04-14T00:00:00" u="1"/>
        <d v="2025-04-25T00:00:00" u="1"/>
        <d v="2025-05-15T00:00:00" u="1"/>
        <d v="2025-05-16T00:00:00" u="1"/>
        <d v="2025-05-26T00:00:00" u="1"/>
        <d v="2025-06-03T00:00:00" u="1"/>
        <d v="2025-06-18T00:00:00" u="1"/>
        <d v="2025-03-06T00:00:00" u="1"/>
        <d v="2025-03-07T00:00:00" u="1"/>
        <d v="2025-03-11T00:00:00" u="1"/>
        <d v="2025-03-18T00:00:00" u="1"/>
        <d v="2025-03-19T00:00:00" u="1"/>
        <d v="2025-03-20T00:00:00" u="1"/>
        <d v="2025-04-08T00:00:00" u="1"/>
        <d v="2025-05-01T00:00:00" u="1"/>
        <d v="2025-05-02T00:00:00" u="1"/>
        <d v="2025-05-05T00:00:00" u="1"/>
        <d v="2025-03-05T00:00:00" u="1"/>
        <d v="2025-03-12T00:00:00" u="1"/>
        <d v="2025-03-21T00:00:00" u="1"/>
        <d v="2025-05-13T00:00:00" u="1"/>
        <d v="2025-03-24T00:00:00" u="1"/>
        <d v="2025-03-31T00:00:00" u="1"/>
        <d v="2025-02-05T00:00:00" u="1"/>
        <d v="2025-02-10T00:00:00" u="1"/>
        <d v="2025-02-11T00:00:00" u="1"/>
        <d v="2025-02-12T00:00:00" u="1"/>
        <d v="2025-02-18T00:00:00" u="1"/>
        <d v="2025-02-26T00:00:00" u="1"/>
        <d v="2025-02-27T00:00:00" u="1"/>
        <d v="2025-02-28T00:00:00" u="1"/>
        <d v="2025-03-03T00:00:00" u="1"/>
        <d v="2025-03-10T00:00:00" u="1"/>
        <d v="2025-03-26T00:00:00" u="1"/>
        <d v="2025-04-02T00:00:00" u="1"/>
        <d v="2025-03-14T00:00:00" u="1"/>
        <d v="2025-02-06T00:00:00" u="1"/>
        <d v="2025-02-13T00:00:00" u="1"/>
        <d v="2025-02-17T00:00:00" u="1"/>
        <d v="2025-02-19T00:00:00" u="1"/>
        <d v="2025-02-07T00:00:00" u="1"/>
        <d v="2025-02-20T00:00:00" u="1"/>
        <d v="2025-02-21T00:00:00" u="1"/>
        <d v="2025-02-24T00:00:00" u="1"/>
        <d v="2024-11-13T00:00:00" u="1"/>
        <d v="2024-11-15T00:00:00" u="1"/>
        <d v="2024-11-21T00:00:00" u="1"/>
        <d v="2024-11-22T00:00:00" u="1"/>
        <d v="2024-11-26T00:00:00" u="1"/>
        <d v="2024-11-28T00:00:00" u="1"/>
        <d v="2025-01-28T00:00:00" u="1"/>
        <d v="2025-02-03T00:00:00" u="1"/>
        <d v="2025-02-25T00:00:00" u="1"/>
        <d v="2024-10-25T00:00:00" u="1"/>
        <d v="2024-10-29T00:00:00" u="1"/>
        <d v="2024-11-19T00:00:00" u="1"/>
        <d v="2024-11-20T00:00:00" u="1"/>
        <d v="2024-11-25T00:00:00" u="1"/>
        <d v="2024-11-29T00:00:00" u="1"/>
        <d v="2024-12-03T00:00:00" u="1"/>
        <d v="2025-01-31T00:00:00" u="1"/>
        <d v="2024-10-24T00:00:00" u="1"/>
        <d v="2024-11-05T00:00:00" u="1"/>
        <d v="2024-11-06T00:00:00" u="1"/>
        <d v="2024-11-07T00:00:00" u="1"/>
        <d v="2024-11-11T00:00:00" u="1"/>
        <d v="2024-11-12T00:00:00" u="1"/>
        <d v="2024-12-05T00:00:00" u="1"/>
        <d v="2024-12-06T00:00:00" u="1"/>
        <d v="2024-12-10T00:00:00" u="1"/>
        <d v="2024-10-11T00:00:00" u="1"/>
        <d v="2024-10-16T00:00:00" u="1"/>
        <d v="2024-12-04T00:00:00" u="1"/>
        <d v="2025-02-14T00:00:00" u="1"/>
        <d v="2024-10-15T00:00:00" u="1"/>
        <d v="2024-10-18T00:00:00" u="1"/>
        <d v="2024-12-09T00:00:00" u="1"/>
        <d v="2024-12-11T00:00:00" u="1"/>
        <d v="2024-12-17T00:00:00" u="1"/>
        <d v="2025-01-07T00:00:00" u="1"/>
        <d v="2025-01-10T00:00:00" u="1"/>
        <d v="2025-03-13T00:00:00" u="1"/>
        <d v="2025-07-08T00:00:00" u="1"/>
        <d v="2024-10-09T00:00:00" u="1"/>
        <d v="2024-09-26T00:00:00" u="1"/>
        <d v="2024-10-08T00:00:00" u="1"/>
        <d v="2024-12-16T00:00:00" u="1"/>
        <d v="2024-09-24T00:00:00" u="1"/>
        <d v="2024-10-04T00:00:00" u="1"/>
        <d v="2024-12-12T00:00:00" u="1"/>
        <d v="2025-01-17T00:00:00" u="1"/>
        <d v="2025-01-29T00:00:00" u="1"/>
        <d v="2025-05-14T00:00:00" u="1"/>
        <d v="2024-09-23T00:00:00" u="1"/>
        <d v="2025-01-14T00:00:00" u="1"/>
        <d v="2025-01-24T00:00:00" u="1"/>
        <d v="2024-09-19T00:00:00" u="1"/>
        <d v="2024-11-08T00:00:00" u="1"/>
        <d v="2024-11-14T00:00:00" u="1"/>
        <d v="2025-01-13T00:00:00" u="1"/>
        <d v="2025-01-16T00:00:00" u="1"/>
        <d v="2025-01-22T00:00:00" u="1"/>
        <d v="2024-09-10T00:00:00" u="1"/>
        <d v="2024-09-11T00:00:00" u="1"/>
        <d v="2024-09-17T00:00:00" u="1"/>
        <d v="2024-10-03T00:00:00" u="1"/>
        <d v="2025-01-09T00:00:00" u="1"/>
        <d v="2025-01-20T00:00:00" u="1"/>
        <d v="2025-05-09T00:00:00" u="1"/>
        <d v="2025-06-02T00:00:00" u="1"/>
        <d v="2024-09-09T00:00:00" u="1"/>
        <d v="2024-09-13T00:00:00" u="1"/>
        <d v="2024-09-25T00:00:00" u="1"/>
        <d v="2024-11-27T00:00:00" u="1"/>
        <d v="2024-09-06T00:00:00" u="1"/>
        <d v="2024-09-12T00:00:00" u="1"/>
        <d v="2024-09-05T00:00:00" u="1"/>
        <d v="2024-11-18T00:00:00" u="1"/>
        <d v="2024-08-28T00:00:00" u="1"/>
        <d v="2024-08-30T00:00:00" u="1"/>
        <d v="2024-09-04T00:00:00" u="1"/>
        <d v="2024-09-16T00:00:00" u="1"/>
        <d v="2024-10-30T00:00:00" u="1"/>
        <d v="2025-01-21T00:00:00" u="1"/>
        <d v="2024-08-27T00:00:00" u="1"/>
        <d v="2024-08-29T00:00:00" u="1"/>
        <d v="2024-09-03T00:00:00" u="1"/>
        <d v="2025-01-30T00:00:00" u="1"/>
        <d v="2025-02-04T00:00:00" u="1"/>
        <d v="2024-08-22T00:00:00" u="1"/>
        <d v="2024-08-26T00:00:00" u="1"/>
        <d v="2025-01-27T00:00:00" u="1"/>
        <d v="2024-08-19T00:00:00" u="1"/>
        <d v="2024-08-20T00:00:00" u="1"/>
        <d v="2024-08-23T00:00:00" u="1"/>
        <d v="2024-09-18T00:00:00" u="1"/>
        <d v="2024-10-10T00:00:00" u="1"/>
        <d v="2024-10-17T00:00:00" u="1"/>
        <d v="2024-08-21T00:00:00" u="1"/>
        <d v="2024-08-16T00:00:00" u="1"/>
        <d v="2024-08-15T00:00:00" u="1"/>
        <d v="2024-08-14T00:00:00" u="1"/>
        <d v="2024-11-01T00:00:00" u="1"/>
        <d v="2024-08-12T00:00:00" u="1"/>
        <d v="2024-08-13T00:00:00" u="1"/>
        <d v="2024-10-22T00:00:00" u="1"/>
        <d v="2024-08-06T00:00:00" u="1"/>
        <d v="2024-12-02T00:00:00" u="1"/>
        <d v="2024-07-19T00:00:00" u="1"/>
        <d v="2024-07-05T00:00:00" u="1"/>
        <d v="2024-07-09T00:00:00" u="1"/>
        <d v="2024-07-11T00:00:00" u="1"/>
        <d v="2024-07-18T00:00:00" u="1"/>
        <d v="2025-06-12T00:00:00" u="1"/>
        <d v="2025-06-26T00:00:00" u="1"/>
        <d v="2025-10-22T00:00:00" u="1"/>
        <d v="2025-11-26T00:00:00" u="1"/>
        <d v="2025-11-28T00:00:00" u="1"/>
        <d v="2025-12-03T00:00:00" u="1"/>
        <d v="2024-07-08T00:00:00" u="1"/>
        <d v="2024-09-30T00:00:00" u="1"/>
        <d v="2024-06-18T00:00:00" u="1"/>
        <d v="2024-06-19T00:00:00" u="1"/>
        <d v="2024-06-20T00:00:00" u="1"/>
        <d v="2024-06-21T00:00:00" u="1"/>
        <d v="2024-06-27T00:00:00" u="1"/>
        <d v="2024-12-13T00:00:00" u="1"/>
        <d v="2024-12-20T00:00:00" u="1"/>
        <d v="2024-06-25T00:00:00" u="1"/>
        <d v="2025-05-30T00:00:00" u="1"/>
        <d v="2025-10-09T00:00:00" u="1"/>
        <d v="2025-11-13T00:00:00" u="1"/>
        <d v="2025-11-17T00:00:00" u="1"/>
        <d v="2025-11-20T00:00:00" u="1"/>
        <d v="2025-08-20T00:00:00" u="1"/>
        <d v="2025-09-25T00:00:00" u="1"/>
        <d v="2025-09-29T00:00:00" u="1"/>
        <d v="2025-10-02T00:00:00" u="1"/>
        <d v="2024-06-14T00:00:00" u="1"/>
        <d v="2024-06-17T00:00:00" u="1"/>
        <d v="2024-06-05T00:00:00" u="1"/>
        <d v="2024-06-06T00:00:00" u="1"/>
        <d v="2024-06-11T00:00:00" u="1"/>
        <d v="2024-10-28T00:00:00" u="1"/>
        <d v="2024-06-04T00:00:00" u="1"/>
        <d v="2024-06-07T00:00:00" u="1"/>
        <d v="2024-05-30T00:00:00" u="1"/>
        <d v="2024-05-31T00:00:00" u="1"/>
        <d v="2024-06-03T00:00:00" u="1"/>
        <d v="2024-10-21T00:00:00" u="1"/>
        <d v="2024-05-14T00:00:00" u="1"/>
        <d v="2024-05-23T00:00:00" u="1"/>
        <d v="2024-05-24T00:00:00" u="1"/>
        <d v="2024-05-29T00:00:00" u="1"/>
        <d v="2024-04-23T00:00:00" u="1"/>
        <d v="2024-05-01T00:00:00" u="1"/>
        <d v="2024-05-02T00:00:00" u="1"/>
        <d v="2024-05-07T00:00:00" u="1"/>
        <d v="2024-04-19T00:00:00" u="1"/>
        <d v="2024-04-29T00:00:00" u="1"/>
        <d v="2024-05-16T00:00:00" u="1"/>
        <d v="2024-05-22T00:00:00" u="1"/>
        <d v="2024-03-28T00:00:00" u="1"/>
        <d v="2024-03-29T00:00:00" u="1"/>
        <d v="2024-04-15T00:00:00" u="1"/>
        <d v="2024-04-24T00:00:00" u="1"/>
        <d v="2024-04-25T00:00:00" u="1"/>
        <d v="2024-05-13T00:00:00" u="1"/>
        <d v="2024-05-17T00:00:00" u="1"/>
        <d v="2024-04-02T00:00:00" u="1"/>
        <d v="2024-04-18T00:00:00" u="1"/>
        <d v="2024-05-03T00:00:00" u="1"/>
        <d v="2024-04-09T00:00:00" u="1"/>
        <d v="2024-04-16T00:00:00" u="1"/>
        <d v="2024-04-22T00:00:00" u="1"/>
        <d v="2024-04-03T00:00:00" u="1"/>
        <d v="2024-04-04T00:00:00" u="1"/>
        <d v="2024-04-17T00:00:00" u="1"/>
        <d v="2024-03-11T00:00:00" u="1"/>
        <d v="2024-03-13T00:00:00" u="1"/>
        <d v="2024-03-14T00:00:00" u="1"/>
        <d v="2024-03-25T00:00:00" u="1"/>
        <d v="2024-03-27T00:00:00" u="1"/>
        <d v="2024-03-18T00:00:00" u="1"/>
        <d v="2024-03-21T00:00:00" u="1"/>
        <d v="2024-04-10T00:00:00" u="1"/>
        <d v="2024-02-27T00:00:00" u="1"/>
        <d v="2024-02-28T00:00:00" u="1"/>
        <d v="2024-03-04T00:00:00" u="1"/>
        <d v="2024-02-02T00:00:00" u="1"/>
        <d v="2024-02-09T00:00:00" u="1"/>
        <d v="2024-02-13T00:00:00" u="1"/>
        <d v="2024-02-14T00:00:00" u="1"/>
        <d v="2024-02-22T00:00:00" u="1"/>
        <d v="2024-03-07T00:00:00" u="1"/>
        <d v="2024-02-01T00:00:00" u="1"/>
        <d v="2024-02-06T00:00:00" u="1"/>
        <d v="2024-02-07T00:00:00" u="1"/>
        <d v="2024-02-12T00:00:00" u="1"/>
        <d v="2024-02-19T00:00:00" u="1"/>
        <d v="2024-02-29T00:00:00" u="1"/>
        <d v="2024-03-01T00:00:00" u="1"/>
        <d v="2024-01-29T00:00:00" u="1"/>
        <d v="2024-01-31T00:00:00" u="1"/>
        <d v="2024-01-19T00:00:00" u="1"/>
        <d v="2024-01-24T00:00:00" u="1"/>
        <d v="2024-02-16T00:00:00" u="1"/>
        <d v="2024-02-26T00:00:00" u="1"/>
        <d v="2024-02-21T00:00:00" u="1"/>
        <d v="2024-01-18T00:00:00" u="1"/>
        <d v="2024-01-23T00:00:00" u="1"/>
        <d v="2024-01-26T00:00:00" u="1"/>
        <d v="2024-01-30T00:00:00" u="1"/>
        <d v="2024-02-05T00:00:00" u="1"/>
        <d v="2024-02-20T00:00:00" u="1"/>
        <d v="2024-01-12T00:00:00" u="1"/>
        <d v="2024-01-17T00:00:00" u="1"/>
        <d v="2024-01-22T00:00:00" u="1"/>
        <d v="2024-01-25T00:00:00" u="1"/>
        <d v="2023-12-20T00:00:00" u="1"/>
        <d v="2023-12-21T00:00:00" u="1"/>
        <d v="2023-12-22T00:00:00" u="1"/>
        <d v="2024-01-08T00:00:00" u="1"/>
        <d v="2024-01-15T00:00:00" u="1"/>
        <d v="2024-01-05T00:00:00" u="1"/>
        <d v="2024-01-11T00:00:00" u="1"/>
        <d v="2024-03-22T00:00:00" u="1"/>
        <d v="2023-11-30T00:00:00" u="1"/>
        <d v="2024-01-09T00:00:00" u="1"/>
        <d v="2023-11-28T00:00:00" u="1"/>
        <d v="2023-12-05T00:00:00" u="1"/>
        <d v="2023-12-12T00:00:00" u="1"/>
        <d v="2024-03-06T00:00:00" u="1"/>
        <d v="2023-11-22T00:00:00" u="1"/>
        <d v="2023-11-29T00:00:00" u="1"/>
        <d v="2024-01-16T00:00:00" u="1"/>
        <d v="2024-02-15T00:00:00" u="1"/>
        <d v="2024-04-05T00:00:00" u="1"/>
        <d v="2024-04-12T00:00:00" u="1"/>
        <d v="2024-05-09T00:00:00" u="1"/>
        <d v="2024-06-26T00:00:00" u="1"/>
        <d v="2024-07-04T00:00:00" u="1"/>
        <d v="2024-07-16T00:00:00" u="1"/>
        <d v="2024-10-07T00:00:00" u="1"/>
        <d v="2023-11-17T00:00:00" u="1"/>
        <d v="2023-11-24T00:00:00" u="1"/>
        <d v="2024-02-08T00:00:00" u="1"/>
        <d v="2023-11-16T00:00:00" u="1"/>
        <d v="2023-11-23T00:00:00" u="1"/>
        <d v="2024-01-10T00:00:00" u="1"/>
        <d v="2024-03-26T00:00:00" u="1"/>
        <d v="2023-11-13T00:00:00" u="1"/>
        <d v="2023-12-13T00:00:00" u="1"/>
        <d v="2023-10-18T00:00:00" u="1"/>
        <d v="2023-10-19T00:00:00" u="1"/>
        <d v="2023-11-21T00:00:00" u="1"/>
        <d v="2023-12-15T00:00:00" u="1"/>
        <d v="2023-10-16T00:00:00" u="1"/>
        <d v="2023-11-20T00:00:00" u="1"/>
        <d v="2023-12-04T00:00:00" u="1"/>
        <d v="2023-09-28T00:00:00" u="1"/>
        <d v="2023-10-02T00:00:00" u="1"/>
        <d v="2023-10-04T00:00:00" u="1"/>
        <d v="2023-11-02T00:00:00" u="1"/>
        <d v="2023-12-06T00:00:00" u="1"/>
        <d v="2023-09-26T00:00:00" u="1"/>
        <d v="2023-09-27T00:00:00" u="1"/>
        <d v="2023-09-29T00:00:00" u="1"/>
        <d v="2023-10-23T00:00:00" u="1"/>
        <d v="2023-11-08T00:00:00" u="1"/>
        <d v="2023-11-14T00:00:00" u="1"/>
        <d v="2023-12-07T00:00:00" u="1"/>
        <d v="2023-12-11T00:00:00" u="1"/>
        <d v="2023-12-14T00:00:00" u="1"/>
        <d v="2023-11-15T00:00:00" u="1"/>
        <d v="2023-12-19T00:00:00" u="1"/>
        <d v="2023-09-18T00:00:00" u="1"/>
        <d v="2023-09-20T00:00:00" u="1"/>
        <d v="2023-09-21T00:00:00" u="1"/>
        <d v="2023-10-06T00:00:00" u="1"/>
        <d v="2023-11-06T00:00:00" u="1"/>
        <d v="2023-12-08T00:00:00" u="1"/>
        <d v="2023-10-03T00:00:00" u="1"/>
        <d v="2023-09-19T00:00:00" u="1"/>
        <d v="2023-09-25T00:00:00" u="1"/>
        <d v="2023-10-17T00:00:00" u="1"/>
        <d v="2023-09-15T00:00:00" u="1"/>
        <d v="2023-09-22T00:00:00" u="1"/>
        <d v="2023-10-05T00:00:00" u="1"/>
        <d v="2023-10-11T00:00:00" u="1"/>
        <d v="2023-10-24T00:00:00" u="1"/>
        <d v="2023-11-01T00:00:00" u="1"/>
        <d v="2023-10-25T00:00:00" u="1"/>
        <d v="2021-09-01T00:00:00" u="1"/>
        <d v="2022-02-23T00:00:00" u="1"/>
        <d v="2022-04-14T00:00:00" u="1"/>
        <d v="2023-10-13T00:00:00" u="1"/>
        <d v="2021-10-06T00:00:00" u="1"/>
        <d v="2022-03-28T00:00:00" u="1"/>
        <d v="2022-05-19T00:00:00" u="1"/>
        <d v="2021-09-20T00:00:00" u="1"/>
        <d v="2021-11-11T00:00:00" u="1"/>
        <d v="2022-03-02T00:00:00" u="1"/>
        <d v="2023-09-01T00:00:00" u="1"/>
        <d v="2024-02-23T00:00:00" u="1"/>
        <d v="2021-10-25T00:00:00" u="1"/>
        <d v="2022-04-07T00:00:00" u="1"/>
        <d v="2021-11-30T00:00:00" u="1"/>
        <d v="2022-03-21T00:00:00" u="1"/>
        <d v="2022-05-12T00:00:00" u="1"/>
        <d v="2021-09-13T00:00:00" u="1"/>
        <d v="2021-11-04T00:00:00" u="1"/>
        <d v="2022-04-26T00:00:00" u="1"/>
        <d v="2022-06-17T00:00:00" u="1"/>
        <d v="2021-10-18T00:00:00" u="1"/>
        <d v="2021-12-09T00:00:00" u="1"/>
        <d v="2022-03-14T00:00:00" u="1"/>
        <d v="2022-05-05T00:00:00" u="1"/>
        <d v="2023-09-13T00:00:00" u="1"/>
        <d v="2021-07-15T00:00:00" u="1"/>
        <d v="2022-02-28T00:00:00" u="1"/>
        <d v="2022-04-19T00:00:00" u="1"/>
        <d v="2022-06-10T00:00:00" u="1"/>
        <d v="2021-12-02T00:00:00" u="1"/>
        <d v="2022-05-24T00:00:00" u="1"/>
        <d v="2022-03-07T00:00:00" u="1"/>
        <d v="2022-06-29T00:00:00" u="1"/>
        <d v="2023-09-06T00:00:00" u="1"/>
        <d v="2022-04-12T00:00:00" u="1"/>
        <d v="2022-06-03T00:00:00" u="1"/>
        <d v="2021-10-04T00:00:00" u="1"/>
        <d v="2022-05-17T00:00:00" u="1"/>
        <d v="2022-07-08T00:00:00" u="1"/>
        <d v="2021-11-09T00:00:00" u="1"/>
        <d v="2022-06-22T00:00:00" u="1"/>
        <d v="2023-10-30T00:00:00" u="1"/>
        <d v="2022-04-05T00:00:00" u="1"/>
        <d v="2022-05-10T00:00:00" u="1"/>
        <d v="2023-11-09T00:00:00" u="1"/>
        <d v="2021-11-02T00:00:00" u="1"/>
        <d v="2021-12-07T00:00:00" u="1"/>
        <d v="2021-09-30T00:00:00" u="1"/>
        <d v="2022-05-03T00:00:00" u="1"/>
        <d v="2023-07-20T00:00:00" u="1"/>
        <d v="2023-09-11T00:00:00" u="1"/>
        <d v="2021-07-13T00:00:00" u="1"/>
        <d v="2022-06-08T00:00:00" u="1"/>
        <d v="2022-03-31T00:00:00" u="1"/>
        <d v="2022-07-13T00:00:00" u="1"/>
        <d v="2021-09-23T00:00:00" u="1"/>
        <d v="2022-06-27T00:00:00" u="1"/>
        <d v="2023-09-04T00:00:00" u="1"/>
        <d v="2021-07-06T00:00:00" u="1"/>
        <d v="2021-10-28T00:00:00" u="1"/>
        <n v="48" u="1"/>
        <d v="2022-03-24T00:00:00" u="1"/>
        <d v="2024-03-05T00:00:00" u="1"/>
        <d v="2021-09-16T00:00:00" u="1"/>
        <d v="2022-04-29T00:00:00" u="1"/>
        <d v="2021-10-21T00:00:00" u="1"/>
        <d v="2021-11-26T00:00:00" u="1"/>
        <d v="2022-03-17T00:00:00" u="1"/>
        <d v="2023-11-07T00:00:00" u="1"/>
        <d v="2021-09-09T00:00:00" u="1"/>
        <d v="2022-04-22T00:00:00" u="1"/>
        <d v="2022-06-13T00:00:00" u="1"/>
        <d v="2023-08-30T00:00:00" u="1"/>
        <d v="2021-10-14T00:00:00" u="1"/>
        <d v="2022-05-27T00:00:00" u="1"/>
        <d v="2021-09-28T00:00:00" u="1"/>
        <d v="2021-11-19T00:00:00" u="1"/>
        <d v="2022-03-10T00:00:00" u="1"/>
        <d v="2023-07-18T00:00:00" u="1"/>
        <d v="2022-02-24T00:00:00" u="1"/>
        <d v="2022-04-15T00:00:00" u="1"/>
        <d v="2022-06-06T00:00:00" u="1"/>
        <d v="2024-05-27T00:00:00" u="1"/>
        <d v="2021-10-07T00:00:00" u="1"/>
        <d v="2022-03-29T00:00:00" u="1"/>
        <d v="2022-05-20T00:00:00" u="1"/>
        <d v="2022-07-11T00:00:00" u="1"/>
        <d v="2021-09-21T00:00:00" u="1"/>
        <d v="2022-03-03T00:00:00" u="1"/>
        <d v="2021-10-26T00:00:00" u="1"/>
        <d v="2022-02-17T00:00:00" u="1"/>
        <d v="2022-04-08T00:00:00" u="1"/>
        <d v="2022-03-22T00:00:00" u="1"/>
        <d v="2022-05-13T00:00:00" u="1"/>
        <d v="2021-09-14T00:00:00" u="1"/>
        <d v="2021-11-05T00:00:00" u="1"/>
        <d v="2022-04-27T00:00:00" u="1"/>
        <d v="2023-10-26T00:00:00" u="1"/>
        <d v="2021-10-19T00:00:00" u="1"/>
        <d v="2022-04-01T00:00:00" u="1"/>
        <d v="2021-08-02T00:00:00" u="1"/>
        <d v="2021-11-24T00:00:00" u="1"/>
        <d v="2022-03-15T00:00:00" u="1"/>
        <d v="2022-05-06T00:00:00" u="1"/>
        <d v="2021-07-16T00:00:00" u="1"/>
        <d v="2022-04-20T00:00:00" u="1"/>
        <d v="2021-10-12T00:00:00" u="1"/>
        <d v="2022-05-25T00:00:00" u="1"/>
        <d v="2022-03-08T00:00:00" u="1"/>
        <d v="2022-06-30T00:00:00" u="1"/>
        <d v="2023-09-07T00:00:00" u="1"/>
        <d v="2021-07-09T00:00:00" u="1"/>
        <d v="2022-02-22T00:00:00" u="1"/>
        <d v="2022-04-13T00:00:00" u="1"/>
        <d v="2023-10-12T00:00:00" u="1"/>
        <e v="#N/A" u="1"/>
        <d v="2021-10-05T00:00:00" u="1"/>
        <d v="2022-05-18T00:00:00" u="1"/>
        <d v="2021-11-10T00:00:00" u="1"/>
        <d v="2022-03-01T00:00:00" u="1"/>
        <d v="2022-06-23T00:00:00" u="1"/>
        <d v="2023-10-31T00:00:00" u="1"/>
        <d v="2021-07-02T00:00:00" u="1"/>
        <d v="2022-05-11T00:00:00" u="1"/>
        <d v="2023-11-10T00:00:00" u="1"/>
        <d v="2021-11-03T00:00:00" u="1"/>
        <d v="2022-04-25T00:00:00" u="1"/>
        <d v="2022-06-16T00:00:00" u="1"/>
        <d v="2021-12-08T00:00:00" u="1"/>
        <d v="2022-05-04T00:00:00" u="1"/>
        <d v="2023-11-03T00:00:00" u="1"/>
        <d v="2021-07-14T00:00:00" u="1"/>
        <d v="2022-06-09T00:00:00" u="1"/>
        <d v="2021-12-01T00:00:00" u="1"/>
        <d v="2022-05-23T00:00:00" u="1"/>
        <d v="2021-09-24T00:00:00" u="1"/>
        <d v="2022-06-28T00:00:00" u="1"/>
        <d v="2021-07-07T00:00:00" u="1"/>
        <d v="2021-10-29T00:00:00" u="1"/>
        <d v="2022-04-11T00:00:00" u="1"/>
        <d v="2023-10-10T00:00:00" u="1"/>
        <d v="2023-12-01T00:00:00" u="1"/>
        <d v="2022-03-25T00:00:00" u="1"/>
        <d v="2022-05-16T00:00:00" u="1"/>
        <d v="2022-07-07T00:00:00" u="1"/>
        <d v="2021-09-17T00:00:00" u="1"/>
        <d v="2021-11-08T00:00:00" u="1"/>
        <d v="2022-06-21T00:00:00" u="1"/>
        <d v="2021-10-22T00:00:00" u="1"/>
        <d v="2022-04-04T00:00:00" u="1"/>
        <d v="2022-03-18T00:00:00" u="1"/>
        <d v="2022-05-09T00:00:00" u="1"/>
        <d v="2021-09-10T00:00:00" u="1"/>
        <d v="2021-11-01T00:00:00" u="1"/>
        <d v="2022-06-14T00:00:00" u="1"/>
        <d v="2023-08-31T00:00:00" u="1"/>
        <d v="2021-10-15T00:00:00" u="1"/>
        <d v="2021-12-06T00:00:00" u="1"/>
        <d v="2023-11-27T00:00:00" u="1"/>
        <d v="2021-09-29T00:00:00" u="1"/>
        <d v="2022-03-11T00:00:00" u="1"/>
        <d v="2022-05-02T00:00:00" u="1"/>
        <d v="2023-07-19T00:00:00" u="1"/>
        <d v="2021-09-03T00:00:00" u="1"/>
        <d v="2022-02-25T00:00:00" u="1"/>
        <d v="2022-06-07T00:00:00" u="1"/>
        <d v="2021-10-08T00:00:00" u="1"/>
        <d v="2022-03-30T00:00:00" u="1"/>
        <d v="2022-07-12T00:00:00" u="1"/>
        <d v="2021-09-22T00:00:00" u="1"/>
        <d v="2022-03-04T00:00:00" u="1"/>
        <d v="2021-07-05T00:00:00" u="1"/>
        <d v="2021-10-27T00:00:00" u="1"/>
        <d v="2021-10-01T00:00:00" u="1"/>
        <d v="2022-03-23T00:00:00" u="1"/>
        <d v="2021-09-15T00:00:00" u="1"/>
        <d v="2022-04-28T00:00:00" u="1"/>
        <d v="2023-10-27T00:00:00" u="1"/>
        <d v="2023-12-18T00:00:00" u="1"/>
        <d v="2021-10-20T00:00:00" u="1"/>
        <d v="2022-02-11T00:00:00" u="1"/>
        <d v="2022-03-16T00:00:00" u="1"/>
        <d v="2022-04-21T00:00:00" u="1"/>
        <d v="2023-10-20T00:00:00" u="1"/>
        <d v="2021-10-13T00:00:00" u="1"/>
        <d v="2021-09-27T00:00:00" u="1"/>
        <d v="2022-03-09T00:00:00" u="1"/>
        <d v="2023-07-17T00:00:00" u="1"/>
        <d v="2023-09-08T00:00:00" u="1"/>
      </sharedItems>
    </cacheField>
    <cacheField name="LC + LB" numFmtId="0">
      <sharedItems containsDate="1" containsBlank="1" containsMixedTypes="1" minDate="1899-12-31T01:12:04" maxDate="2023-10-28T00:00:00" count="571">
        <s v="DATE FIN"/>
        <n v="46"/>
        <m/>
        <s v=" "/>
        <d v="2025-03-26T00:00:00"/>
        <d v="2025-03-31T00:00:00"/>
        <d v="2025-04-07T00:00:00"/>
        <d v="2025-04-10T00:00:00"/>
        <d v="2025-04-14T00:00:00"/>
        <d v="2025-04-17T00:00:00"/>
        <d v="2025-04-21T00:00:00"/>
        <d v="2025-04-22T00:00:00"/>
        <d v="2025-06-10T00:00:00"/>
        <d v="2025-06-27T00:00:00"/>
        <d v="2025-08-12T00:00:00"/>
        <d v="2025-08-13T00:00:00"/>
        <d v="2025-09-11T00:00:00"/>
        <d v="2025-03-25T00:00:00" u="1"/>
        <d v="2025-03-28T00:00:00" u="1"/>
        <d v="2025-04-04T00:00:00" u="1"/>
        <d v="2025-04-09T00:00:00" u="1"/>
        <d v="2025-04-11T00:00:00" u="1"/>
        <d v="2025-04-16T00:00:00" u="1"/>
        <d v="2025-04-18T00:00:00" u="1"/>
        <d v="2025-06-09T00:00:00" u="1"/>
        <d v="2025-06-26T00:00:00" u="1"/>
        <d v="2025-08-11T00:00:00" u="1"/>
        <d v="2025-09-10T00:00:00" u="1"/>
        <d v="2025-05-30T00:00:00" u="1"/>
        <d v="2025-06-17T00:00:00" u="1"/>
        <d v="2025-06-19T00:00:00" u="1"/>
        <d v="2025-04-08T00:00:00" u="1"/>
        <d v="2025-05-27T00:00:00" u="1"/>
        <d v="2025-06-13T00:00:00" u="1"/>
        <d v="2025-03-21T00:00:00" u="1"/>
        <d v="2025-04-02T00:00:00" u="1"/>
        <d v="2025-05-23T00:00:00" u="1"/>
        <d v="2025-06-11T00:00:00" u="1"/>
        <d v="2025-07-07T00:00:00" u="1"/>
        <d v="2025-07-09T00:00:00" u="1"/>
        <d v="2025-07-11T00:00:00" u="1"/>
        <d v="2025-07-17T00:00:00" u="1"/>
        <d v="2025-07-18T00:00:00" u="1"/>
        <d v="2025-09-08T00:00:00" u="1"/>
        <d v="2025-04-01T00:00:00" u="1"/>
        <d v="2025-05-02T00:00:00" u="1"/>
        <d v="2025-05-14T00:00:00" u="1"/>
        <d v="2025-05-15T00:00:00" u="1"/>
        <d v="2025-05-29T00:00:00" u="1"/>
        <d v="2025-06-02T00:00:00" u="1"/>
        <d v="2025-06-03T00:00:00" u="1"/>
        <d v="2025-06-05T00:00:00" u="1"/>
        <d v="2025-06-06T00:00:00" u="1"/>
        <d v="2025-03-05T00:00:00" u="1"/>
        <d v="2025-03-06T00:00:00" u="1"/>
        <d v="2025-03-10T00:00:00" u="1"/>
        <d v="2025-03-11T00:00:00" u="1"/>
        <d v="2025-03-19T00:00:00" u="1"/>
        <d v="2025-04-25T00:00:00" u="1"/>
        <d v="2025-05-07T00:00:00" u="1"/>
        <d v="2025-05-08T00:00:00" u="1"/>
        <d v="2025-05-12T00:00:00" u="1"/>
        <d v="2025-03-04T00:00:00" u="1"/>
        <d v="2025-03-13T00:00:00" u="1"/>
        <d v="2025-03-17T00:00:00" u="1"/>
        <d v="2025-04-28T00:00:00" u="1"/>
        <d v="2025-05-01T00:00:00" u="1"/>
        <d v="2025-05-13T00:00:00" u="1"/>
        <d v="2025-05-16T00:00:00" u="1"/>
        <d v="2025-05-21T00:00:00" u="1"/>
        <d v="2025-03-18T00:00:00" u="1"/>
        <d v="2025-03-24T00:00:00" u="1"/>
        <d v="2025-05-05T00:00:00" u="1"/>
        <d v="2025-05-09T00:00:00" u="1"/>
        <d v="2025-02-05T00:00:00" u="1"/>
        <d v="2025-02-07T00:00:00" u="1"/>
        <d v="2025-02-17T00:00:00" u="1"/>
        <d v="2025-02-18T00:00:00" u="1"/>
        <d v="2025-02-20T00:00:00" u="1"/>
        <d v="2025-02-24T00:00:00" u="1"/>
        <d v="2025-02-26T00:00:00" u="1"/>
        <d v="2025-04-24T00:00:00" u="1"/>
        <d v="2025-02-13T00:00:00" u="1"/>
        <d v="2025-02-14T00:00:00" u="1"/>
        <d v="2025-02-19T00:00:00" u="1"/>
        <d v="2024-11-12T00:00:00" u="1"/>
        <d v="2024-11-13T00:00:00" u="1"/>
        <d v="2024-11-15T00:00:00" u="1"/>
        <d v="2024-11-20T00:00:00" u="1"/>
        <d v="2024-11-21T00:00:00" u="1"/>
        <d v="2024-11-25T00:00:00" u="1"/>
        <d v="2024-11-27T00:00:00" u="1"/>
        <d v="2024-12-12T00:00:00" u="1"/>
        <d v="2025-02-12T00:00:00" u="1"/>
        <d v="2025-02-25T00:00:00" u="1"/>
        <d v="2024-10-24T00:00:00" u="1"/>
        <d v="2024-10-25T00:00:00" u="1"/>
        <d v="2024-11-01T00:00:00" u="1"/>
        <d v="2024-11-05T00:00:00" u="1"/>
        <d v="2024-11-06T00:00:00" u="1"/>
        <d v="2024-11-08T00:00:00" u="1"/>
        <d v="2024-11-14T00:00:00" u="1"/>
        <d v="2024-11-22T00:00:00" u="1"/>
        <d v="2024-12-09T00:00:00" u="1"/>
        <d v="2024-12-11T00:00:00" u="1"/>
        <d v="2025-02-04T00:00:00" u="1"/>
        <d v="2024-10-23T00:00:00" u="1"/>
        <d v="2024-10-30T00:00:00" u="1"/>
        <d v="2024-10-31T00:00:00" u="1"/>
        <d v="2024-11-04T00:00:00" u="1"/>
        <d v="2024-11-28T00:00:00" u="1"/>
        <d v="2025-01-13T00:00:00" u="1"/>
        <d v="2024-10-07T00:00:00" u="1"/>
        <d v="2024-10-10T00:00:00" u="1"/>
        <d v="2024-10-11T00:00:00" u="1"/>
        <d v="2024-10-28T00:00:00" u="1"/>
        <d v="2024-11-07T00:00:00" u="1"/>
        <d v="2024-11-18T00:00:00" u="1"/>
        <d v="2024-12-03T00:00:00" u="1"/>
        <d v="2024-12-05T00:00:00" u="1"/>
        <d v="2025-01-29T00:00:00" u="1"/>
        <d v="2025-02-11T00:00:00" u="1"/>
        <d v="2025-03-14T00:00:00" u="1"/>
        <d v="2024-10-09T00:00:00" u="1"/>
        <d v="2024-10-21T00:00:00" u="1"/>
        <d v="2024-10-29T00:00:00" u="1"/>
        <d v="2024-11-19T00:00:00" u="1"/>
        <d v="2024-12-20T00:00:00" u="1"/>
        <d v="2025-01-14T00:00:00" u="1"/>
        <d v="2025-02-06T00:00:00" u="1"/>
        <d v="2024-10-08T00:00:00" u="1"/>
        <d v="2024-10-15T00:00:00" u="1"/>
        <d v="2024-11-11T00:00:00" u="1"/>
        <d v="2024-11-26T00:00:00" u="1"/>
        <d v="2024-12-13T00:00:00" u="1"/>
        <d v="2024-12-18T00:00:00" u="1"/>
        <d v="2024-09-24T00:00:00" u="1"/>
        <d v="2024-09-25T00:00:00" u="1"/>
        <d v="2024-09-26T00:00:00" u="1"/>
        <d v="2024-10-03T00:00:00" u="1"/>
        <d v="2024-12-02T00:00:00" u="1"/>
        <d v="2024-12-04T00:00:00" u="1"/>
        <d v="2024-09-20T00:00:00" u="1"/>
        <d v="2024-09-23T00:00:00" u="1"/>
        <d v="2024-10-02T00:00:00" u="1"/>
        <d v="2024-11-29T00:00:00" u="1"/>
        <d v="2025-02-03T00:00:00" u="1"/>
        <d v="2024-09-18T00:00:00" u="1"/>
        <d v="2025-01-30T00:00:00" u="1"/>
        <d v="2024-09-17T00:00:00" u="1"/>
        <d v="2024-09-19T00:00:00" u="1"/>
        <d v="2024-10-18T00:00:00" u="1"/>
        <d v="2024-09-10T00:00:00" u="1"/>
        <d v="2025-03-03T00:00:00" u="1"/>
        <d v="2024-09-27T00:00:00" u="1"/>
        <d v="2024-09-09T00:00:00" u="1"/>
        <d v="2024-09-30T00:00:00" u="1"/>
        <d v="2024-09-06T00:00:00" u="1"/>
        <d v="2024-08-29T00:00:00" u="1"/>
        <d v="2024-08-28T00:00:00" u="1"/>
        <d v="2025-01-20T00:00:00" u="1"/>
        <d v="2024-08-22T00:00:00" u="1"/>
        <d v="2024-08-26T00:00:00" u="1"/>
        <d v="2025-01-21T00:00:00" u="1"/>
        <d v="2024-08-19T00:00:00" u="1"/>
        <d v="2024-08-20T00:00:00" u="1"/>
        <d v="2024-09-04T00:00:00" u="1"/>
        <d v="2024-09-05T00:00:00" u="1"/>
        <d v="2024-08-21T00:00:00" u="1"/>
        <d v="2024-09-13T00:00:00" u="1"/>
        <d v="2025-01-16T00:00:00" u="1"/>
        <d v="2024-08-16T00:00:00" u="1"/>
        <d v="2024-09-12T00:00:00" u="1"/>
        <d v="2024-09-16T00:00:00" u="1"/>
        <d v="2025-01-15T00:00:00" u="1"/>
        <d v="2025-01-17T00:00:00" u="1"/>
        <d v="2024-08-15T00:00:00" u="1"/>
        <d v="2025-01-27T00:00:00" u="1"/>
        <d v="2024-10-17T00:00:00" u="1"/>
        <d v="2024-08-14T00:00:00" u="1"/>
        <d v="2024-10-16T00:00:00" u="1"/>
        <d v="2024-08-12T00:00:00" u="1"/>
        <d v="2024-08-06T00:00:00" u="1"/>
        <d v="2024-07-19T00:00:00" u="1"/>
        <d v="2024-07-05T00:00:00" u="1"/>
        <d v="2024-07-08T00:00:00" u="1"/>
        <d v="2024-07-10T00:00:00" u="1"/>
        <d v="2024-07-11T00:00:00" u="1"/>
        <d v="2024-12-19T00:00:00" u="1"/>
        <d v="2025-08-19T00:00:00" u="1"/>
        <d v="2024-07-09T00:00:00" u="1"/>
        <d v="2024-10-04T00:00:00" u="1"/>
        <d v="2024-10-22T00:00:00" u="1"/>
        <d v="2024-06-18T00:00:00" u="1"/>
        <d v="2024-06-19T00:00:00" u="1"/>
        <d v="2024-06-20T00:00:00" u="1"/>
        <d v="2024-06-21T00:00:00" u="1"/>
        <d v="2024-06-25T00:00:00" u="1"/>
        <d v="2025-03-12T00:00:00" u="1"/>
        <d v="2024-06-26T00:00:00" u="1"/>
        <d v="2025-03-07T00:00:00" u="1"/>
        <d v="2024-12-16T00:00:00" u="1"/>
        <d v="2024-08-23T00:00:00" u="1"/>
        <d v="2024-12-17T00:00:00" u="1"/>
        <d v="2024-06-14T00:00:00" u="1"/>
        <d v="2024-06-17T00:00:00" u="1"/>
        <d v="2024-08-13T00:00:00" u="1"/>
        <d v="2025-01-08T00:00:00" u="1"/>
        <d v="2024-06-05T00:00:00" u="1"/>
        <d v="2024-06-06T00:00:00" u="1"/>
        <d v="2024-06-07T00:00:00" u="1"/>
        <d v="2024-07-12T00:00:00" u="1"/>
        <d v="2024-09-11T00:00:00" u="1"/>
        <d v="2024-06-10T00:00:00" u="1"/>
        <d v="2024-07-17T00:00:00" u="1"/>
        <d v="2024-08-30T00:00:00" u="1"/>
        <d v="2024-06-04T00:00:00" u="1"/>
        <d v="2024-06-11T00:00:00" u="1"/>
        <d v="2024-06-13T00:00:00" u="1"/>
        <d v="2024-05-30T00:00:00" u="1"/>
        <d v="2024-05-31T00:00:00" u="1"/>
        <d v="2024-09-03T00:00:00" u="1"/>
        <d v="2024-05-06T00:00:00" u="1"/>
        <d v="2024-05-15T00:00:00" u="1"/>
        <d v="2024-05-16T00:00:00" u="1"/>
        <d v="2024-05-21T00:00:00" u="1"/>
        <d v="2024-05-23T00:00:00" u="1"/>
        <d v="2024-05-29T00:00:00" u="1"/>
        <d v="2024-08-27T00:00:00" u="1"/>
        <d v="2024-04-09T00:00:00" u="1"/>
        <d v="2024-04-15T00:00:00" u="1"/>
        <d v="2024-04-26T00:00:00" u="1"/>
        <d v="2024-04-29T00:00:00" u="1"/>
        <d v="2024-05-01T00:00:00" u="1"/>
        <d v="2024-05-10T00:00:00" u="1"/>
        <d v="2024-05-14T00:00:00" u="1"/>
        <d v="2024-07-18T00:00:00" u="1"/>
        <d v="2024-04-05T00:00:00" u="1"/>
        <d v="2024-04-12T00:00:00" u="1"/>
        <d v="2024-04-24T00:00:00" u="1"/>
        <d v="2024-05-27T00:00:00" u="1"/>
        <d v="2024-03-28T00:00:00" u="1"/>
        <d v="2024-03-29T00:00:00" u="1"/>
        <d v="2024-04-22T00:00:00" u="1"/>
        <d v="2024-04-23T00:00:00" u="1"/>
        <d v="2024-05-24T00:00:00" u="1"/>
        <d v="2024-06-03T00:00:00" u="1"/>
        <d v="2024-04-02T00:00:00" u="1"/>
        <d v="2024-04-04T00:00:00" u="1"/>
        <d v="2024-04-25T00:00:00" u="1"/>
        <d v="2024-05-02T00:00:00" u="1"/>
        <d v="2024-04-11T00:00:00" u="1"/>
        <d v="2024-04-16T00:00:00" u="1"/>
        <d v="2024-04-19T00:00:00" u="1"/>
        <d v="2024-04-10T00:00:00" u="1"/>
        <d v="2024-03-08T00:00:00" u="1"/>
        <d v="2024-03-11T00:00:00" u="1"/>
        <d v="2024-03-20T00:00:00" u="1"/>
        <d v="2024-03-22T00:00:00" u="1"/>
        <d v="2024-03-26T00:00:00" u="1"/>
        <d v="2024-03-12T00:00:00" u="1"/>
        <d v="2024-03-13T00:00:00" u="1"/>
        <d v="2024-04-03T00:00:00" u="1"/>
        <d v="2024-04-08T00:00:00" u="1"/>
        <d v="2024-02-27T00:00:00" u="1"/>
        <d v="2024-02-28T00:00:00" u="1"/>
        <d v="2024-02-29T00:00:00" u="1"/>
        <d v="2024-03-01T00:00:00" u="1"/>
        <d v="2024-03-04T00:00:00" u="1"/>
        <d v="2024-03-27T00:00:00" u="1"/>
        <d v="2024-02-01T00:00:00" u="1"/>
        <d v="2024-02-07T00:00:00" u="1"/>
        <d v="2024-02-09T00:00:00" u="1"/>
        <d v="2024-02-12T00:00:00" u="1"/>
        <d v="2024-02-19T00:00:00" u="1"/>
        <d v="2024-03-19T00:00:00" u="1"/>
        <d v="2024-02-14T00:00:00" u="1"/>
        <d v="2024-02-16T00:00:00" u="1"/>
        <d v="2024-01-26T00:00:00" u="1"/>
        <d v="2024-01-29T00:00:00" u="1"/>
        <d v="2024-02-06T00:00:00" u="1"/>
        <d v="2024-02-08T00:00:00" u="1"/>
        <d v="2024-01-19T00:00:00" u="1"/>
        <d v="2024-01-22T00:00:00" u="1"/>
        <d v="2024-02-23T00:00:00" u="1"/>
        <d v="2024-02-26T00:00:00" u="1"/>
        <d v="2024-03-07T00:00:00" u="1"/>
        <d v="2024-01-18T00:00:00" u="1"/>
        <d v="2024-01-25T00:00:00" u="1"/>
        <d v="2024-02-05T00:00:00" u="1"/>
        <d v="2024-02-22T00:00:00" u="1"/>
        <d v="2024-03-25T00:00:00" u="1"/>
        <d v="2024-01-12T00:00:00" u="1"/>
        <d v="2024-01-15T00:00:00" u="1"/>
        <d v="2024-01-30T00:00:00" u="1"/>
        <d v="2023-12-12T00:00:00" u="1"/>
        <d v="2023-12-13T00:00:00" u="1"/>
        <d v="2023-12-14T00:00:00" u="1"/>
        <d v="2023-12-18T00:00:00" u="1"/>
        <d v="2024-01-05T00:00:00" u="1"/>
        <d v="2024-01-08T00:00:00" u="1"/>
        <d v="2024-03-06T00:00:00" u="1"/>
        <d v="2023-12-19T00:00:00" u="1"/>
        <d v="2023-11-30T00:00:00" u="1"/>
        <d v="2023-12-05T00:00:00" u="1"/>
        <d v="2023-12-06T00:00:00" u="1"/>
        <d v="2023-12-07T00:00:00" u="1"/>
        <d v="2023-12-15T00:00:00" u="1"/>
        <d v="2023-11-23T00:00:00" u="1"/>
        <d v="2023-11-24T00:00:00" u="1"/>
        <d v="2023-12-01T00:00:00" u="1"/>
        <d v="2023-12-04T00:00:00" u="1"/>
        <d v="2023-12-11T00:00:00" u="1"/>
        <d v="2024-01-17T00:00:00" u="1"/>
        <d v="2024-01-09T00:00:00" u="1"/>
        <d v="2023-12-21T00:00:00" u="1"/>
        <d v="2024-01-10T00:00:00" u="1"/>
        <d v="2024-01-24T00:00:00" u="1"/>
        <d v="2023-11-22T00:00:00" u="1"/>
        <d v="2023-12-08T00:00:00" u="1"/>
        <d v="2023-12-20T00:00:00" u="1"/>
        <d v="2024-01-23T00:00:00" u="1"/>
        <d v="2024-02-02T00:00:00" u="1"/>
        <d v="2024-05-07T00:00:00" u="1"/>
        <d v="2023-11-17T00:00:00" u="1"/>
        <d v="2023-11-20T00:00:00" u="1"/>
        <d v="2023-11-29T00:00:00" u="1"/>
        <d v="2024-01-16T00:00:00" u="1"/>
        <d v="2023-11-16T00:00:00" u="1"/>
        <d v="2023-11-28T00:00:00" u="1"/>
        <d v="2023-12-22T00:00:00" u="1"/>
        <d v="2023-11-06T00:00:00" u="1"/>
        <d v="2023-11-15T00:00:00" u="1"/>
        <d v="2023-10-18T00:00:00" u="1"/>
        <d v="2023-11-01T00:00:00" u="1"/>
        <d v="2023-11-27T00:00:00" u="1"/>
        <d v="2023-10-16T00:00:00" u="1"/>
        <d v="2023-10-30T00:00:00" u="1"/>
        <d v="2023-09-18T00:00:00" u="1"/>
        <d v="2023-09-21T00:00:00" u="1"/>
        <d v="2023-09-22T00:00:00" u="1"/>
        <d v="2023-10-05T00:00:00" u="1"/>
        <d v="2023-11-08T00:00:00" u="1"/>
        <d v="2023-11-13T00:00:00" u="1"/>
        <d v="2023-09-26T00:00:00" u="1"/>
        <d v="2023-09-27T00:00:00" u="1"/>
        <d v="2023-10-12T00:00:00" u="1"/>
        <d v="2023-11-02T00:00:00" u="1"/>
        <d v="2023-11-07T00:00:00" u="1"/>
        <d v="2023-11-09T00:00:00" u="1"/>
        <d v="2023-10-03T00:00:00" u="1"/>
        <d v="2023-11-21T00:00:00" u="1"/>
        <d v="2023-10-02T00:00:00" u="1"/>
        <d v="2023-09-25T00:00:00" u="1"/>
        <d v="2023-09-28T00:00:00" u="1"/>
        <d v="2023-10-06T00:00:00" u="1"/>
        <d v="2023-10-23T00:00:00" u="1"/>
        <d v="2023-10-20T00:00:00" u="1"/>
        <d v="2023-11-10T00:00:00" u="1"/>
        <d v="2023-11-14T00:00:00" u="1"/>
        <d v="2023-10-17T00:00:00" u="1"/>
        <d v="2023-10-13T00:00:00" u="1"/>
        <d v="2021-09-01T00:00:00" u="1"/>
        <d v="2021-12-23T00:00:00" u="1"/>
        <d v="2022-04-14T00:00:00" u="1"/>
        <d v="2023-01-18T00:00:00" u="1"/>
        <d v="2023-08-22T00:00:00" u="1"/>
        <d v="2022-03-28T00:00:00" u="1"/>
        <d v="2022-05-19T00:00:00" u="1"/>
        <d v="2022-12-23T00:00:00" u="1"/>
        <d v="2023-02-23T00:00:00" u="1"/>
        <d v="2023-04-14T00:00:00" u="1"/>
        <d v="2021-11-11T00:00:00" u="1"/>
        <d v="2022-01-11T00:00:00" u="1"/>
        <d v="2023-09-01T00:00:00" u="1"/>
        <d v="2021-10-25T00:00:00" u="1"/>
        <d v="2021-12-16T00:00:00" u="1"/>
        <d v="2022-04-07T00:00:00" u="1"/>
        <d v="2022-09-20T00:00:00" u="1"/>
        <d v="2023-01-11T00:00:00" u="1"/>
        <d v="2023-03-02T00:00:00" u="1"/>
        <d v="2021-11-30T00:00:00" u="1"/>
        <d v="2022-03-21T00:00:00" u="1"/>
        <d v="2023-02-16T00:00:00" u="1"/>
        <d v="2023-09-20T00:00:00" u="1"/>
        <d v="2021-11-04T00:00:00" u="1"/>
        <d v="2022-11-30T00:00:00" u="1"/>
        <d v="2023-01-30T00:00:00" u="1"/>
        <d v="2023-10-25T00:00:00" u="1"/>
        <d v="2021-08-27T00:00:00" u="1"/>
        <d v="2021-12-09T00:00:00" u="1"/>
        <d v="2022-09-13T00:00:00" u="1"/>
        <d v="2021-11-23T00:00:00" u="1"/>
        <d v="2022-12-09T00:00:00" u="1"/>
        <d v="2023-02-09T00:00:00" u="1"/>
        <d v="2023-09-13T00:00:00" u="1"/>
        <d v="2022-08-01T00:00:00" u="1"/>
        <d v="2023-01-23T00:00:00" u="1"/>
        <d v="2023-03-14T00:00:00" u="1"/>
        <d v="2021-06-29T00:00:00" u="1"/>
        <d v="2021-08-20T00:00:00" u="1"/>
        <d v="2022-07-15T00:00:00" u="1"/>
        <d v="2024-03-14T00:00:00" u="1"/>
        <d v="2021-11-16T00:00:00" u="1"/>
        <d v="2022-06-29T00:00:00" u="1"/>
        <d v="2023-02-02T00:00:00" u="1"/>
        <d v="2022-04-12T00:00:00" u="1"/>
        <d v="2022-11-16T00:00:00" u="1"/>
        <d v="2023-01-16T00:00:00" u="1"/>
        <d v="2023-03-07T00:00:00" u="1"/>
        <d v="2023-10-11T00:00:00" u="1"/>
        <d v="2022-07-08T00:00:00" u="1"/>
        <d v="2021-11-09T00:00:00" u="1"/>
        <d v="2022-04-05T00:00:00" u="1"/>
        <d v="2023-01-09T00:00:00" u="1"/>
        <d v="2023-10-04T00:00:00" u="1"/>
        <d v="2022-12-14T00:00:00" u="1"/>
        <d v="2023-02-14T00:00:00" u="1"/>
        <d v="2021-11-02T00:00:00" u="1"/>
        <d v="2022-06-15T00:00:00" u="1"/>
        <d v="2021-08-25T00:00:00" u="1"/>
        <d v="2022-12-07T00:00:00" u="1"/>
        <d v="2023-02-07T00:00:00" u="1"/>
        <d v="2023-07-20T00:00:00" u="1"/>
        <d v="2023-09-11T00:00:00" u="1"/>
        <d v="2021-07-13T00:00:00" u="1"/>
        <d v="2023-08-25T00:00:00" u="1"/>
        <d v="2025-01-02T00:00:00" u="1"/>
        <d v="2022-03-31T00:00:00" u="1"/>
        <d v="2022-07-13T00:00:00" u="1"/>
        <d v="2021-10-28T00:00:00" u="1"/>
        <d v="2023-08-18T00:00:00" u="1"/>
        <d v="2022-03-24T00:00:00" u="1"/>
        <d v="2022-07-06T00:00:00" u="1"/>
        <d v="2022-12-19T00:00:00" u="1"/>
        <d v="2023-04-10T00:00:00" u="1"/>
        <d v="2021-08-30T00:00:00" u="1"/>
        <d v="2021-11-26T00:00:00" u="1"/>
        <d v="2022-03-17T00:00:00" u="1"/>
        <d v="2022-12-12T00:00:00" u="1"/>
        <d v="2022-08-04T00:00:00" u="1"/>
        <d v="2021-08-23T00:00:00" u="1"/>
        <d v="2021-10-14T00:00:00" u="1"/>
        <d v="2021-11-19T00:00:00" u="1"/>
        <d v="2022-03-10T00:00:00" u="1"/>
        <d v="2022-08-23T00:00:00" u="1"/>
        <d v="2022-12-05T00:00:00" u="1"/>
        <d v="2023-07-18T00:00:00" u="1"/>
        <d v="2021-09-02T00:00:00" u="1"/>
        <d v="2022-04-15T00:00:00" u="1"/>
        <d v="2023-01-19T00:00:00" u="1"/>
        <d v="2021-08-16T00:00:00" u="1"/>
        <d v="2022-03-29T00:00:00" u="1"/>
        <d v="2022-07-11T00:00:00" u="1"/>
        <d v="2021-11-12T00:00:00" u="1"/>
        <d v="2022-08-16T00:00:00" u="1"/>
        <d v="2021-12-17T00:00:00" u="1"/>
        <d v="2022-04-08T00:00:00" u="1"/>
        <d v="2023-01-12T00:00:00" u="1"/>
        <d v="2023-03-03T00:00:00" u="1"/>
        <d v="2022-03-22T00:00:00" u="1"/>
        <d v="2022-07-04T00:00:00" u="1"/>
        <d v="2023-02-17T00:00:00" u="1"/>
        <d v="2021-11-05T00:00:00" u="1"/>
        <d v="2022-01-05T00:00:00" u="1"/>
        <d v="2022-04-27T00:00:00" u="1"/>
        <d v="2023-01-31T00:00:00" u="1"/>
        <d v="2023-10-26T00:00:00" u="1"/>
        <d v="2024-07-30T00:00:00" u="1"/>
        <d v="2021-10-19T00:00:00" u="1"/>
        <d v="2021-12-10T00:00:00" u="1"/>
        <d v="2022-04-01T00:00:00" u="1"/>
        <d v="2022-09-14T00:00:00" u="1"/>
        <d v="2023-01-05T00:00:00" u="1"/>
        <d v="2023-08-09T00:00:00" u="1"/>
        <d v="2021-08-02T00:00:00" u="1"/>
        <d v="2021-11-24T00:00:00" u="1"/>
        <d v="2022-03-15T00:00:00" u="1"/>
        <d v="2023-02-10T00:00:00" u="1"/>
        <d v="2023-09-14T00:00:00" u="1"/>
        <d v="2021-07-16T00:00:00" u="1"/>
        <d v="2021-09-07T00:00:00" u="1"/>
        <d v="2023-01-24T00:00:00" u="1"/>
        <d v="2023-03-15T00:00:00" u="1"/>
        <d v="2023-10-19T00:00:00" u="1"/>
        <d v="2021-06-30T00:00:00" u="1"/>
        <d v="2022-09-07T00:00:00" u="1"/>
        <d v="2025-02-10T00:00:00" u="1"/>
        <d v="2021-11-17T00:00:00" u="1"/>
        <d v="2022-06-30T00:00:00" u="1"/>
        <d v="2023-02-03T00:00:00" u="1"/>
        <d v="2023-09-07T00:00:00" u="1"/>
        <d v="2023-01-17T00:00:00" u="1"/>
        <d v="2023-03-08T00:00:00" u="1"/>
        <d v="2023-08-21T00:00:00" u="1"/>
        <e v="#N/A" u="1"/>
        <d v="2022-12-22T00:00:00" u="1"/>
        <d v="2021-11-10T00:00:00" u="1"/>
        <d v="2022-01-10T00:00:00" u="1"/>
        <d v="2023-10-31T00:00:00" u="1"/>
        <d v="2021-07-02T00:00:00" u="1"/>
        <d v="2022-04-06T00:00:00" u="1"/>
        <d v="2022-09-19T00:00:00" u="1"/>
        <d v="2023-03-01T00:00:00" u="1"/>
        <d v="2021-11-29T00:00:00" u="1"/>
        <d v="2023-02-15T00:00:00" u="1"/>
        <d v="2023-09-19T00:00:00" u="1"/>
        <d v="2021-11-03T00:00:00" u="1"/>
        <d v="2022-06-16T00:00:00" u="1"/>
        <d v="2022-11-29T00:00:00" u="1"/>
        <d v="2023-10-24T00:00:00" u="1"/>
        <d v="2021-08-26T00:00:00" u="1"/>
        <d v="2021-11-22T00:00:00" u="1"/>
        <d v="2022-12-08T00:00:00" u="1"/>
        <d v="2023-09-12T00:00:00" u="1"/>
        <d v="2023-11-03T00:00:00" u="1"/>
        <d v="2021-07-14T00:00:00" u="1"/>
        <d v="2021-12-01T00:00:00" u="1"/>
        <d v="2022-07-14T00:00:00" u="1"/>
        <d v="2021-11-15T00:00:00" u="1"/>
        <d v="2023-09-05T00:00:00" u="1"/>
        <d v="2021-10-29T00:00:00" u="1"/>
        <d v="2021-12-20T00:00:00" u="1"/>
        <d v="2022-04-11T00:00:00" u="1"/>
        <d v="2023-10-10T00:00:00" u="1"/>
        <d v="2022-03-25T00:00:00" u="1"/>
        <d v="2022-07-07T00:00:00" u="1"/>
        <d v="2022-12-20T00:00:00" u="1"/>
        <d v="2023-04-11T00:00:00" u="1"/>
        <d v="2021-11-08T00:00:00" u="1"/>
        <d v="2021-08-31T00:00:00" u="1"/>
        <d v="2022-04-04T00:00:00" u="1"/>
        <d v="2022-03-18T00:00:00" u="1"/>
        <d v="2022-12-13T00:00:00" u="1"/>
        <d v="2023-02-13T00:00:00" u="1"/>
        <d v="2023-04-04T00:00:00" u="1"/>
        <d v="2021-11-01T00:00:00" u="1"/>
        <d v="2021-10-15T00:00:00" u="1"/>
        <d v="2021-12-06T00:00:00" u="1"/>
        <d v="2022-08-24T00:00:00" u="1"/>
        <d v="2022-12-06T00:00:00" u="1"/>
        <d v="2023-02-06T00:00:00" u="1"/>
        <d v="2023-07-19T00:00:00" u="1"/>
        <n v="49" u="1"/>
        <d v="2021-07-12T00:00:00" u="1"/>
        <d v="2021-09-03T00:00:00" u="1"/>
        <d v="2023-01-20T00:00:00" u="1"/>
        <d v="2023-08-24T00:00:00" u="1"/>
        <d v="2021-08-17T00:00:00" u="1"/>
        <d v="2022-03-30T00:00:00" u="1"/>
        <d v="2022-07-12T00:00:00" u="1"/>
        <d v="2023-09-29T00:00:00" u="1"/>
        <d v="2022-08-17T00:00:00" u="1"/>
        <d v="2021-07-05T00:00:00" u="1"/>
        <d v="2021-10-27T00:00:00" u="1"/>
        <d v="2023-01-13T00:00:00" u="1"/>
        <d v="2022-03-23T00:00:00" u="1"/>
        <d v="2022-04-28T00:00:00" u="1"/>
        <d v="2023-10-27T00:00:00" u="1"/>
        <d v="2021-10-20T00:00:00" u="1"/>
        <d v="2022-09-15T00:00:00" u="1"/>
        <d v="2023-01-06T00:00:00" u="1"/>
        <d v="2023-08-10T00:00:00" u="1"/>
        <d v="2021-11-25T00:00:00" u="1"/>
        <d v="2022-03-16T00:00:00" u="1"/>
        <d v="2022-08-29T00:00:00" u="1"/>
        <d v="2023-09-15T00:00:00" u="1"/>
        <d v="2021-09-08T00:00:00" u="1"/>
        <d v="2022-08-03T00:00:00" u="1"/>
        <d v="2023-08-29T00:00:00" u="1"/>
        <d v="2021-11-18T00:00:00" u="1"/>
      </sharedItems>
    </cacheField>
    <cacheField name="PL+2" numFmtId="0">
      <sharedItems containsDate="1" containsBlank="1" containsMixedTypes="1" minDate="1900-01-05T09:12:04" maxDate="2025-06-27T00:00:00" count="273">
        <s v="DATE FIN"/>
        <n v="47"/>
        <m/>
        <s v=" "/>
        <d v="2025-03-26T00:00:00"/>
        <d v="2025-04-08T00:00:00"/>
        <d v="2025-04-10T00:00:00"/>
        <d v="2025-04-11T00:00:00"/>
        <d v="2025-04-15T00:00:00"/>
        <d v="2025-04-17T00:00:00"/>
        <d v="2025-04-29T00:00:00"/>
        <d v="2025-05-19T00:00:00"/>
        <d v="2025-05-21T00:00:00"/>
        <d v="2025-05-23T00:00:00"/>
        <d v="2025-05-27T00:00:00"/>
        <d v="2025-06-02T00:00:00"/>
        <d v="2025-03-25T00:00:00" u="1"/>
        <d v="2025-04-07T00:00:00" u="1"/>
        <d v="2025-04-09T00:00:00" u="1"/>
        <d v="2025-04-14T00:00:00" u="1"/>
        <d v="2025-04-16T00:00:00" u="1"/>
        <d v="2025-04-28T00:00:00" u="1"/>
        <d v="2025-05-16T00:00:00" u="1"/>
        <d v="2025-05-20T00:00:00" u="1"/>
        <d v="2025-05-22T00:00:00" u="1"/>
        <d v="2025-05-26T00:00:00" u="1"/>
        <d v="2025-05-30T00:00:00" u="1"/>
        <d v="2025-04-24T00:00:00" u="1"/>
        <d v="2025-05-14T00:00:00" u="1"/>
        <d v="2025-05-15T00:00:00" u="1"/>
        <d v="2025-04-23T00:00:00" u="1"/>
        <d v="2025-05-13T00:00:00" u="1"/>
        <d v="2025-03-21T00:00:00" u="1"/>
        <d v="2025-04-03T00:00:00" u="1"/>
        <d v="2025-04-21T00:00:00" u="1"/>
        <d v="2025-04-22T00:00:00" u="1"/>
        <d v="2025-05-09T00:00:00" u="1"/>
        <d v="2025-05-28T00:00:00" u="1"/>
        <d v="2025-03-10T00:00:00" u="1"/>
        <d v="2025-03-19T00:00:00" u="1"/>
        <d v="2025-04-18T00:00:00" u="1"/>
        <d v="2025-05-08T00:00:00" u="1"/>
        <d v="2025-05-12T00:00:00" u="1"/>
        <d v="2025-03-12T00:00:00" u="1"/>
        <d v="2025-05-02T00:00:00" u="1"/>
        <d v="2025-05-29T00:00:00" u="1"/>
        <d v="2025-03-27T00:00:00" u="1"/>
        <d v="2025-03-31T00:00:00" u="1"/>
        <d v="2025-05-06T00:00:00" u="1"/>
        <d v="2025-05-07T00:00:00" u="1"/>
        <d v="2025-02-05T00:00:00" u="1"/>
        <d v="2025-02-19T00:00:00" u="1"/>
        <d v="2025-02-21T00:00:00" u="1"/>
        <d v="2025-03-04T00:00:00" u="1"/>
        <d v="2025-03-18T00:00:00" u="1"/>
        <d v="2025-04-02T00:00:00" u="1"/>
        <d v="2025-04-25T00:00:00" u="1"/>
        <d v="2025-02-12T00:00:00" u="1"/>
        <d v="2025-02-13T00:00:00" u="1"/>
        <d v="2025-02-18T00:00:00" u="1"/>
        <d v="2025-02-25T00:00:00" u="1"/>
        <d v="2025-02-26T00:00:00" u="1"/>
        <d v="2025-02-27T00:00:00" u="1"/>
        <d v="2025-03-05T00:00:00" u="1"/>
        <d v="2025-03-14T00:00:00" u="1"/>
        <d v="2025-03-17T00:00:00" u="1"/>
        <d v="2025-02-17T00:00:00" u="1"/>
        <d v="2025-03-06T00:00:00" u="1"/>
        <d v="2024-11-13T00:00:00" u="1"/>
        <d v="2024-11-15T00:00:00" u="1"/>
        <d v="2024-11-18T00:00:00" u="1"/>
        <d v="2024-11-20T00:00:00" u="1"/>
        <d v="2024-11-21T00:00:00" u="1"/>
        <d v="2025-01-06T00:00:00" u="1"/>
        <d v="2025-01-27T00:00:00" u="1"/>
        <d v="2025-02-11T00:00:00" u="1"/>
        <d v="2024-10-25T00:00:00" u="1"/>
        <d v="2024-11-11T00:00:00" u="1"/>
        <d v="2024-11-12T00:00:00" u="1"/>
        <d v="2024-11-14T00:00:00" u="1"/>
        <d v="2024-12-18T00:00:00" u="1"/>
        <d v="2024-12-19T00:00:00" u="1"/>
        <d v="2024-10-24T00:00:00" u="1"/>
        <d v="2024-11-06T00:00:00" u="1"/>
        <d v="2024-11-07T00:00:00" u="1"/>
        <d v="2024-11-08T00:00:00" u="1"/>
        <d v="2024-12-04T00:00:00" u="1"/>
        <d v="2024-12-05T00:00:00" u="1"/>
        <d v="2024-12-06T00:00:00" u="1"/>
        <d v="2025-01-07T00:00:00" u="1"/>
        <d v="2024-10-11T00:00:00" u="1"/>
        <d v="2024-11-01T00:00:00" u="1"/>
        <d v="2024-11-04T00:00:00" u="1"/>
        <d v="2024-11-05T00:00:00" u="1"/>
        <d v="2024-12-10T00:00:00" u="1"/>
        <d v="2024-12-11T00:00:00" u="1"/>
        <d v="2024-12-13T00:00:00" u="1"/>
        <d v="2025-01-20T00:00:00" u="1"/>
        <d v="2025-01-23T00:00:00" u="1"/>
        <d v="2025-06-26T00:00:00" u="1"/>
        <d v="2024-10-10T00:00:00" u="1"/>
        <d v="2024-10-28T00:00:00" u="1"/>
        <d v="2024-10-29T00:00:00" u="1"/>
        <d v="2024-10-31T00:00:00" u="1"/>
        <d v="2024-11-25T00:00:00" u="1"/>
        <d v="2024-11-27T00:00:00" u="1"/>
        <d v="2024-12-17T00:00:00" u="1"/>
        <d v="2024-10-07T00:00:00" u="1"/>
        <d v="2024-09-24T00:00:00" u="1"/>
        <d v="2024-09-30T00:00:00" u="1"/>
        <d v="2024-10-23T00:00:00" u="1"/>
        <d v="2024-11-26T00:00:00" u="1"/>
        <d v="2024-11-29T00:00:00" u="1"/>
        <d v="2025-01-09T00:00:00" u="1"/>
        <d v="2024-09-20T00:00:00" u="1"/>
        <d v="2024-09-26T00:00:00" u="1"/>
        <d v="2024-10-21T00:00:00" u="1"/>
        <d v="2025-01-08T00:00:00" u="1"/>
        <d v="2024-09-17T00:00:00" u="1"/>
        <d v="2024-09-23T00:00:00" u="1"/>
        <d v="2024-10-16T00:00:00" u="1"/>
        <d v="2024-10-18T00:00:00" u="1"/>
        <d v="2024-11-19T00:00:00" u="1"/>
        <d v="2024-11-22T00:00:00" u="1"/>
        <d v="2024-10-08T00:00:00" u="1"/>
        <d v="2024-10-09T00:00:00" u="1"/>
        <d v="2024-09-09T00:00:00" u="1"/>
        <d v="2024-09-13T00:00:00" u="1"/>
        <d v="2024-12-12T00:00:00" u="1"/>
        <d v="2024-09-06T00:00:00" u="1"/>
        <d v="2024-09-12T00:00:00" u="1"/>
        <d v="2024-10-04T00:00:00" u="1"/>
        <d v="2024-09-05T00:00:00" u="1"/>
        <d v="2024-09-11T00:00:00" u="1"/>
        <d v="2024-10-03T00:00:00" u="1"/>
        <d v="2024-08-28T00:00:00" u="1"/>
        <d v="2024-09-04T00:00:00" u="1"/>
        <d v="2024-09-27T00:00:00" u="1"/>
        <d v="2024-10-01T00:00:00" u="1"/>
        <d v="2024-12-03T00:00:00" u="1"/>
        <d v="2024-08-27T00:00:00" u="1"/>
        <d v="2024-09-03T00:00:00" u="1"/>
        <d v="2024-10-30T00:00:00" u="1"/>
        <d v="2024-11-28T00:00:00" u="1"/>
        <d v="2024-08-22T00:00:00" u="1"/>
        <d v="2024-08-23T00:00:00" u="1"/>
        <d v="2024-08-30T00:00:00" u="1"/>
        <d v="2024-08-19T00:00:00" u="1"/>
        <d v="2024-08-20T00:00:00" u="1"/>
        <d v="2024-09-19T00:00:00" u="1"/>
        <d v="2024-10-22T00:00:00" u="1"/>
        <d v="2024-08-16T00:00:00" u="1"/>
        <d v="2024-08-26T00:00:00" u="1"/>
        <d v="2024-09-18T00:00:00" u="1"/>
        <d v="2024-08-15T00:00:00" u="1"/>
        <d v="2024-08-14T00:00:00" u="1"/>
        <d v="2024-09-10T00:00:00" u="1"/>
        <d v="2024-09-16T00:00:00" u="1"/>
        <d v="2024-10-17T00:00:00" u="1"/>
        <d v="2024-08-12T00:00:00" u="1"/>
        <d v="2024-08-13T00:00:00" u="1"/>
        <d v="2024-08-06T00:00:00" u="1"/>
        <d v="2024-07-19T00:00:00" u="1"/>
        <d v="2024-07-05T00:00:00" u="1"/>
        <d v="2024-07-09T00:00:00" u="1"/>
        <d v="2024-07-10T00:00:00" u="1"/>
        <d v="2024-07-15T00:00:00" u="1"/>
        <d v="2025-02-14T00:00:00" u="1"/>
        <d v="2025-03-03T00:00:00" u="1"/>
        <d v="2024-06-18T00:00:00" u="1"/>
        <d v="2024-06-19T00:00:00" u="1"/>
        <d v="2024-06-20T00:00:00" u="1"/>
        <d v="2024-06-21T00:00:00" u="1"/>
        <d v="2024-06-25T00:00:00" u="1"/>
        <d v="2024-06-28T00:00:00" u="1"/>
        <d v="2025-02-03T00:00:00" u="1"/>
        <d v="2025-02-04T00:00:00" u="1"/>
        <d v="2025-02-20T00:00:00" u="1"/>
        <d v="2024-12-20T00:00:00" u="1"/>
        <d v="2025-01-22T00:00:00" u="1"/>
        <d v="2024-08-21T00:00:00" u="1"/>
        <d v="2024-06-14T00:00:00" u="1"/>
        <d v="2024-12-16T00:00:00" u="1"/>
        <d v="2025-01-14T00:00:00" u="1"/>
        <d v="2025-01-17T00:00:00" u="1"/>
        <d v="2024-06-05T00:00:00" u="1"/>
        <d v="2024-06-07T00:00:00" u="1"/>
        <d v="2024-07-16T00:00:00" u="1"/>
        <d v="2024-06-06T00:00:00" u="1"/>
        <d v="2024-06-10T00:00:00" u="1"/>
        <d v="2024-06-11T00:00:00" u="1"/>
        <d v="2024-06-17T00:00:00" u="1"/>
        <d v="2024-05-31T00:00:00" u="1"/>
        <d v="2024-06-04T00:00:00" u="1"/>
        <d v="2024-05-10T00:00:00" u="1"/>
        <d v="2024-05-15T00:00:00" u="1"/>
        <d v="2024-05-16T00:00:00" u="1"/>
        <d v="2024-05-17T00:00:00" u="1"/>
        <d v="2024-05-23T00:00:00" u="1"/>
        <d v="2024-05-27T00:00:00" u="1"/>
        <d v="2024-05-28T00:00:00" u="1"/>
        <d v="2024-05-29T00:00:00" u="1"/>
        <d v="2024-08-05T00:00:00" u="1"/>
        <d v="2024-04-10T00:00:00" u="1"/>
        <d v="2024-04-23T00:00:00" u="1"/>
        <d v="2024-04-26T00:00:00" u="1"/>
        <d v="2024-04-29T00:00:00" u="1"/>
        <d v="2024-05-02T00:00:00" u="1"/>
        <d v="2024-06-27T00:00:00" u="1"/>
        <d v="2024-04-08T00:00:00" u="1"/>
        <d v="2024-04-19T00:00:00" u="1"/>
        <d v="2024-04-24T00:00:00" u="1"/>
        <d v="2024-05-09T00:00:00" u="1"/>
        <d v="2024-05-14T00:00:00" u="1"/>
        <d v="2024-03-29T00:00:00" u="1"/>
        <d v="2024-04-02T00:00:00" u="1"/>
        <d v="2024-04-16T00:00:00" u="1"/>
        <d v="2024-04-18T00:00:00" u="1"/>
        <d v="2024-05-06T00:00:00" u="1"/>
        <d v="2024-04-03T00:00:00" u="1"/>
        <d v="2024-05-01T00:00:00" u="1"/>
        <d v="2024-03-28T00:00:00" u="1"/>
        <d v="2024-04-09T00:00:00" u="1"/>
        <d v="2024-04-15T00:00:00" u="1"/>
        <d v="2024-04-17T00:00:00" u="1"/>
        <d v="2024-04-11T00:00:00" u="1"/>
        <d v="2024-04-22T00:00:00" u="1"/>
        <d v="2024-03-08T00:00:00" u="1"/>
        <d v="2024-03-11T00:00:00" u="1"/>
        <d v="2024-03-20T00:00:00" u="1"/>
        <d v="2024-03-21T00:00:00" u="1"/>
        <d v="2024-03-12T00:00:00" u="1"/>
        <d v="2024-04-04T00:00:00" u="1"/>
        <d v="2024-04-25T00:00:00" u="1"/>
        <d v="2024-02-23T00:00:00" u="1"/>
        <d v="2024-02-26T00:00:00" u="1"/>
        <d v="2024-02-28T00:00:00" u="1"/>
        <d v="2024-02-29T00:00:00" u="1"/>
        <d v="2024-03-05T00:00:00" u="1"/>
        <d v="2024-03-06T00:00:00" u="1"/>
        <d v="2024-03-25T00:00:00" u="1"/>
        <d v="2024-03-26T00:00:00" u="1"/>
        <d v="2024-03-27T00:00:00" u="1"/>
        <d v="2024-02-06T00:00:00" u="1"/>
        <d v="2024-02-07T00:00:00" u="1"/>
        <d v="2024-02-08T00:00:00" u="1"/>
        <d v="2024-02-09T00:00:00" u="1"/>
        <d v="2024-02-12T00:00:00" u="1"/>
        <d v="2024-02-13T00:00:00" u="1"/>
        <d v="2024-02-19T00:00:00" u="1"/>
        <d v="2024-02-20T00:00:00" u="1"/>
        <d v="2024-02-01T00:00:00" u="1"/>
        <d v="2024-02-02T00:00:00" u="1"/>
        <d v="2024-02-05T00:00:00" u="1"/>
        <d v="2024-02-14T00:00:00" u="1"/>
        <d v="2024-01-29T00:00:00" u="1"/>
        <d v="2024-01-30T00:00:00" u="1"/>
        <d v="2024-01-31T00:00:00" u="1"/>
        <d v="2024-02-21T00:00:00" u="1"/>
        <d v="2024-02-15T00:00:00" u="1"/>
        <d v="2024-01-26T00:00:00" u="1"/>
        <d v="2024-01-12T00:00:00" u="1"/>
        <d v="2024-01-22T00:00:00" u="1"/>
        <d v="2024-01-23T00:00:00" u="1"/>
        <d v="2024-01-24T00:00:00" u="1"/>
        <d v="2023-12-12T00:00:00" u="1"/>
        <d v="2023-12-13T00:00:00" u="1"/>
        <d v="2023-12-15T00:00:00" u="1"/>
        <d v="2023-12-19T00:00:00" u="1"/>
        <d v="2024-01-17T00:00:00" u="1"/>
        <d v="2024-01-18T00:00:00" u="1"/>
        <d v="2023-12-18T00:00:00" u="1"/>
        <d v="2023-12-21T00:00:00" u="1"/>
      </sharedItems>
    </cacheField>
    <cacheField name="PL-2" numFmtId="0">
      <sharedItems containsDate="1" containsBlank="1" containsMixedTypes="1" minDate="1899-12-31T01:13:04" maxDate="2024-08-01T00:00:00" count="558">
        <s v="DATE FIN"/>
        <n v="48"/>
        <m/>
        <d v="2025-03-26T00:00:00"/>
        <s v=" "/>
        <d v="2025-03-28T00:00:00"/>
        <d v="2025-04-07T00:00:00"/>
        <d v="2025-04-08T00:00:00"/>
        <d v="2025-04-09T00:00:00"/>
        <d v="2025-04-11T00:00:00"/>
        <d v="2025-04-14T00:00:00"/>
        <d v="2025-06-03T00:00:00"/>
        <d v="2025-06-11T00:00:00"/>
        <d v="2025-06-12T00:00:00"/>
        <d v="2025-06-27T00:00:00"/>
        <d v="2025-07-09T00:00:00"/>
        <d v="2025-03-25T00:00:00" u="1"/>
        <d v="2025-03-27T00:00:00" u="1"/>
        <d v="2025-04-04T00:00:00" u="1"/>
        <d v="2025-04-10T00:00:00" u="1"/>
        <d v="2025-06-02T00:00:00" u="1"/>
        <d v="2025-06-10T00:00:00" u="1"/>
        <d v="2025-06-26T00:00:00" u="1"/>
        <d v="2025-07-08T00:00:00" u="1"/>
        <d v="2025-05-28T00:00:00" u="1"/>
        <d v="2025-06-05T00:00:00" u="1"/>
        <d v="2025-06-06T00:00:00" u="1"/>
        <d v="2025-05-27T00:00:00" u="1"/>
        <d v="2025-06-04T00:00:00" u="1"/>
        <d v="2025-03-21T00:00:00" u="1"/>
        <d v="2025-03-24T00:00:00" u="1"/>
        <d v="2025-04-02T00:00:00" u="1"/>
        <d v="2025-05-23T00:00:00" u="1"/>
        <d v="2025-06-16T00:00:00" u="1"/>
        <d v="2025-06-17T00:00:00" u="1"/>
        <d v="2025-06-19T00:00:00" u="1"/>
        <d v="2025-06-23T00:00:00" u="1"/>
        <d v="2025-07-04T00:00:00" u="1"/>
        <d v="2025-08-19T00:00:00" u="1"/>
        <d v="2025-09-05T00:00:00" u="1"/>
        <d v="2025-10-06T00:00:00" u="1"/>
        <d v="2025-10-08T00:00:00" u="1"/>
        <d v="2025-10-14T00:00:00" u="1"/>
        <d v="2025-10-20T00:00:00" u="1"/>
        <d v="2025-11-10T00:00:00" u="1"/>
        <d v="2025-03-05T00:00:00" u="1"/>
        <d v="2025-07-14T00:00:00" u="1"/>
        <d v="2025-08-20T00:00:00" u="1"/>
        <d v="2025-09-09T00:00:00" u="1"/>
        <d v="2025-09-12T00:00:00" u="1"/>
        <d v="2025-09-18T00:00:00" u="1"/>
        <d v="2025-03-04T00:00:00" u="1"/>
        <d v="2025-03-31T00:00:00" u="1"/>
        <d v="2025-08-21T00:00:00" u="1"/>
        <d v="2025-03-07T00:00:00" u="1"/>
        <d v="2025-03-11T00:00:00" u="1"/>
        <d v="2025-03-18T00:00:00" u="1"/>
        <d v="2025-08-15T00:00:00" u="1"/>
        <d v="2025-09-04T00:00:00" u="1"/>
        <d v="2025-02-05T00:00:00" u="1"/>
        <d v="2025-02-06T00:00:00" u="1"/>
        <d v="2025-02-07T00:00:00" u="1"/>
        <d v="2025-02-11T00:00:00" u="1"/>
        <d v="2025-02-14T00:00:00" u="1"/>
        <d v="2025-02-20T00:00:00" u="1"/>
        <d v="2025-02-21T00:00:00" u="1"/>
        <d v="2025-07-02T00:00:00" u="1"/>
        <d v="2025-07-18T00:00:00" u="1"/>
        <d v="2025-08-25T00:00:00" u="1"/>
        <d v="2025-02-24T00:00:00" u="1"/>
        <d v="2025-06-25T00:00:00" u="1"/>
        <d v="2025-02-10T00:00:00" u="1"/>
        <d v="2025-02-12T00:00:00" u="1"/>
        <d v="2025-02-13T00:00:00" u="1"/>
        <d v="2025-04-15T00:00:00" u="1"/>
        <d v="2025-02-17T00:00:00" u="1"/>
        <d v="2025-04-25T00:00:00" u="1"/>
        <d v="2025-05-08T00:00:00" u="1"/>
        <d v="2024-11-12T00:00:00" u="1"/>
        <d v="2024-11-14T00:00:00" u="1"/>
        <d v="2024-11-21T00:00:00" u="1"/>
        <d v="2024-11-26T00:00:00" u="1"/>
        <d v="2024-11-28T00:00:00" u="1"/>
        <d v="2024-12-06T00:00:00" u="1"/>
        <d v="2025-03-12T00:00:00" u="1"/>
        <d v="2025-03-13T00:00:00" u="1"/>
        <d v="2025-03-17T00:00:00" u="1"/>
        <d v="2025-03-19T00:00:00" u="1"/>
        <d v="2024-10-24T00:00:00" u="1"/>
        <d v="2024-10-28T00:00:00" u="1"/>
        <d v="2024-10-29T00:00:00" u="1"/>
        <d v="2024-10-30T00:00:00" u="1"/>
        <d v="2024-11-04T00:00:00" u="1"/>
        <d v="2024-11-06T00:00:00" u="1"/>
        <d v="2024-11-11T00:00:00" u="1"/>
        <d v="2024-11-15T00:00:00" u="1"/>
        <d v="2024-11-20T00:00:00" u="1"/>
        <d v="2024-11-27T00:00:00" u="1"/>
        <d v="2024-12-02T00:00:00" u="1"/>
        <d v="2024-10-23T00:00:00" u="1"/>
        <d v="2024-10-25T00:00:00" u="1"/>
        <d v="2024-10-31T00:00:00" u="1"/>
        <d v="2024-11-01T00:00:00" u="1"/>
        <d v="2024-11-05T00:00:00" u="1"/>
        <d v="2024-11-13T00:00:00" u="1"/>
        <d v="2024-11-19T00:00:00" u="1"/>
        <d v="2024-10-09T00:00:00" u="1"/>
        <d v="2024-10-11T00:00:00" u="1"/>
        <d v="2024-10-16T00:00:00" u="1"/>
        <d v="2024-10-17T00:00:00" u="1"/>
        <d v="2024-10-21T00:00:00" u="1"/>
        <d v="2024-11-08T00:00:00" u="1"/>
        <d v="2024-11-18T00:00:00" u="1"/>
        <d v="2025-02-25T00:00:00" u="1"/>
        <d v="2025-03-10T00:00:00" u="1"/>
        <d v="2024-10-08T00:00:00" u="1"/>
        <d v="2024-10-10T00:00:00" u="1"/>
        <d v="2024-10-15T00:00:00" u="1"/>
        <d v="2024-10-22T00:00:00" u="1"/>
        <d v="2024-11-07T00:00:00" u="1"/>
        <d v="2025-01-24T00:00:00" u="1"/>
        <d v="2025-02-03T00:00:00" u="1"/>
        <d v="2025-02-27T00:00:00" u="1"/>
        <d v="2024-09-24T00:00:00" u="1"/>
        <d v="2024-09-26T00:00:00" u="1"/>
        <d v="2024-10-01T00:00:00" u="1"/>
        <d v="2024-10-18T00:00:00" u="1"/>
        <d v="2025-02-04T00:00:00" u="1"/>
        <d v="2024-09-20T00:00:00" u="1"/>
        <d v="2024-09-27T00:00:00" u="1"/>
        <d v="2024-10-04T00:00:00" u="1"/>
        <d v="2025-01-31T00:00:00" u="1"/>
        <d v="2024-09-19T00:00:00" u="1"/>
        <d v="2024-09-18T00:00:00" u="1"/>
        <d v="2024-10-02T00:00:00" u="1"/>
        <d v="2024-12-12T00:00:00" u="1"/>
        <d v="2025-01-06T00:00:00" u="1"/>
        <d v="2024-09-11T00:00:00" u="1"/>
        <d v="2024-09-16T00:00:00" u="1"/>
        <d v="2024-09-30T00:00:00" u="1"/>
        <d v="2025-01-17T00:00:00" u="1"/>
        <d v="2025-01-29T00:00:00" u="1"/>
        <d v="2024-09-10T00:00:00" u="1"/>
        <d v="2024-09-13T00:00:00" u="1"/>
        <d v="2025-01-21T00:00:00" u="1"/>
        <d v="2024-09-09T00:00:00" u="1"/>
        <d v="2024-09-12T00:00:00" u="1"/>
        <d v="2024-09-25T00:00:00" u="1"/>
        <d v="2025-01-20T00:00:00" u="1"/>
        <d v="2025-01-30T00:00:00" u="1"/>
        <d v="2024-08-28T00:00:00" u="1"/>
        <d v="2024-08-30T00:00:00" u="1"/>
        <d v="2024-09-05T00:00:00" u="1"/>
        <d v="2024-09-23T00:00:00" u="1"/>
        <d v="2024-10-07T00:00:00" u="1"/>
        <d v="2025-01-16T00:00:00" u="1"/>
        <d v="2024-08-27T00:00:00" u="1"/>
        <d v="2024-08-29T00:00:00" u="1"/>
        <d v="2024-09-04T00:00:00" u="1"/>
        <d v="2024-10-03T00:00:00" u="1"/>
        <d v="2025-01-09T00:00:00" u="1"/>
        <d v="2024-08-23T00:00:00" u="1"/>
        <d v="2025-01-07T00:00:00" u="1"/>
        <d v="2024-08-19T00:00:00" u="1"/>
        <d v="2024-08-20T00:00:00" u="1"/>
        <d v="2024-08-21T00:00:00" u="1"/>
        <d v="2024-09-17T00:00:00" u="1"/>
        <d v="2024-08-22T00:00:00" u="1"/>
        <d v="2024-12-19T00:00:00" u="1"/>
        <d v="2024-08-26T00:00:00" u="1"/>
        <d v="2024-12-18T00:00:00" u="1"/>
        <d v="2025-01-10T00:00:00" u="1"/>
        <d v="2024-08-16T00:00:00" u="1"/>
        <d v="2024-08-15T00:00:00" u="1"/>
        <d v="2024-09-06T00:00:00" u="1"/>
        <d v="2024-08-13T00:00:00" u="1"/>
        <d v="2024-08-14T00:00:00" u="1"/>
        <d v="2024-12-17T00:00:00" u="1"/>
        <d v="2024-08-12T00:00:00" u="1"/>
        <d v="2024-12-05T00:00:00" u="1"/>
        <d v="2024-07-05T00:00:00" u="1"/>
        <d v="2024-07-08T00:00:00" u="1"/>
        <d v="2024-07-10T00:00:00" u="1"/>
        <d v="2024-07-11T00:00:00" u="1"/>
        <d v="2025-02-19T00:00:00" u="1"/>
        <d v="2025-04-24T00:00:00" u="1"/>
        <d v="2025-06-18T00:00:00" u="1"/>
        <d v="2024-06-18T00:00:00" u="1"/>
        <d v="2024-06-19T00:00:00" u="1"/>
        <d v="2024-06-21T00:00:00" u="1"/>
        <d v="2024-06-25T00:00:00" u="1"/>
        <d v="2025-05-26T00:00:00" u="1"/>
        <d v="2025-01-14T00:00:00" u="1"/>
        <d v="2025-05-05T00:00:00" u="1"/>
        <d v="2025-05-13T00:00:00" u="1"/>
        <d v="2024-07-19T00:00:00" u="1"/>
        <d v="2024-06-14T00:00:00" u="1"/>
        <d v="2024-06-17T00:00:00" u="1"/>
        <d v="2025-04-28T00:00:00" u="1"/>
        <d v="2024-06-05T00:00:00" u="1"/>
        <d v="2024-06-06T00:00:00" u="1"/>
        <d v="2024-07-02T00:00:00" u="1"/>
        <d v="2024-12-13T00:00:00" u="1"/>
        <d v="2024-06-04T00:00:00" u="1"/>
        <d v="2024-05-30T00:00:00" u="1"/>
        <d v="2024-06-03T00:00:00" u="1"/>
        <d v="2024-05-08T00:00:00" u="1"/>
        <d v="2024-05-16T00:00:00" u="1"/>
        <d v="2024-05-23T00:00:00" u="1"/>
        <d v="2024-05-29T00:00:00" u="1"/>
        <d v="2024-04-19T00:00:00" u="1"/>
        <d v="2024-04-29T00:00:00" u="1"/>
        <d v="2024-05-03T00:00:00" u="1"/>
        <d v="2024-05-09T00:00:00" u="1"/>
        <d v="2024-04-17T00:00:00" u="1"/>
        <d v="2024-04-25T00:00:00" u="1"/>
        <d v="2024-05-14T00:00:00" u="1"/>
        <d v="2024-05-21T00:00:00" u="1"/>
        <d v="2024-03-28T00:00:00" u="1"/>
        <d v="2024-04-15T00:00:00" u="1"/>
        <d v="2024-04-23T00:00:00" u="1"/>
        <d v="2024-04-24T00:00:00" u="1"/>
        <d v="2024-05-07T00:00:00" u="1"/>
        <d v="2024-05-15T00:00:00" u="1"/>
        <d v="2024-05-22T00:00:00" u="1"/>
        <d v="2024-03-29T00:00:00" u="1"/>
        <d v="2024-04-11T00:00:00" u="1"/>
        <d v="2024-04-16T00:00:00" u="1"/>
        <d v="2024-05-01T00:00:00" u="1"/>
        <d v="2024-04-02T00:00:00" u="1"/>
        <d v="2024-03-08T00:00:00" u="1"/>
        <d v="2024-03-11T00:00:00" u="1"/>
        <d v="2024-03-12T00:00:00" u="1"/>
        <d v="2024-03-25T00:00:00" u="1"/>
        <d v="2024-04-03T00:00:00" u="1"/>
        <d v="2024-02-26T00:00:00" u="1"/>
        <d v="2024-02-28T00:00:00" u="1"/>
        <d v="2024-03-15T00:00:00" u="1"/>
        <d v="2024-03-20T00:00:00" u="1"/>
        <d v="2024-02-01T00:00:00" u="1"/>
        <d v="2024-02-02T00:00:00" u="1"/>
        <d v="2024-02-05T00:00:00" u="1"/>
        <d v="2024-02-08T00:00:00" u="1"/>
        <d v="2024-02-20T00:00:00" u="1"/>
        <d v="2024-02-29T00:00:00" u="1"/>
        <d v="2024-02-06T00:00:00" u="1"/>
        <d v="2024-02-12T00:00:00" u="1"/>
        <d v="2024-02-23T00:00:00" u="1"/>
        <d v="2024-03-05T00:00:00" u="1"/>
        <d v="2024-01-26T00:00:00" u="1"/>
        <d v="2024-01-29T00:00:00" u="1"/>
        <d v="2024-01-30T00:00:00" u="1"/>
        <d v="2024-01-31T00:00:00" u="1"/>
        <d v="2024-02-19T00:00:00" u="1"/>
        <d v="2024-01-22T00:00:00" u="1"/>
        <d v="2024-01-24T00:00:00" u="1"/>
        <d v="2024-02-13T00:00:00" u="1"/>
        <d v="2024-02-14T00:00:00" u="1"/>
        <d v="2024-02-15T00:00:00" u="1"/>
        <d v="2024-02-16T00:00:00" u="1"/>
        <d v="2024-03-07T00:00:00" u="1"/>
        <d v="2024-03-18T00:00:00" u="1"/>
        <d v="2024-03-21T00:00:00" u="1"/>
        <d v="2024-02-27T00:00:00" u="1"/>
        <d v="2024-03-04T00:00:00" u="1"/>
        <d v="2024-01-19T00:00:00" u="1"/>
        <d v="2024-01-23T00:00:00" u="1"/>
        <d v="2024-01-15T00:00:00" u="1"/>
        <d v="2024-01-17T00:00:00" u="1"/>
        <d v="2023-12-12T00:00:00" u="1"/>
        <d v="2023-12-18T00:00:00" u="1"/>
        <d v="2023-12-20T00:00:00" u="1"/>
        <d v="2023-12-22T00:00:00" u="1"/>
        <d v="2024-01-05T00:00:00" u="1"/>
        <d v="2024-01-08T00:00:00" u="1"/>
        <d v="2024-01-16T00:00:00" u="1"/>
        <d v="2023-12-15T00:00:00" u="1"/>
        <d v="2023-12-19T00:00:00" u="1"/>
        <d v="2023-12-21T00:00:00" u="1"/>
        <d v="2024-01-10T00:00:00" u="1"/>
        <d v="2023-11-30T00:00:00" u="1"/>
        <d v="2023-12-05T00:00:00" u="1"/>
        <d v="2023-12-07T00:00:00" u="1"/>
        <d v="2023-12-11T00:00:00" u="1"/>
        <d v="2023-12-13T00:00:00" u="1"/>
        <d v="2023-12-14T00:00:00" u="1"/>
        <d v="2024-01-09T00:00:00" u="1"/>
        <d v="2023-11-23T00:00:00" u="1"/>
        <d v="2023-11-29T00:00:00" u="1"/>
        <d v="2023-12-01T00:00:00" u="1"/>
        <d v="2023-12-06T00:00:00" u="1"/>
        <d v="2023-12-08T00:00:00" u="1"/>
        <d v="2023-11-17T00:00:00" u="1"/>
        <d v="2023-11-20T00:00:00" u="1"/>
        <d v="2023-11-27T00:00:00" u="1"/>
        <d v="2023-11-28T00:00:00" u="1"/>
        <d v="2024-04-12T00:00:00" u="1"/>
        <d v="2024-06-12T00:00:00" u="1"/>
        <d v="2024-07-03T00:00:00" u="1"/>
        <d v="2024-09-02T00:00:00" u="1"/>
        <d v="2024-09-03T00:00:00" u="1"/>
        <d v="2023-11-14T00:00:00" u="1"/>
        <d v="2023-11-15T00:00:00" u="1"/>
        <d v="2023-11-22T00:00:00" u="1"/>
        <d v="2023-11-24T00:00:00" u="1"/>
        <d v="2023-11-13T00:00:00" u="1"/>
        <d v="2023-11-21T00:00:00" u="1"/>
        <d v="2023-11-06T00:00:00" u="1"/>
        <d v="2023-11-07T00:00:00" u="1"/>
        <d v="2023-10-19T00:00:00" u="1"/>
        <d v="2023-10-20T00:00:00" u="1"/>
        <d v="2023-10-25T00:00:00" u="1"/>
        <d v="2023-11-16T00:00:00" u="1"/>
        <d v="2023-10-17T00:00:00" u="1"/>
        <d v="2023-10-18T00:00:00" u="1"/>
        <d v="2023-10-23T00:00:00" u="1"/>
        <d v="2023-12-04T00:00:00" u="1"/>
        <d v="2023-09-18T00:00:00" u="1"/>
        <d v="2023-09-25T00:00:00" u="1"/>
        <d v="2023-09-26T00:00:00" u="1"/>
        <d v="2023-09-27T00:00:00" u="1"/>
        <d v="2023-10-05T00:00:00" u="1"/>
        <d v="2023-10-30T00:00:00" u="1"/>
        <d v="2023-10-31T00:00:00" u="1"/>
        <d v="2023-11-03T00:00:00" u="1"/>
        <d v="2023-09-28T00:00:00" u="1"/>
        <d v="2023-10-02T00:00:00" u="1"/>
        <d v="2023-10-10T00:00:00" u="1"/>
        <d v="2023-11-01T00:00:00" u="1"/>
        <d v="2023-11-02T00:00:00" u="1"/>
        <d v="2023-11-08T00:00:00" u="1"/>
        <d v="2023-11-09T00:00:00" u="1"/>
        <d v="2023-11-10T00:00:00" u="1"/>
        <d v="2023-09-11T00:00:00" u="1"/>
        <d v="2023-09-19T00:00:00" u="1"/>
        <d v="2023-09-20T00:00:00" u="1"/>
        <d v="2023-09-22T00:00:00" u="1"/>
        <d v="2023-10-03T00:00:00" u="1"/>
        <d v="2023-10-26T00:00:00" u="1"/>
        <d v="2023-10-27T00:00:00" u="1"/>
        <d v="2023-09-21T00:00:00" u="1"/>
        <d v="2023-09-12T00:00:00" u="1"/>
        <d v="2023-09-14T00:00:00" u="1"/>
        <d v="2023-10-04T00:00:00" u="1"/>
        <d v="2023-09-08T00:00:00" u="1"/>
        <d v="2023-09-13T00:00:00" u="1"/>
        <d v="2023-09-15T00:00:00" u="1"/>
        <d v="2023-09-29T00:00:00" u="1"/>
        <d v="2023-10-24T00:00:00" u="1"/>
        <d v="2021-09-01T00:00:00" u="1"/>
        <d v="2022-02-23T00:00:00" u="1"/>
        <d v="2022-04-14T00:00:00" u="1"/>
        <d v="2023-08-22T00:00:00" u="1"/>
        <d v="2023-10-13T00:00:00" u="1"/>
        <d v="2022-09-01T00:00:00" u="1"/>
        <d v="2021-09-20T00:00:00" u="1"/>
        <d v="2022-01-11T00:00:00" u="1"/>
        <d v="2022-08-15T00:00:00" u="1"/>
        <d v="2022-10-06T00:00:00" u="1"/>
        <d v="2022-04-07T00:00:00" u="1"/>
        <d v="2022-09-20T00:00:00" u="1"/>
        <d v="2022-11-11T00:00:00" u="1"/>
        <d v="2023-08-15T00:00:00" u="1"/>
        <d v="2023-10-06T00:00:00" u="1"/>
        <d v="2022-05-12T00:00:00" u="1"/>
        <d v="2021-09-13T00:00:00" u="1"/>
        <d v="2022-04-26T00:00:00" u="1"/>
        <d v="2021-08-27T00:00:00" u="1"/>
        <d v="2022-02-09T00:00:00" u="1"/>
        <d v="2022-05-31T00:00:00" u="1"/>
        <d v="2023-08-08T00:00:00" u="1"/>
        <d v="2022-03-14T00:00:00" u="1"/>
        <d v="2022-10-18T00:00:00" u="1"/>
        <d v="2024-01-04T00:00:00" u="1"/>
        <d v="2024-08-08T00:00:00" u="1"/>
        <d v="2021-07-15T00:00:00" u="1"/>
        <d v="2021-06-29T00:00:00" u="1"/>
        <d v="2021-08-20T00:00:00" u="1"/>
        <d v="2022-02-02T00:00:00" u="1"/>
        <d v="2022-09-06T00:00:00" u="1"/>
        <d v="2024-03-14T00:00:00" u="1"/>
        <d v="2022-10-11T00:00:00" u="1"/>
        <d v="2022-12-02T00:00:00" u="1"/>
        <d v="2023-09-06T00:00:00" u="1"/>
        <d v="2023-12-28T00:00:00" u="1"/>
        <d v="2022-04-12T00:00:00" u="1"/>
        <d v="2022-06-03T00:00:00" u="1"/>
        <d v="2023-10-11T00:00:00" u="1"/>
        <d v="2021-10-04T00:00:00" u="1"/>
        <d v="2022-05-17T00:00:00" u="1"/>
        <d v="2022-10-04T00:00:00" u="1"/>
        <d v="2022-01-28T00:00:00" u="1"/>
        <d v="2023-07-27T00:00:00" u="1"/>
        <d v="2021-08-25T00:00:00" u="1"/>
        <d v="2022-02-07T00:00:00" u="1"/>
        <d v="2024-03-19T00:00:00" u="1"/>
        <d v="2022-01-21T00:00:00" u="1"/>
        <d v="2022-08-25T00:00:00" u="1"/>
        <d v="2023-07-20T00:00:00" u="1"/>
        <d v="2024-08-06T00:00:00" u="1"/>
        <d v="2021-07-13T00:00:00" u="1"/>
        <d v="2022-09-30T00:00:00" u="1"/>
        <d v="2022-11-21T00:00:00" u="1"/>
        <d v="2023-08-25T00:00:00" u="1"/>
        <d v="2023-10-16T00:00:00" u="1"/>
        <d v="2021-08-18T00:00:00" u="1"/>
        <d v="2022-03-31T00:00:00" u="1"/>
        <d v="2021-09-23T00:00:00" u="1"/>
        <d v="2023-12-26T00:00:00" u="1"/>
        <d v="2022-09-23T00:00:00" u="1"/>
        <d v="2023-08-18T00:00:00" u="1"/>
        <d v="2021-08-11T00:00:00" u="1"/>
        <d v="2021-09-16T00:00:00" u="1"/>
        <d v="2022-01-07T00:00:00" u="1"/>
        <d v="2022-09-16T00:00:00" u="1"/>
        <d v="2021-08-04T00:00:00" u="1"/>
        <d v="2022-01-26T00:00:00" u="1"/>
        <d v="2021-09-09T00:00:00" u="1"/>
        <d v="2022-04-22T00:00:00" u="1"/>
        <d v="2022-08-04T00:00:00" u="1"/>
        <d v="2023-08-30T00:00:00" u="1"/>
        <d v="2021-08-23T00:00:00" u="1"/>
        <d v="2021-10-14T00:00:00" u="1"/>
        <d v="2022-09-09T00:00:00" u="1"/>
        <d v="2021-09-28T00:00:00" u="1"/>
        <d v="2022-01-19T00:00:00" u="1"/>
        <d v="2022-08-23T00:00:00" u="1"/>
        <d v="2022-10-14T00:00:00" u="1"/>
        <d v="2022-12-05T00:00:00" u="1"/>
        <d v="2023-07-18T00:00:00" u="1"/>
        <d v="2022-04-15T00:00:00" u="1"/>
        <d v="2022-09-28T00:00:00" u="1"/>
        <d v="2021-10-07T00:00:00" u="1"/>
        <d v="2022-03-29T00:00:00" u="1"/>
        <d v="2022-05-20T00:00:00" u="1"/>
        <d v="2022-09-02T00:00:00" u="1"/>
        <d v="2021-09-21T00:00:00" u="1"/>
        <d v="2022-01-12T00:00:00" u="1"/>
        <d v="2022-08-16T00:00:00" u="1"/>
        <d v="2022-10-07T00:00:00" u="1"/>
        <d v="2022-04-08T00:00:00" u="1"/>
        <d v="2022-09-21T00:00:00" u="1"/>
        <d v="2023-08-16T00:00:00" u="1"/>
        <d v="2021-08-09T00:00:00" u="1"/>
        <d v="2022-01-31T00:00:00" u="1"/>
        <d v="2022-05-13T00:00:00" u="1"/>
        <d v="2022-10-26T00:00:00" u="1"/>
        <d v="2021-09-14T00:00:00" u="1"/>
        <d v="2022-04-27T00:00:00" u="1"/>
        <d v="2024-07-30T00:00:00" u="1"/>
        <d v="2022-02-10T00:00:00" u="1"/>
        <d v="2022-04-01T00:00:00" u="1"/>
        <d v="2022-09-14T00:00:00" u="1"/>
        <d v="2023-08-09T00:00:00" u="1"/>
        <d v="2021-08-02T00:00:00" u="1"/>
        <d v="2022-01-24T00:00:00" u="1"/>
        <d v="2021-07-16T00:00:00" u="1"/>
        <d v="2021-09-07T00:00:00" u="1"/>
        <d v="2023-08-28T00:00:00" u="1"/>
        <d v="2024-07-23T00:00:00" u="1"/>
        <d v="2021-06-30T00:00:00" u="1"/>
        <d v="2022-02-03T00:00:00" u="1"/>
        <d v="2022-09-07T00:00:00" u="1"/>
        <d v="2024-05-06T00:00:00" u="1"/>
        <d v="2022-01-17T00:00:00" u="1"/>
        <d v="2022-10-12T00:00:00" u="1"/>
        <d v="2023-09-07T00:00:00" u="1"/>
        <d v="2024-08-02T00:00:00" u="1"/>
        <d v="2021-07-09T00:00:00" u="1"/>
        <d v="2022-02-22T00:00:00" u="1"/>
        <d v="2022-04-13T00:00:00" u="1"/>
        <d v="2022-09-26T00:00:00" u="1"/>
        <d v="2023-10-12T00:00:00" u="1"/>
        <e v="#N/A" u="1"/>
        <d v="2021-10-05T00:00:00" u="1"/>
        <d v="2022-05-18T00:00:00" u="1"/>
        <d v="2022-10-31T00:00:00" u="1"/>
        <d v="2022-01-10T00:00:00" u="1"/>
        <d v="2022-04-06T00:00:00" u="1"/>
        <d v="2022-09-19T00:00:00" u="1"/>
        <d v="2022-11-10T00:00:00" u="1"/>
        <d v="2022-05-11T00:00:00" u="1"/>
        <d v="2023-07-28T00:00:00" u="1"/>
        <d v="2022-04-25T00:00:00" u="1"/>
        <d v="2022-11-29T00:00:00" u="1"/>
        <d v="2021-08-26T00:00:00" u="1"/>
        <d v="2022-05-30T00:00:00" u="1"/>
        <d v="2022-09-12T00:00:00" u="1"/>
        <d v="2022-05-04T00:00:00" u="1"/>
        <d v="2022-08-26T00:00:00" u="1"/>
        <d v="2022-10-17T00:00:00" u="1"/>
        <d v="2023-07-21T00:00:00" u="1"/>
        <d v="2024-01-03T00:00:00" u="1"/>
        <d v="2021-07-14T00:00:00" u="1"/>
        <d v="2021-06-28T00:00:00" u="1"/>
        <d v="2021-08-19T00:00:00" u="1"/>
        <d v="2022-02-01T00:00:00" u="1"/>
        <d v="2021-09-24T00:00:00" u="1"/>
        <d v="2023-09-05T00:00:00" u="1"/>
        <d v="2023-12-27T00:00:00" u="1"/>
        <d v="2024-04-18T00:00:00" u="1"/>
        <d v="2021-07-07T00:00:00" u="1"/>
        <d v="2022-04-11T00:00:00" u="1"/>
        <d v="2022-06-02T00:00:00" u="1"/>
        <d v="2021-08-12T00:00:00" u="1"/>
        <d v="2021-09-17T00:00:00" u="1"/>
        <d v="2022-08-12T00:00:00" u="1"/>
        <d v="2022-10-03T00:00:00" u="1"/>
        <d v="2021-08-31T00:00:00" u="1"/>
        <d v="2022-04-04T00:00:00" u="1"/>
        <d v="2021-08-05T00:00:00" u="1"/>
        <d v="2022-01-27T00:00:00" u="1"/>
        <d v="2022-08-31T00:00:00" u="1"/>
        <d v="2023-07-26T00:00:00" u="1"/>
        <d v="2021-09-10T00:00:00" u="1"/>
        <d v="2023-08-31T00:00:00" u="1"/>
        <d v="2021-08-24T00:00:00" u="1"/>
        <d v="2022-11-01T00:00:00" u="1"/>
        <d v="2021-09-29T00:00:00" u="1"/>
        <d v="2022-01-20T00:00:00" u="1"/>
        <d v="2022-03-11T00:00:00" u="1"/>
        <d v="2022-08-24T00:00:00" u="1"/>
        <d v="2023-07-19T00:00:00" u="1"/>
        <d v="2021-07-12T00:00:00" u="1"/>
        <d v="2021-09-03T00:00:00" u="1"/>
        <d v="2022-09-29T00:00:00" u="1"/>
        <d v="2023-08-24T00:00:00" u="1"/>
        <d v="2021-08-17T00:00:00" u="1"/>
        <d v="2021-10-08T00:00:00" u="1"/>
        <d v="2021-09-22T00:00:00" u="1"/>
        <d v="2022-08-17T00:00:00" u="1"/>
        <d v="2023-12-25T00:00:00" u="1"/>
        <n v="51" u="1"/>
        <d v="2022-09-22T00:00:00" u="1"/>
        <d v="2023-08-17T00:00:00" u="1"/>
        <d v="2021-08-10T00:00:00" u="1"/>
        <d v="2021-10-01T00:00:00" u="1"/>
        <d v="2022-10-27T00:00:00" u="1"/>
        <d v="2021-09-15T00:00:00" u="1"/>
        <d v="2024-07-31T00:00:00" u="1"/>
        <d v="2022-02-11T00:00:00" u="1"/>
        <d v="2022-09-15T00:00:00" u="1"/>
        <d v="2021-08-03T00:00:00" u="1"/>
        <d v="2022-01-25T00:00:00" u="1"/>
        <d v="2022-08-29T00:00:00" u="1"/>
        <d v="2021-09-08T00:00:00" u="1"/>
        <d v="2022-04-21T00:00:00" u="1"/>
        <d v="2022-08-03T00:00:00" u="1"/>
        <d v="2023-08-29T00:00:00" u="1"/>
        <d v="2024-07-24T00:00:00" u="1"/>
        <d v="2021-10-13T00:00:00" u="1"/>
        <d v="2022-02-04T00:00:00" u="1"/>
        <d v="2022-09-08T00:00:00" u="1"/>
        <d v="2021-09-27T00:00:00" u="1"/>
        <d v="2022-01-18T00:00:00" u="1"/>
        <d v="2022-08-22T00:00:00" u="1"/>
        <d v="2022-10-13T00:00:00" u="1"/>
        <d v="2023-07-17T00:00:00" u="1"/>
      </sharedItems>
    </cacheField>
    <cacheField name="6a152" numFmtId="0">
      <sharedItems containsDate="1" containsBlank="1" containsMixedTypes="1" minDate="1900-01-05T09:13:04" maxDate="2023-10-18T00:00:00" count="198">
        <s v="DATE FIN"/>
        <n v="49"/>
        <m/>
        <s v=" "/>
        <d v="2025-06-17T00:00:00"/>
        <d v="2025-07-10T00:00:00"/>
        <d v="2025-08-20T00:00:00"/>
        <d v="2025-08-21T00:00:00"/>
        <d v="2025-06-16T00:00:00" u="1"/>
        <d v="2025-07-09T00:00:00" u="1"/>
        <d v="2025-08-19T00:00:00" u="1"/>
        <d v="2025-06-12T00:00:00" u="1"/>
        <d v="2025-07-07T00:00:00" u="1"/>
        <d v="2025-08-15T00:00:00" u="1"/>
        <d v="2025-08-18T00:00:00" u="1"/>
        <d v="2025-05-27T00:00:00" u="1"/>
        <d v="2025-04-30T00:00:00" u="1"/>
        <d v="2025-03-19T00:00:00" u="1"/>
        <d v="2024-11-11T00:00:00" u="1"/>
        <d v="2024-11-19T00:00:00" u="1"/>
        <d v="2025-02-07T00:00:00" u="1"/>
        <d v="2024-10-23T00:00:00" u="1"/>
        <d v="2024-10-24T00:00:00" u="1"/>
        <d v="2024-10-31T00:00:00" u="1"/>
        <d v="2025-01-21T00:00:00" u="1"/>
        <d v="2024-10-28T00:00:00" u="1"/>
        <d v="2024-11-29T00:00:00" u="1"/>
        <d v="2024-10-07T00:00:00" u="1"/>
        <d v="2024-11-22T00:00:00" u="1"/>
        <d v="2024-11-25T00:00:00" u="1"/>
        <d v="2024-12-03T00:00:00" u="1"/>
        <d v="2025-02-21T00:00:00" u="1"/>
        <d v="2025-02-28T00:00:00" u="1"/>
        <d v="2025-03-07T00:00:00" u="1"/>
        <d v="2024-10-30T00:00:00" u="1"/>
        <d v="2024-11-05T00:00:00" u="1"/>
        <d v="2024-12-09T00:00:00" u="1"/>
        <d v="2024-12-11T00:00:00" u="1"/>
        <d v="2024-12-16T00:00:00" u="1"/>
        <d v="2024-09-24T00:00:00" u="1"/>
        <d v="2024-11-12T00:00:00" u="1"/>
        <d v="2024-11-20T00:00:00" u="1"/>
        <d v="2025-02-10T00:00:00" u="1"/>
        <d v="2025-02-17T00:00:00" u="1"/>
        <d v="2024-09-20T00:00:00" u="1"/>
        <d v="2024-11-07T00:00:00" u="1"/>
        <d v="2024-11-08T00:00:00" u="1"/>
        <d v="2024-11-18T00:00:00" u="1"/>
        <d v="2025-02-06T00:00:00" u="1"/>
        <d v="2025-02-13T00:00:00" u="1"/>
        <d v="2024-09-17T00:00:00" u="1"/>
        <d v="2024-11-04T00:00:00" u="1"/>
        <d v="2025-01-31T00:00:00" u="1"/>
        <d v="2024-10-09T00:00:00" u="1"/>
        <d v="2024-10-15T00:00:00" u="1"/>
        <d v="2024-11-21T00:00:00" u="1"/>
        <d v="2024-09-09T00:00:00" u="1"/>
        <d v="2024-10-25T00:00:00" u="1"/>
        <d v="2025-01-23T00:00:00" u="1"/>
        <d v="2025-01-30T00:00:00" u="1"/>
        <d v="2024-09-06T00:00:00" u="1"/>
        <d v="2024-11-01T00:00:00" u="1"/>
        <d v="2025-01-22T00:00:00" u="1"/>
        <d v="2025-01-29T00:00:00" u="1"/>
        <d v="2024-09-05T00:00:00" u="1"/>
        <d v="2025-01-28T00:00:00" u="1"/>
        <d v="2024-08-28T00:00:00" u="1"/>
        <d v="2024-10-16T00:00:00" u="1"/>
        <d v="2025-01-14T00:00:00" u="1"/>
        <d v="2024-08-27T00:00:00" u="1"/>
        <d v="2025-01-13T00:00:00" u="1"/>
        <d v="2025-01-20T00:00:00" u="1"/>
        <d v="2024-08-22T00:00:00" u="1"/>
        <d v="2024-10-18T00:00:00" u="1"/>
        <d v="2025-01-08T00:00:00" u="1"/>
        <d v="2025-01-15T00:00:00" u="1"/>
        <d v="2024-08-19T00:00:00" u="1"/>
        <d v="2024-09-11T00:00:00" u="1"/>
        <d v="2024-09-16T00:00:00" u="1"/>
        <d v="2024-10-21T00:00:00" u="1"/>
        <d v="2024-10-04T00:00:00" u="1"/>
        <d v="2024-12-20T00:00:00" u="1"/>
        <d v="2024-08-16T00:00:00" u="1"/>
        <d v="2024-10-03T00:00:00" u="1"/>
        <d v="2024-10-11T00:00:00" u="1"/>
        <d v="2024-12-19T00:00:00" u="1"/>
        <d v="2024-08-15T00:00:00" u="1"/>
        <d v="2024-10-02T00:00:00" u="1"/>
        <d v="2024-10-01T00:00:00" u="1"/>
        <d v="2024-10-10T00:00:00" u="1"/>
        <d v="2024-12-18T00:00:00" u="1"/>
        <d v="2024-09-27T00:00:00" u="1"/>
        <d v="2024-09-30T00:00:00" u="1"/>
        <d v="2024-12-13T00:00:00" u="1"/>
        <d v="2024-09-26T00:00:00" u="1"/>
        <d v="2024-09-03T00:00:00" u="1"/>
        <d v="2024-08-26T00:00:00" u="1"/>
        <d v="2024-11-06T00:00:00" u="1"/>
        <d v="2024-11-15T00:00:00" u="1"/>
        <d v="2024-12-04T00:00:00" u="1"/>
        <d v="2024-12-06T00:00:00" u="1"/>
        <d v="2024-07-12T00:00:00" u="1"/>
        <d v="2024-07-17T00:00:00" u="1"/>
        <d v="2024-07-19T00:00:00" u="1"/>
        <d v="2024-08-21T00:00:00" u="1"/>
        <d v="2024-09-25T00:00:00" u="1"/>
        <d v="2024-10-22T00:00:00" u="1"/>
        <d v="2024-09-04T00:00:00" u="1"/>
        <d v="2025-02-12T00:00:00" u="1"/>
        <d v="2025-03-05T00:00:00" u="1"/>
        <d v="2025-04-09T00:00:00" u="1"/>
        <d v="2025-04-15T00:00:00" u="1"/>
        <d v="2024-09-10T00:00:00" u="1"/>
        <d v="2025-03-17T00:00:00" u="1"/>
        <d v="2025-03-21T00:00:00" u="1"/>
        <d v="2024-09-13T00:00:00" u="1"/>
        <d v="2024-10-08T00:00:00" u="1"/>
        <d v="2024-07-16T00:00:00" u="1"/>
        <d v="2024-06-20T00:00:00" u="1"/>
        <d v="2024-07-18T00:00:00" u="1"/>
        <d v="2024-08-13T00:00:00" u="1"/>
        <d v="2024-06-11T00:00:00" u="1"/>
        <d v="2024-07-05T00:00:00" u="1"/>
        <d v="2024-07-09T00:00:00" u="1"/>
        <d v="2024-07-10T00:00:00" u="1"/>
        <d v="2024-06-10T00:00:00" u="1"/>
        <d v="2024-07-04T00:00:00" u="1"/>
        <d v="2024-06-05T00:00:00" u="1"/>
        <d v="2024-06-28T00:00:00" u="1"/>
        <d v="2024-05-02T00:00:00" u="1"/>
        <d v="2024-05-28T00:00:00" u="1"/>
        <d v="2024-06-17T00:00:00" u="1"/>
        <d v="2024-07-11T00:00:00" u="1"/>
        <d v="2024-08-08T00:00:00" u="1"/>
        <d v="2024-06-19T00:00:00" u="1"/>
        <d v="2024-06-25T00:00:00" u="1"/>
        <d v="2024-04-11T00:00:00" u="1"/>
        <d v="2024-05-06T00:00:00" u="1"/>
        <d v="2024-05-29T00:00:00" u="1"/>
        <d v="2024-04-09T00:00:00" u="1"/>
        <d v="2024-04-04T00:00:00" u="1"/>
        <d v="2024-04-19T00:00:00" u="1"/>
        <d v="2024-04-24T00:00:00" u="1"/>
        <d v="2024-03-29T00:00:00" u="1"/>
        <d v="2024-03-15T00:00:00" u="1"/>
        <d v="2024-03-20T00:00:00" u="1"/>
        <d v="2024-04-17T00:00:00" u="1"/>
        <d v="2024-03-01T00:00:00" u="1"/>
        <d v="2024-02-08T00:00:00" u="1"/>
        <d v="2024-02-02T00:00:00" u="1"/>
        <d v="2024-01-29T00:00:00" u="1"/>
        <d v="2024-02-06T00:00:00" u="1"/>
        <d v="2024-01-26T00:00:00" u="1"/>
        <d v="2024-02-05T00:00:00" u="1"/>
        <d v="2024-01-22T00:00:00" u="1"/>
        <d v="2024-01-30T00:00:00" u="1"/>
        <d v="2023-12-20T00:00:00" u="1"/>
        <d v="2024-01-10T00:00:00" u="1"/>
        <d v="2024-01-19T00:00:00" u="1"/>
        <d v="2023-11-30T00:00:00" u="1"/>
        <d v="2024-01-09T00:00:00" u="1"/>
        <d v="2024-01-17T00:00:00" u="1"/>
        <d v="2023-11-23T00:00:00" u="1"/>
        <d v="2023-11-10T00:00:00" u="1"/>
        <d v="2023-12-07T00:00:00" u="1"/>
        <d v="2023-11-07T00:00:00" u="1"/>
        <d v="2023-12-04T00:00:00" u="1"/>
        <d v="2023-11-06T00:00:00" u="1"/>
        <d v="2023-12-01T00:00:00" u="1"/>
        <d v="2023-10-18T00:00:00" u="1"/>
        <d v="2023-10-16T00:00:00" u="1"/>
        <d v="2023-09-18T00:00:00" u="1"/>
        <d v="2023-09-11T00:00:00" u="1"/>
        <d v="2023-09-08T00:00:00" u="1"/>
        <d v="2023-09-07T00:00:00" u="1"/>
        <d v="2023-08-24T00:00:00" u="1"/>
        <d v="2021-09-20T00:00:00" u="1"/>
        <d v="2023-08-15T00:00:00" u="1"/>
        <d v="2023-10-04T00:00:00" u="1"/>
        <d v="2021-11-02T00:00:00" u="1"/>
        <d v="2023-10-23T00:00:00" u="1"/>
        <d v="2021-09-30T00:00:00" u="1"/>
        <d v="2021-10-21T00:00:00" u="1"/>
        <n v="52" u="1"/>
        <d v="2023-07-18T00:00:00" u="1"/>
        <d v="2021-09-21T00:00:00" u="1"/>
        <d v="2021-10-26T00:00:00" u="1"/>
        <d v="2021-11-05T00:00:00" u="1"/>
        <e v="#N/A" u="1"/>
        <d v="2021-07-02T00:00:00" u="1"/>
        <d v="2023-08-07T00:00:00" u="1"/>
        <d v="2021-07-14T00:00:00" u="1"/>
        <d v="2023-10-17T00:00:00" u="1"/>
        <d v="2021-11-08T00:00:00" u="1"/>
        <d v="2021-10-22T00:00:00" u="1"/>
        <d v="2023-07-19T00:00:00" u="1"/>
        <d v="2021-07-05T00:00:00" u="1"/>
        <d v="2021-10-27T00:00:00" u="1"/>
      </sharedItems>
    </cacheField>
    <cacheField name="DIVERS2" numFmtId="0">
      <sharedItems containsDate="1" containsBlank="1" containsMixedTypes="1" minDate="1899-12-31T01:14:04" maxDate="2023-08-30T00:00:00" count="208">
        <s v="DATE FIN"/>
        <n v="50"/>
        <m/>
        <s v=" "/>
        <d v="2025-04-03T00:00:00"/>
        <d v="2025-04-04T00:00:00"/>
        <d v="2025-04-02T00:00:00" u="1"/>
        <d v="2025-03-31T00:00:00" u="1"/>
        <d v="2025-04-01T00:00:00" u="1"/>
        <d v="2025-03-05T00:00:00" u="1"/>
        <d v="2025-03-13T00:00:00" u="1"/>
        <d v="2025-03-04T00:00:00" u="1"/>
        <d v="2025-03-12T00:00:00" u="1"/>
        <d v="2025-02-05T00:00:00" u="1"/>
        <d v="2025-02-13T00:00:00" u="1"/>
        <d v="2024-11-11T00:00:00" u="1"/>
        <d v="2024-12-02T00:00:00" u="1"/>
        <d v="2024-12-09T00:00:00" u="1"/>
        <d v="2024-10-23T00:00:00" u="1"/>
        <d v="2024-10-24T00:00:00" u="1"/>
        <d v="2024-11-14T00:00:00" u="1"/>
        <d v="2024-11-20T00:00:00" u="1"/>
        <d v="2024-10-07T00:00:00" u="1"/>
        <d v="2024-10-08T00:00:00" u="1"/>
        <d v="2024-10-30T00:00:00" u="1"/>
        <d v="2024-11-05T00:00:00" u="1"/>
        <d v="2024-12-05T00:00:00" u="1"/>
        <d v="2024-09-24T00:00:00" u="1"/>
        <d v="2024-10-16T00:00:00" u="1"/>
        <d v="2024-09-20T00:00:00" u="1"/>
        <d v="2024-10-11T00:00:00" u="1"/>
        <d v="2024-10-21T00:00:00" u="1"/>
        <d v="2024-09-17T00:00:00" u="1"/>
        <d v="2024-09-09T00:00:00" u="1"/>
        <d v="2024-09-10T00:00:00" u="1"/>
        <d v="2024-10-02T00:00:00" u="1"/>
        <d v="2024-09-06T00:00:00" u="1"/>
        <d v="2024-10-01T00:00:00" u="1"/>
        <d v="2024-09-05T00:00:00" u="1"/>
        <d v="2024-09-30T00:00:00" u="1"/>
        <d v="2024-10-04T00:00:00" u="1"/>
        <d v="2024-08-28T00:00:00" u="1"/>
        <d v="2024-08-29T00:00:00" u="1"/>
        <d v="2024-08-30T00:00:00" u="1"/>
        <d v="2024-09-23T00:00:00" u="1"/>
        <d v="2024-09-27T00:00:00" u="1"/>
        <d v="2024-08-27T00:00:00" u="1"/>
        <d v="2024-09-26T00:00:00" u="1"/>
        <d v="2024-08-22T00:00:00" u="1"/>
        <d v="2024-08-23T00:00:00" u="1"/>
        <d v="2024-08-26T00:00:00" u="1"/>
        <d v="2024-08-19T00:00:00" u="1"/>
        <d v="2024-08-20T00:00:00" u="1"/>
        <d v="2024-08-21T00:00:00" u="1"/>
        <d v="2024-09-12T00:00:00" u="1"/>
        <d v="2024-09-18T00:00:00" u="1"/>
        <d v="2024-08-16T00:00:00" u="1"/>
        <d v="2024-09-11T00:00:00" u="1"/>
        <d v="2024-08-15T00:00:00" u="1"/>
        <d v="2024-09-16T00:00:00" u="1"/>
        <d v="2024-08-14T00:00:00" u="1"/>
        <d v="2024-09-13T00:00:00" u="1"/>
        <d v="2024-08-12T00:00:00" u="1"/>
        <d v="2024-08-06T00:00:00" u="1"/>
        <d v="2024-08-13T00:00:00" u="1"/>
        <d v="2024-09-04T00:00:00" u="1"/>
        <d v="2024-07-19T00:00:00" u="1"/>
        <d v="2024-07-05T00:00:00" u="1"/>
        <d v="2024-07-09T00:00:00" u="1"/>
        <d v="2024-10-25T00:00:00" u="1"/>
        <d v="2024-10-29T00:00:00" u="1"/>
        <d v="2024-06-18T00:00:00" u="1"/>
        <d v="2024-06-20T00:00:00" u="1"/>
        <d v="2024-07-15T00:00:00" u="1"/>
        <d v="2024-10-09T00:00:00" u="1"/>
        <d v="2024-10-10T00:00:00" u="1"/>
        <d v="2024-10-15T00:00:00" u="1"/>
        <d v="2024-06-19T00:00:00" u="1"/>
        <d v="2024-07-11T00:00:00" u="1"/>
        <d v="2024-06-07T00:00:00" u="1"/>
        <d v="2024-06-11T00:00:00" u="1"/>
        <d v="2024-07-02T00:00:00" u="1"/>
        <d v="2024-07-04T00:00:00" u="1"/>
        <d v="2024-06-10T00:00:00" u="1"/>
        <d v="2024-06-06T00:00:00" u="1"/>
        <d v="2024-07-03T00:00:00" u="1"/>
        <d v="2024-06-03T00:00:00" u="1"/>
        <d v="2024-06-04T00:00:00" u="1"/>
        <d v="2024-06-05T00:00:00" u="1"/>
        <d v="2024-04-30T00:00:00" u="1"/>
        <d v="2024-05-02T00:00:00" u="1"/>
        <d v="2024-05-06T00:00:00" u="1"/>
        <d v="2024-05-08T00:00:00" u="1"/>
        <d v="2024-05-30T00:00:00" u="1"/>
        <d v="2024-04-12T00:00:00" u="1"/>
        <d v="2024-04-17T00:00:00" u="1"/>
        <d v="2024-04-18T00:00:00" u="1"/>
        <d v="2024-04-22T00:00:00" u="1"/>
        <d v="2024-04-19T00:00:00" u="1"/>
        <d v="2024-04-09T00:00:00" u="1"/>
        <d v="2024-04-15T00:00:00" u="1"/>
        <d v="2024-04-04T00:00:00" u="1"/>
        <d v="2024-04-03T00:00:00" u="1"/>
        <d v="2024-04-10T00:00:00" u="1"/>
        <d v="2024-03-13T00:00:00" u="1"/>
        <d v="2024-03-20T00:00:00" u="1"/>
        <d v="2024-03-27T00:00:00" u="1"/>
        <d v="2024-04-02T00:00:00" u="1"/>
        <d v="2024-02-28T00:00:00" u="1"/>
        <d v="2024-03-07T00:00:00" u="1"/>
        <d v="2024-03-14T00:00:00" u="1"/>
        <d v="2024-03-19T00:00:00" u="1"/>
        <d v="2024-03-12T00:00:00" u="1"/>
        <d v="2024-02-01T00:00:00" u="1"/>
        <d v="2024-02-06T00:00:00" u="1"/>
        <d v="2024-02-09T00:00:00" u="1"/>
        <d v="2024-01-26T00:00:00" u="1"/>
        <d v="2024-01-31T00:00:00" u="1"/>
        <d v="2024-01-19T00:00:00" u="1"/>
        <d v="2024-01-22T00:00:00" u="1"/>
        <d v="2024-01-25T00:00:00" u="1"/>
        <d v="2024-01-18T00:00:00" u="1"/>
        <d v="2024-01-24T00:00:00" u="1"/>
        <d v="2024-01-12T00:00:00" u="1"/>
        <d v="2024-01-15T00:00:00" u="1"/>
        <d v="2023-12-12T00:00:00" u="1"/>
        <d v="2023-12-13T00:00:00" u="1"/>
        <d v="2023-12-15T00:00:00" u="1"/>
        <d v="2023-12-20T00:00:00" u="1"/>
        <d v="2024-01-17T00:00:00" u="1"/>
        <d v="2023-11-30T00:00:00" u="1"/>
        <d v="2023-12-01T00:00:00" u="1"/>
        <d v="2023-12-21T00:00:00" u="1"/>
        <d v="2024-01-08T00:00:00" u="1"/>
        <d v="2023-11-23T00:00:00" u="1"/>
        <d v="2023-11-24T00:00:00" u="1"/>
        <d v="2023-12-14T00:00:00" u="1"/>
        <d v="2023-12-19T00:00:00" u="1"/>
        <d v="2023-11-29T00:00:00" u="1"/>
        <d v="2023-11-10T00:00:00" u="1"/>
        <d v="2023-11-13T00:00:00" u="1"/>
        <d v="2023-12-04T00:00:00" u="1"/>
        <d v="2023-12-05T00:00:00" u="1"/>
        <d v="2023-12-06T00:00:00" u="1"/>
        <d v="2023-12-07T00:00:00" u="1"/>
        <d v="2023-12-08T00:00:00" u="1"/>
        <d v="2023-11-07T00:00:00" u="1"/>
        <d v="2023-11-08T00:00:00" u="1"/>
        <d v="2023-11-28T00:00:00" u="1"/>
        <d v="2023-11-06T00:00:00" u="1"/>
        <d v="2023-11-27T00:00:00" u="1"/>
        <d v="2023-11-09T00:00:00" u="1"/>
        <d v="2023-10-18T00:00:00" u="1"/>
        <d v="2023-10-20T00:00:00" u="1"/>
        <d v="2023-10-23T00:00:00" u="1"/>
        <d v="2023-10-24T00:00:00" u="1"/>
        <d v="2023-10-16T00:00:00" u="1"/>
        <d v="2023-10-19T00:00:00" u="1"/>
        <d v="2023-09-20T00:00:00" u="1"/>
        <d v="2023-09-21T00:00:00" u="1"/>
        <d v="2023-09-22T00:00:00" u="1"/>
        <d v="2023-09-25T00:00:00" u="1"/>
        <d v="2023-09-26T00:00:00" u="1"/>
        <d v="2023-09-13T00:00:00" u="1"/>
        <d v="2023-09-14T00:00:00" u="1"/>
        <d v="2023-09-15T00:00:00" u="1"/>
        <d v="2023-09-18T00:00:00" u="1"/>
        <d v="2023-09-19T00:00:00" u="1"/>
        <d v="2023-09-12T00:00:00" u="1"/>
        <d v="2023-09-11T00:00:00" u="1"/>
        <d v="2023-08-28T00:00:00" u="1"/>
        <d v="2023-08-30T00:00:00" u="1"/>
        <d v="2023-08-31T00:00:00" u="1"/>
        <d v="2023-09-01T00:00:00" u="1"/>
        <d v="2023-08-15T00:00:00" u="1"/>
        <d v="2021-07-15T00:00:00" u="1"/>
        <d v="2021-06-29T00:00:00" u="1"/>
        <d v="2021-07-08T00:00:00" u="1"/>
        <d v="2023-07-20T00:00:00" u="1"/>
        <d v="2021-07-13T00:00:00" u="1"/>
        <d v="2021-07-06T00:00:00" u="1"/>
        <d v="2023-08-18T00:00:00" u="1"/>
        <d v="2021-08-04T00:00:00" u="1"/>
        <d v="2023-07-25T00:00:00" u="1"/>
        <d v="2023-07-18T00:00:00" u="1"/>
        <d v="2023-08-16T00:00:00" u="1"/>
        <d v="2021-08-02T00:00:00" u="1"/>
        <d v="2021-07-16T00:00:00" u="1"/>
        <d v="2021-06-30T00:00:00" u="1"/>
        <d v="2021-07-09T00:00:00" u="1"/>
        <d v="2023-08-21T00:00:00" u="1"/>
        <e v="#N/A" u="1"/>
        <d v="2021-07-02T00:00:00" u="1"/>
        <d v="2023-08-14T00:00:00" u="1"/>
        <d v="2023-07-21T00:00:00" u="1"/>
        <d v="2021-07-14T00:00:00" u="1"/>
        <d v="2021-06-28T00:00:00" u="1"/>
        <d v="2021-07-07T00:00:00" u="1"/>
        <d v="2021-08-05T00:00:00" u="1"/>
        <d v="2023-07-19T00:00:00" u="1"/>
        <d v="2021-07-12T00:00:00" u="1"/>
        <d v="2021-07-05T00:00:00" u="1"/>
        <d v="2023-08-17T00:00:00" u="1"/>
        <n v="53" u="1"/>
        <d v="2021-08-03T00:00:00" u="1"/>
        <d v="2023-07-24T00:00:00" u="1"/>
        <d v="2023-08-29T00:00:00" u="1"/>
        <d v="2023-07-17T00:00:00" u="1"/>
      </sharedItems>
    </cacheField>
    <cacheField name="SOUDURE2" numFmtId="0">
      <sharedItems containsDate="1" containsBlank="1" containsMixedTypes="1" minDate="1900-01-05T09:14:04" maxDate="2024-02-23T00:00:00" count="587">
        <s v="DATE FIN"/>
        <n v="51"/>
        <m/>
        <s v=" "/>
        <d v="2025-03-28T00:00:00"/>
        <d v="2025-03-31T00:00:00"/>
        <d v="2025-04-03T00:00:00"/>
        <d v="2025-04-04T00:00:00"/>
        <d v="2025-04-11T00:00:00"/>
        <d v="2025-04-23T00:00:00"/>
        <d v="2025-04-24T00:00:00"/>
        <d v="2025-05-08T00:00:00"/>
        <d v="2025-06-13T00:00:00"/>
        <d v="2025-07-04T00:00:00"/>
        <d v="2025-07-07T00:00:00"/>
        <d v="2025-08-11T00:00:00"/>
        <d v="2025-08-14T00:00:00"/>
        <d v="2025-08-18T00:00:00"/>
        <d v="2025-10-10T00:00:00"/>
        <d v="2025-03-27T00:00:00" u="1"/>
        <d v="2025-04-02T00:00:00" u="1"/>
        <d v="2025-04-10T00:00:00" u="1"/>
        <d v="2025-04-22T00:00:00" u="1"/>
        <d v="2025-05-07T00:00:00" u="1"/>
        <d v="2025-06-12T00:00:00" u="1"/>
        <d v="2025-07-03T00:00:00" u="1"/>
        <d v="2025-07-18T00:00:00" u="1"/>
        <d v="2025-08-13T00:00:00" u="1"/>
        <d v="2025-08-15T00:00:00" u="1"/>
        <d v="2025-10-09T00:00:00" u="1"/>
        <d v="2025-05-05T00:00:00" u="1"/>
        <d v="2025-06-11T00:00:00" u="1"/>
        <d v="2025-06-30T00:00:00" u="1"/>
        <d v="2025-06-10T00:00:00" u="1"/>
        <d v="2025-03-25T00:00:00" u="1"/>
        <d v="2025-03-26T00:00:00" u="1"/>
        <d v="2025-04-01T00:00:00" u="1"/>
        <d v="2025-04-08T00:00:00" u="1"/>
        <d v="2025-04-18T00:00:00" u="1"/>
        <d v="2025-05-01T00:00:00" u="1"/>
        <d v="2025-06-06T00:00:00" u="1"/>
        <d v="2025-06-26T00:00:00" u="1"/>
        <d v="2025-07-11T00:00:00" u="1"/>
        <d v="2025-07-16T00:00:00" u="1"/>
        <d v="2025-07-17T00:00:00" u="1"/>
        <d v="2025-10-03T00:00:00" u="1"/>
        <d v="2025-03-07T00:00:00" u="1"/>
        <d v="2025-03-11T00:00:00" u="1"/>
        <d v="2025-03-12T00:00:00" u="1"/>
        <d v="2025-03-13T00:00:00" u="1"/>
        <d v="2025-03-18T00:00:00" u="1"/>
        <d v="2025-05-06T00:00:00" u="1"/>
        <d v="2025-05-27T00:00:00" u="1"/>
        <d v="2025-06-02T00:00:00" u="1"/>
        <d v="2025-06-03T00:00:00" u="1"/>
        <d v="2025-06-04T00:00:00" u="1"/>
        <d v="2025-03-06T00:00:00" u="1"/>
        <d v="2025-03-10T00:00:00" u="1"/>
        <d v="2025-03-21T00:00:00" u="1"/>
        <d v="2025-04-29T00:00:00" u="1"/>
        <d v="2025-04-30T00:00:00" u="1"/>
        <d v="2025-05-19T00:00:00" u="1"/>
        <d v="2025-05-26T00:00:00" u="1"/>
        <d v="2025-05-28T00:00:00" u="1"/>
        <d v="2025-03-24T00:00:00" u="1"/>
        <d v="2025-05-02T00:00:00" u="1"/>
        <d v="2025-05-21T00:00:00" u="1"/>
        <d v="2025-02-06T00:00:00" u="1"/>
        <d v="2025-02-12T00:00:00" u="1"/>
        <d v="2025-02-17T00:00:00" u="1"/>
        <d v="2025-02-19T00:00:00" u="1"/>
        <d v="2025-03-03T00:00:00" u="1"/>
        <d v="2025-03-04T00:00:00" u="1"/>
        <d v="2024-11-13T00:00:00" u="1"/>
        <d v="2024-11-14T00:00:00" u="1"/>
        <d v="2024-11-15T00:00:00" u="1"/>
        <d v="2024-11-19T00:00:00" u="1"/>
        <d v="2024-11-25T00:00:00" u="1"/>
        <d v="2024-12-19T00:00:00" u="1"/>
        <d v="2025-04-09T00:00:00" u="1"/>
        <d v="2025-04-14T00:00:00" u="1"/>
        <d v="2024-10-24T00:00:00" u="1"/>
        <d v="2024-10-29T00:00:00" u="1"/>
        <d v="2024-10-30T00:00:00" u="1"/>
        <d v="2024-11-08T00:00:00" u="1"/>
        <d v="2024-11-22T00:00:00" u="1"/>
        <d v="2024-11-26T00:00:00" u="1"/>
        <d v="2024-11-27T00:00:00" u="1"/>
        <d v="2024-11-28T00:00:00" u="1"/>
        <d v="2024-12-05T00:00:00" u="1"/>
        <d v="2025-01-14T00:00:00" u="1"/>
        <d v="2025-01-16T00:00:00" u="1"/>
        <d v="2024-10-23T00:00:00" u="1"/>
        <d v="2024-10-25T00:00:00" u="1"/>
        <d v="2024-10-31T00:00:00" u="1"/>
        <d v="2024-11-07T00:00:00" u="1"/>
        <d v="2024-11-11T00:00:00" u="1"/>
        <d v="2025-01-21T00:00:00" u="1"/>
        <d v="2024-10-07T00:00:00" u="1"/>
        <d v="2024-10-21T00:00:00" u="1"/>
        <d v="2024-11-04T00:00:00" u="1"/>
        <d v="2024-11-18T00:00:00" u="1"/>
        <d v="2024-11-20T00:00:00" u="1"/>
        <d v="2024-11-21T00:00:00" u="1"/>
        <d v="2024-11-29T00:00:00" u="1"/>
        <d v="2025-01-08T00:00:00" u="1"/>
        <d v="2025-01-10T00:00:00" u="1"/>
        <d v="2025-08-12T00:00:00" u="1"/>
        <d v="2024-10-08T00:00:00" u="1"/>
        <d v="2024-12-02T00:00:00" u="1"/>
        <d v="2024-12-03T00:00:00" u="1"/>
        <d v="2024-12-04T00:00:00" u="1"/>
        <d v="2024-12-06T00:00:00" u="1"/>
        <d v="2024-12-09T00:00:00" u="1"/>
        <d v="2024-12-17T00:00:00" u="1"/>
        <d v="2025-02-03T00:00:00" u="1"/>
        <d v="2025-02-04T00:00:00" u="1"/>
        <d v="2025-07-14T00:00:00" u="1"/>
        <d v="2025-11-12T00:00:00" u="1"/>
        <d v="2024-10-16T00:00:00" u="1"/>
        <d v="2024-10-18T00:00:00" u="1"/>
        <d v="2024-10-28T00:00:00" u="1"/>
        <d v="2024-11-06T00:00:00" u="1"/>
        <d v="2024-11-12T00:00:00" u="1"/>
        <d v="2025-02-20T00:00:00" u="1"/>
        <d v="2025-05-13T00:00:00" u="1"/>
        <d v="2024-09-27T00:00:00" u="1"/>
        <d v="2024-10-01T00:00:00" u="1"/>
        <d v="2024-12-11T00:00:00" u="1"/>
        <d v="2025-01-28T00:00:00" u="1"/>
        <d v="2025-01-29T00:00:00" u="1"/>
        <d v="2025-01-31T00:00:00" u="1"/>
        <d v="2025-07-08T00:00:00" u="1"/>
        <d v="2024-09-25T00:00:00" u="1"/>
        <d v="2024-10-22T00:00:00" u="1"/>
        <d v="2025-01-24T00:00:00" u="1"/>
        <d v="2025-01-27T00:00:00" u="1"/>
        <d v="2024-09-20T00:00:00" u="1"/>
        <d v="2025-01-23T00:00:00" u="1"/>
        <d v="2024-09-18T00:00:00" u="1"/>
        <d v="2024-10-02T00:00:00" u="1"/>
        <d v="2024-12-10T00:00:00" u="1"/>
        <d v="2024-09-12T00:00:00" u="1"/>
        <d v="2024-09-19T00:00:00" u="1"/>
        <d v="2024-10-17T00:00:00" u="1"/>
        <d v="2025-01-22T00:00:00" u="1"/>
        <d v="2025-05-14T00:00:00" u="1"/>
        <d v="2025-07-02T00:00:00" u="1"/>
        <d v="2024-09-11T00:00:00" u="1"/>
        <d v="2024-11-05T00:00:00" u="1"/>
        <d v="2024-09-09T00:00:00" u="1"/>
        <d v="2024-09-23T00:00:00" u="1"/>
        <d v="2024-10-04T00:00:00" u="1"/>
        <d v="2024-10-09T00:00:00" u="1"/>
        <d v="2024-12-20T00:00:00" u="1"/>
        <d v="2024-09-06T00:00:00" u="1"/>
        <d v="2024-09-10T00:00:00" u="1"/>
        <d v="2024-09-26T00:00:00" u="1"/>
        <d v="2024-10-03T00:00:00" u="1"/>
        <d v="2024-08-30T00:00:00" u="1"/>
        <d v="2024-09-04T00:00:00" u="1"/>
        <d v="2024-09-17T00:00:00" u="1"/>
        <d v="2024-12-18T00:00:00" u="1"/>
        <d v="2024-08-29T00:00:00" u="1"/>
        <d v="2024-09-03T00:00:00" u="1"/>
        <d v="2024-09-16T00:00:00" u="1"/>
        <d v="2024-09-24T00:00:00" u="1"/>
        <d v="2024-09-30T00:00:00" u="1"/>
        <d v="2024-08-26T00:00:00" u="1"/>
        <d v="2024-08-28T00:00:00" u="1"/>
        <d v="2024-09-13T00:00:00" u="1"/>
        <d v="2024-10-15T00:00:00" u="1"/>
        <d v="2024-12-12T00:00:00" u="1"/>
        <d v="2024-08-21T00:00:00" u="1"/>
        <d v="2024-08-23T00:00:00" u="1"/>
        <d v="2024-10-10T00:00:00" u="1"/>
        <d v="2024-08-22T00:00:00" u="1"/>
        <d v="2024-11-01T00:00:00" u="1"/>
        <d v="2024-12-16T00:00:00" u="1"/>
        <d v="2024-08-19T00:00:00" u="1"/>
        <d v="2025-01-20T00:00:00" u="1"/>
        <d v="2025-04-21T00:00:00" u="1"/>
        <d v="2024-08-16T00:00:00" u="1"/>
        <d v="2025-03-14T00:00:00" u="1"/>
        <d v="2024-08-15T00:00:00" u="1"/>
        <d v="2024-08-20T00:00:00" u="1"/>
        <d v="2024-08-14T00:00:00" u="1"/>
        <d v="2024-08-13T00:00:00" u="1"/>
        <d v="2024-07-09T00:00:00" u="1"/>
        <d v="2024-07-10T00:00:00" u="1"/>
        <d v="2024-07-15T00:00:00" u="1"/>
        <d v="2024-07-18T00:00:00" u="1"/>
        <d v="2024-09-05T00:00:00" u="1"/>
        <d v="2025-08-21T00:00:00" u="1"/>
        <d v="2025-09-09T00:00:00" u="1"/>
        <d v="2024-06-18T00:00:00" u="1"/>
        <d v="2024-06-21T00:00:00" u="1"/>
        <d v="2024-06-25T00:00:00" u="1"/>
        <d v="2024-06-28T00:00:00" u="1"/>
        <d v="2024-07-04T00:00:00" u="1"/>
        <d v="2025-02-25T00:00:00" u="1"/>
        <d v="2025-05-29T00:00:00" u="1"/>
        <d v="2025-08-25T00:00:00" u="1"/>
        <d v="2024-06-26T00:00:00" u="1"/>
        <d v="2024-07-02T00:00:00" u="1"/>
        <d v="2024-07-08T00:00:00" u="1"/>
        <d v="2025-11-03T00:00:00" u="1"/>
        <d v="2024-06-17T00:00:00" u="1"/>
        <d v="2024-06-19T00:00:00" u="1"/>
        <d v="2025-05-09T00:00:00" u="1"/>
        <d v="2025-07-09T00:00:00" u="1"/>
        <d v="2024-06-06T00:00:00" u="1"/>
        <d v="2024-06-07T00:00:00" u="1"/>
        <d v="2024-06-10T00:00:00" u="1"/>
        <d v="2024-08-27T00:00:00" u="1"/>
        <d v="2024-06-13T00:00:00" u="1"/>
        <d v="2024-07-12T00:00:00" u="1"/>
        <d v="2024-10-14T00:00:00" u="1"/>
        <d v="2024-06-05T00:00:00" u="1"/>
        <d v="2024-06-12T00:00:00" u="1"/>
        <d v="2024-07-11T00:00:00" u="1"/>
        <d v="2024-10-11T00:00:00" u="1"/>
        <d v="2024-05-31T00:00:00" u="1"/>
        <d v="2024-06-03T00:00:00" u="1"/>
        <d v="2024-06-04T00:00:00" u="1"/>
        <d v="2024-05-08T00:00:00" u="1"/>
        <d v="2024-05-15T00:00:00" u="1"/>
        <d v="2024-05-21T00:00:00" u="1"/>
        <d v="2024-05-22T00:00:00" u="1"/>
        <d v="2024-05-23T00:00:00" u="1"/>
        <d v="2024-05-27T00:00:00" u="1"/>
        <d v="2024-05-29T00:00:00" u="1"/>
        <d v="2024-07-05T00:00:00" u="1"/>
        <d v="2024-05-14T00:00:00" u="1"/>
        <d v="2024-05-30T00:00:00" u="1"/>
        <d v="2024-06-11T00:00:00" u="1"/>
        <d v="2024-06-14T00:00:00" u="1"/>
        <d v="2024-04-09T00:00:00" u="1"/>
        <d v="2024-04-10T00:00:00" u="1"/>
        <d v="2024-04-12T00:00:00" u="1"/>
        <d v="2024-04-15T00:00:00" u="1"/>
        <d v="2024-04-29T00:00:00" u="1"/>
        <d v="2024-05-09T00:00:00" u="1"/>
        <d v="2024-05-13T00:00:00" u="1"/>
        <d v="2024-05-17T00:00:00" u="1"/>
        <d v="2024-05-28T00:00:00" u="1"/>
        <d v="2024-04-05T00:00:00" u="1"/>
        <d v="2024-04-08T00:00:00" u="1"/>
        <d v="2024-04-11T00:00:00" u="1"/>
        <d v="2024-04-25T00:00:00" u="1"/>
        <d v="2024-05-06T00:00:00" u="1"/>
        <d v="2024-05-07T00:00:00" u="1"/>
        <d v="2024-05-24T00:00:00" u="1"/>
        <d v="2024-04-17T00:00:00" u="1"/>
        <d v="2024-04-18T00:00:00" u="1"/>
        <d v="2024-05-02T00:00:00" u="1"/>
        <d v="2024-05-16T00:00:00" u="1"/>
        <d v="2024-04-02T00:00:00" u="1"/>
        <d v="2024-04-04T00:00:00" u="1"/>
        <d v="2024-04-26T00:00:00" u="1"/>
        <d v="2024-05-10T00:00:00" u="1"/>
        <d v="2024-05-01T00:00:00" u="1"/>
        <d v="2024-04-16T00:00:00" u="1"/>
        <d v="2024-03-29T00:00:00" u="1"/>
        <d v="2024-04-03T00:00:00" u="1"/>
        <d v="2024-04-19T00:00:00" u="1"/>
        <d v="2024-03-28T00:00:00" u="1"/>
        <d v="2024-06-20T00:00:00" u="1"/>
        <d v="2024-03-08T00:00:00" u="1"/>
        <d v="2024-03-11T00:00:00" u="1"/>
        <d v="2024-03-13T00:00:00" u="1"/>
        <d v="2024-03-18T00:00:00" u="1"/>
        <d v="2024-03-19T00:00:00" u="1"/>
        <d v="2024-03-22T00:00:00" u="1"/>
        <d v="2024-04-23T00:00:00" u="1"/>
        <d v="2024-02-23T00:00:00" u="1"/>
        <d v="2024-02-28T00:00:00" u="1"/>
        <d v="2024-02-29T00:00:00" u="1"/>
        <d v="2024-02-13T00:00:00" u="1"/>
        <d v="2024-02-15T00:00:00" u="1"/>
        <d v="2024-02-20T00:00:00" u="1"/>
        <d v="2024-02-21T00:00:00" u="1"/>
        <d v="2024-03-01T00:00:00" u="1"/>
        <d v="2024-02-27T00:00:00" u="1"/>
        <d v="2024-02-07T00:00:00" u="1"/>
        <d v="2024-02-09T00:00:00" u="1"/>
        <d v="2024-02-14T00:00:00" u="1"/>
        <d v="2024-01-22T00:00:00" u="1"/>
        <d v="2024-01-26T00:00:00" u="1"/>
        <d v="2024-01-30T00:00:00" u="1"/>
        <d v="2024-02-02T00:00:00" u="1"/>
        <d v="2024-02-05T00:00:00" u="1"/>
        <d v="2024-02-16T00:00:00" u="1"/>
        <d v="2024-02-19T00:00:00" u="1"/>
        <d v="2024-02-08T00:00:00" u="1"/>
        <d v="2024-02-12T00:00:00" u="1"/>
        <d v="2024-01-19T00:00:00" u="1"/>
        <d v="2024-01-25T00:00:00" u="1"/>
        <d v="2024-01-29T00:00:00" u="1"/>
        <d v="2024-02-01T00:00:00" u="1"/>
        <d v="2024-01-15T00:00:00" u="1"/>
        <d v="2024-01-23T00:00:00" u="1"/>
        <d v="2023-12-20T00:00:00" u="1"/>
        <d v="2023-12-22T00:00:00" u="1"/>
        <d v="2024-01-08T00:00:00" u="1"/>
        <d v="2024-01-11T00:00:00" u="1"/>
        <d v="2024-01-18T00:00:00" u="1"/>
        <d v="2023-12-01T00:00:00" u="1"/>
        <d v="2023-12-12T00:00:00" u="1"/>
        <d v="2023-12-13T00:00:00" u="1"/>
        <d v="2023-12-15T00:00:00" u="1"/>
        <d v="2023-12-21T00:00:00" u="1"/>
        <d v="2024-01-05T00:00:00" u="1"/>
        <d v="2024-01-24T00:00:00" u="1"/>
        <d v="2024-01-31T00:00:00" u="1"/>
        <d v="2023-11-24T00:00:00" u="1"/>
        <d v="2023-12-11T00:00:00" u="1"/>
        <d v="2023-12-14T00:00:00" u="1"/>
        <d v="2023-12-19T00:00:00" u="1"/>
        <d v="2024-01-10T00:00:00" u="1"/>
        <d v="2023-12-18T00:00:00" u="1"/>
        <d v="2024-01-09T00:00:00" u="1"/>
        <d v="2023-12-05T00:00:00" u="1"/>
        <d v="2023-12-06T00:00:00" u="1"/>
        <d v="2023-12-08T00:00:00" u="1"/>
        <d v="2024-02-06T00:00:00" u="1"/>
        <d v="2024-03-05T00:00:00" u="1"/>
        <d v="2024-07-19T00:00:00" u="1"/>
        <d v="2024-08-06T00:00:00" u="1"/>
        <d v="2024-08-07T00:00:00" u="1"/>
        <d v="2023-11-28T00:00:00" u="1"/>
        <d v="2023-11-30T00:00:00" u="1"/>
        <d v="2023-11-29T00:00:00" u="1"/>
        <d v="2023-12-07T00:00:00" u="1"/>
        <d v="2023-11-06T00:00:00" u="1"/>
        <d v="2023-11-08T00:00:00" u="1"/>
        <d v="2023-10-23T00:00:00" u="1"/>
        <d v="2023-10-24T00:00:00" u="1"/>
        <d v="2023-10-26T00:00:00" u="1"/>
        <d v="2023-10-30T00:00:00" u="1"/>
        <d v="2023-11-22T00:00:00" u="1"/>
        <d v="2023-11-23T00:00:00" u="1"/>
        <d v="2023-12-04T00:00:00" u="1"/>
        <d v="2023-10-16T00:00:00" u="1"/>
        <d v="2023-10-18T00:00:00" u="1"/>
        <d v="2023-10-19T00:00:00" u="1"/>
        <d v="2023-10-25T00:00:00" u="1"/>
        <d v="2023-11-17T00:00:00" u="1"/>
        <d v="2023-11-20T00:00:00" u="1"/>
        <d v="2023-11-21T00:00:00" u="1"/>
        <d v="2023-10-17T00:00:00" u="1"/>
        <d v="2023-10-20T00:00:00" u="1"/>
        <d v="2023-11-03T00:00:00" u="1"/>
        <d v="2023-11-07T00:00:00" u="1"/>
        <d v="2023-11-09T00:00:00" u="1"/>
        <d v="2023-11-14T00:00:00" u="1"/>
        <d v="2023-11-16T00:00:00" u="1"/>
        <d v="2023-09-25T00:00:00" u="1"/>
        <d v="2023-10-11T00:00:00" u="1"/>
        <d v="2023-10-12T00:00:00" u="1"/>
        <d v="2023-10-13T00:00:00" u="1"/>
        <d v="2023-10-31T00:00:00" u="1"/>
        <d v="2023-11-01T00:00:00" u="1"/>
        <d v="2023-11-02T00:00:00" u="1"/>
        <d v="2023-11-10T00:00:00" u="1"/>
        <d v="2023-11-13T00:00:00" u="1"/>
        <d v="2023-09-22T00:00:00" u="1"/>
        <d v="2023-10-10T00:00:00" u="1"/>
        <d v="2023-11-15T00:00:00" u="1"/>
        <d v="2023-09-21T00:00:00" u="1"/>
        <d v="2023-10-06T00:00:00" u="1"/>
        <d v="2023-09-26T00:00:00" u="1"/>
        <d v="2023-09-18T00:00:00" u="1"/>
        <d v="2023-10-03T00:00:00" u="1"/>
        <d v="2023-10-04T00:00:00" u="1"/>
        <d v="2023-11-27T00:00:00" u="1"/>
        <d v="2021-12-23T00:00:00" u="1"/>
        <d v="2022-02-23T00:00:00" u="1"/>
        <d v="2024-07-17T00:00:00" u="1"/>
        <d v="2022-09-01T00:00:00" u="1"/>
        <d v="2023-09-27T00:00:00" u="1"/>
        <d v="2022-01-11T00:00:00" u="1"/>
        <d v="2021-12-16T00:00:00" u="1"/>
        <d v="2022-02-16T00:00:00" u="1"/>
        <d v="2022-09-20T00:00:00" u="1"/>
        <d v="2023-08-15T00:00:00" u="1"/>
        <d v="2021-11-30T00:00:00" u="1"/>
        <d v="2022-03-21T00:00:00" u="1"/>
        <d v="2022-05-12T00:00:00" u="1"/>
        <d v="2021-11-04T00:00:00" u="1"/>
        <d v="2022-04-26T00:00:00" u="1"/>
        <d v="2022-06-17T00:00:00" u="1"/>
        <d v="2022-08-08T00:00:00" u="1"/>
        <d v="2021-08-27T00:00:00" u="1"/>
        <d v="2021-12-09T00:00:00" u="1"/>
        <d v="2022-02-09T00:00:00" u="1"/>
        <d v="2022-05-31T00:00:00" u="1"/>
        <d v="2023-08-08T00:00:00" u="1"/>
        <d v="2021-11-23T00:00:00" u="1"/>
        <d v="2024-01-04T00:00:00" u="1"/>
        <d v="2021-07-15T00:00:00" u="1"/>
        <d v="2022-06-10T00:00:00" u="1"/>
        <d v="2022-08-01T00:00:00" u="1"/>
        <d v="2021-08-20T00:00:00" u="1"/>
        <d v="2021-12-02T00:00:00" u="1"/>
        <d v="2022-05-24T00:00:00" u="1"/>
        <d v="2022-07-15T00:00:00" u="1"/>
        <d v="2021-11-16T00:00:00" u="1"/>
        <d v="2022-03-07T00:00:00" u="1"/>
        <d v="2022-06-29T00:00:00" u="1"/>
        <d v="2021-07-08T00:00:00" u="1"/>
        <d v="2021-12-21T00:00:00" u="1"/>
        <d v="2022-02-21T00:00:00" u="1"/>
        <d v="2022-04-12T00:00:00" u="1"/>
        <d v="2022-06-03T00:00:00" u="1"/>
        <d v="2021-08-13T00:00:00" u="1"/>
        <d v="2022-07-08T00:00:00" u="1"/>
        <d v="2024-01-16T00:00:00" u="1"/>
        <d v="2022-06-22T00:00:00" u="1"/>
        <d v="2021-12-14T00:00:00" u="1"/>
        <d v="2022-04-05T00:00:00" u="1"/>
        <d v="2024-03-26T00:00:00" u="1"/>
        <d v="2021-08-06T00:00:00" u="1"/>
        <d v="2022-01-28T00:00:00" u="1"/>
        <d v="2023-07-27T00:00:00" u="1"/>
        <d v="2021-11-02T00:00:00" u="1"/>
        <d v="2022-06-15T00:00:00" u="1"/>
        <d v="2021-12-07T00:00:00" u="1"/>
        <d v="2022-02-07T00:00:00" u="1"/>
        <d v="2024-07-01T00:00:00" u="1"/>
        <d v="2022-01-21T00:00:00" u="1"/>
        <d v="2023-07-20T00:00:00" u="1"/>
        <d v="2024-01-02T00:00:00" u="1"/>
        <d v="2021-07-13T00:00:00" u="1"/>
        <d v="2022-06-08T00:00:00" u="1"/>
        <d v="2022-09-30T00:00:00" u="1"/>
        <d v="2022-03-31T00:00:00" u="1"/>
        <d v="2022-07-13T00:00:00" u="1"/>
        <d v="2022-01-14T00:00:00" u="1"/>
        <d v="2022-06-27T00:00:00" u="1"/>
        <d v="2023-12-26T00:00:00" u="1"/>
        <d v="2024-02-26T00:00:00" u="1"/>
        <d v="2022-06-01T00:00:00" u="1"/>
        <d v="2023-10-09T00:00:00" u="1"/>
        <d v="2022-03-24T00:00:00" u="1"/>
        <d v="2022-07-06T00:00:00" u="1"/>
        <d v="2022-01-07T00:00:00" u="1"/>
        <d v="2022-06-20T00:00:00" u="1"/>
        <d v="2022-08-11T00:00:00" u="1"/>
        <d v="2023-10-02T00:00:00" u="1"/>
        <d v="2021-08-04T00:00:00" u="1"/>
        <d v="2021-11-26T00:00:00" u="1"/>
        <d v="2022-01-26T00:00:00" u="1"/>
        <d v="2022-03-17T00:00:00" u="1"/>
        <d v="2022-04-22T00:00:00" u="1"/>
        <d v="2022-06-13T00:00:00" u="1"/>
        <d v="2022-08-04T00:00:00" u="1"/>
        <d v="2021-08-23T00:00:00" u="1"/>
        <d v="2022-05-27T00:00:00" u="1"/>
        <d v="2021-11-19T00:00:00" u="1"/>
        <d v="2022-01-19T00:00:00" u="1"/>
        <d v="2022-03-10T00:00:00" u="1"/>
        <d v="2023-07-18T00:00:00" u="1"/>
        <d v="2022-04-15T00:00:00" u="1"/>
        <d v="2022-06-06T00:00:00" u="1"/>
        <d v="2021-08-16T00:00:00" u="1"/>
        <d v="2021-10-07T00:00:00" u="1"/>
        <d v="2022-03-29T00:00:00" u="1"/>
        <d v="2022-05-20T00:00:00" u="1"/>
        <d v="2022-07-11T00:00:00" u="1"/>
        <d v="2023-09-28T00:00:00" u="1"/>
        <n v="54" u="1"/>
        <d v="2021-11-12T00:00:00" u="1"/>
        <d v="2022-01-12T00:00:00" u="1"/>
        <d v="2022-03-03T00:00:00" u="1"/>
        <d v="2022-08-16T00:00:00" u="1"/>
        <d v="2021-12-17T00:00:00" u="1"/>
        <d v="2022-02-17T00:00:00" u="1"/>
        <d v="2022-04-08T00:00:00" u="1"/>
        <d v="2023-08-16T00:00:00" u="1"/>
        <d v="2021-08-09T00:00:00" u="1"/>
        <d v="2022-01-31T00:00:00" u="1"/>
        <d v="2022-03-22T00:00:00" u="1"/>
        <d v="2022-05-13T00:00:00" u="1"/>
        <d v="2022-07-04T00:00:00" u="1"/>
        <d v="2024-01-12T00:00:00" u="1"/>
        <d v="2021-11-05T00:00:00" u="1"/>
        <d v="2022-01-05T00:00:00" u="1"/>
        <d v="2022-08-09T00:00:00" u="1"/>
        <d v="2021-10-19T00:00:00" u="1"/>
        <d v="2021-12-10T00:00:00" u="1"/>
        <d v="2022-02-10T00:00:00" u="1"/>
        <d v="2023-08-09T00:00:00" u="1"/>
        <d v="2021-08-02T00:00:00" u="1"/>
        <d v="2021-11-24T00:00:00" u="1"/>
        <d v="2022-05-06T00:00:00" u="1"/>
        <d v="2023-09-14T00:00:00" u="1"/>
        <d v="2021-07-16T00:00:00" u="1"/>
        <d v="2022-08-02T00:00:00" u="1"/>
        <d v="2021-06-30T00:00:00" u="1"/>
        <d v="2021-12-03T00:00:00" u="1"/>
        <d v="2022-05-25T00:00:00" u="1"/>
        <d v="2023-08-02T00:00:00" u="1"/>
        <d v="2021-11-17T00:00:00" u="1"/>
        <d v="2022-01-17T00:00:00" u="1"/>
        <d v="2022-03-08T00:00:00" u="1"/>
        <d v="2022-06-30T00:00:00" u="1"/>
        <d v="2023-12-29T00:00:00" u="1"/>
        <d v="2021-07-09T00:00:00" u="1"/>
        <d v="2021-12-22T00:00:00" u="1"/>
        <d v="2022-02-22T00:00:00" u="1"/>
        <e v="#N/A" u="1"/>
        <d v="2022-01-10T00:00:00" u="1"/>
        <d v="2022-03-01T00:00:00" u="1"/>
        <d v="2022-06-23T00:00:00" u="1"/>
        <d v="2024-02-22T00:00:00" u="1"/>
        <d v="2021-07-02T00:00:00" u="1"/>
        <d v="2021-12-15T00:00:00" u="1"/>
        <d v="2022-04-06T00:00:00" u="1"/>
        <d v="2022-09-19T00:00:00" u="1"/>
        <d v="2023-10-05T00:00:00" u="1"/>
        <d v="2021-11-29T00:00:00" u="1"/>
        <d v="2022-04-25T00:00:00" u="1"/>
        <d v="2022-06-16T00:00:00" u="1"/>
        <d v="2021-12-08T00:00:00" u="1"/>
        <d v="2022-02-08T00:00:00" u="1"/>
        <d v="2022-05-30T00:00:00" u="1"/>
        <d v="2023-08-07T00:00:00" u="1"/>
        <d v="2022-05-04T00:00:00" u="1"/>
        <d v="2021-07-14T00:00:00" u="1"/>
        <d v="2022-06-09T00:00:00" u="1"/>
        <d v="2021-08-19T00:00:00" u="1"/>
        <d v="2021-12-01T00:00:00" u="1"/>
        <d v="2022-02-01T00:00:00" u="1"/>
        <d v="2022-05-23T00:00:00" u="1"/>
        <d v="2022-07-14T00:00:00" u="1"/>
        <d v="2021-11-15T00:00:00" u="1"/>
        <d v="2022-06-28T00:00:00" u="1"/>
        <d v="2022-08-19T00:00:00" u="1"/>
        <d v="2021-10-29T00:00:00" u="1"/>
        <d v="2021-12-20T00:00:00" u="1"/>
        <d v="2022-04-11T00:00:00" u="1"/>
        <d v="2022-06-02T00:00:00" u="1"/>
        <d v="2022-03-25T00:00:00" u="1"/>
        <d v="2022-05-16T00:00:00" u="1"/>
        <d v="2022-07-07T00:00:00" u="1"/>
        <d v="2021-11-08T00:00:00" u="1"/>
        <d v="2022-06-21T00:00:00" u="1"/>
        <d v="2021-10-22T00:00:00" u="1"/>
        <d v="2021-12-13T00:00:00" u="1"/>
        <d v="2021-08-05T00:00:00" u="1"/>
        <d v="2022-01-27T00:00:00" u="1"/>
        <d v="2022-03-18T00:00:00" u="1"/>
        <d v="2023-07-26T00:00:00" u="1"/>
        <d v="2022-06-14T00:00:00" u="1"/>
        <d v="2022-08-05T00:00:00" u="1"/>
        <d v="2021-12-06T00:00:00" u="1"/>
        <d v="2022-01-20T00:00:00" u="1"/>
        <d v="2022-03-11T00:00:00" u="1"/>
        <d v="2022-08-24T00:00:00" u="1"/>
        <d v="2023-07-19T00:00:00" u="1"/>
        <d v="2021-07-12T00:00:00" u="1"/>
        <d v="2022-06-07T00:00:00" u="1"/>
        <d v="2021-08-17T00:00:00" u="1"/>
        <d v="2022-03-30T00:00:00" u="1"/>
        <d v="2022-07-12T00:00:00" u="1"/>
        <d v="2022-01-13T00:00:00" u="1"/>
        <d v="2022-03-04T00:00:00" u="1"/>
        <d v="2023-12-25T00:00:00" u="1"/>
        <d v="2021-07-05T00:00:00" u="1"/>
        <d v="2021-08-10T00:00:00" u="1"/>
        <d v="2022-07-05T00:00:00" u="1"/>
        <d v="2022-01-06T00:00:00" u="1"/>
        <d v="2022-08-10T00:00:00" u="1"/>
        <d v="2023-10-27T00:00:00" u="1"/>
        <d v="2022-02-11T00:00:00" u="1"/>
        <d v="2023-08-10T00:00:00" u="1"/>
        <d v="2021-08-03T00:00:00" u="1"/>
        <d v="2022-01-25T00:00:00" u="1"/>
        <d v="2022-08-03T00:00:00" u="1"/>
        <d v="2022-02-04T00:00:00" u="1"/>
        <d v="2022-05-26T00:00:00" u="1"/>
        <d v="2023-08-03T00:00:00" u="1"/>
        <d v="2021-11-18T00:00:00" u="1"/>
        <d v="2022-01-18T00:00:00" u="1"/>
        <d v="2022-03-09T00:00:00" u="1"/>
        <d v="2022-08-22T00:00:00" u="1"/>
      </sharedItems>
    </cacheField>
    <cacheField name="LC2" numFmtId="0">
      <sharedItems containsDate="1" containsBlank="1" containsMixedTypes="1" minDate="1899-12-31T01:15:04" maxDate="2024-06-22T00:00:00" count="598">
        <s v="DATE FIN"/>
        <n v="52"/>
        <m/>
        <s v=" "/>
        <d v="2025-03-26T00:00:00"/>
        <d v="2025-03-27T00:00:00"/>
        <d v="2025-04-02T00:00:00"/>
        <d v="2025-04-11T00:00:00"/>
        <d v="2025-04-17T00:00:00"/>
        <d v="2025-04-22T00:00:00"/>
        <d v="2025-05-01T00:00:00"/>
        <d v="2025-05-06T00:00:00"/>
        <d v="2025-05-07T00:00:00"/>
        <d v="2025-07-03T00:00:00"/>
        <d v="2025-08-14T00:00:00"/>
        <d v="2025-08-15T00:00:00"/>
        <d v="2025-09-16T00:00:00"/>
        <d v="2025-09-18T00:00:00"/>
        <d v="2025-10-29T00:00:00"/>
        <d v="2025-03-25T00:00:00" u="1"/>
        <d v="2025-04-01T00:00:00" u="1"/>
        <d v="2025-04-10T00:00:00" u="1"/>
        <d v="2025-04-16T00:00:00" u="1"/>
        <d v="2025-04-21T00:00:00" u="1"/>
        <d v="2025-04-30T00:00:00" u="1"/>
        <d v="2025-05-05T00:00:00" u="1"/>
        <d v="2025-07-02T00:00:00" u="1"/>
        <d v="2025-08-13T00:00:00" u="1"/>
        <d v="2025-09-15T00:00:00" u="1"/>
        <d v="2025-09-17T00:00:00" u="1"/>
        <d v="2025-10-28T00:00:00" u="1"/>
        <d v="2025-06-16T00:00:00" u="1"/>
        <d v="2025-07-09T00:00:00" u="1"/>
        <d v="2025-07-15T00:00:00" u="1"/>
        <d v="2025-04-15T00:00:00" u="1"/>
        <d v="2025-06-11T00:00:00" u="1"/>
        <d v="2025-07-04T00:00:00" u="1"/>
        <d v="2025-03-21T00:00:00" u="1"/>
        <d v="2025-03-24T00:00:00" u="1"/>
        <d v="2025-03-28T00:00:00" u="1"/>
        <d v="2025-04-08T00:00:00" u="1"/>
        <d v="2025-06-09T00:00:00" u="1"/>
        <d v="2025-08-22T00:00:00" u="1"/>
        <d v="2025-08-27T00:00:00" u="1"/>
        <d v="2025-09-03T00:00:00" u="1"/>
        <d v="2025-09-11T00:00:00" u="1"/>
        <d v="2025-10-24T00:00:00" u="1"/>
        <d v="2025-04-04T00:00:00" u="1"/>
        <d v="2025-04-07T00:00:00" u="1"/>
        <d v="2025-05-13T00:00:00" u="1"/>
        <d v="2025-05-27T00:00:00" u="1"/>
        <d v="2025-05-28T00:00:00" u="1"/>
        <d v="2025-06-17T00:00:00" u="1"/>
        <d v="2025-06-19T00:00:00" u="1"/>
        <d v="2025-06-23T00:00:00" u="1"/>
        <d v="2025-06-30T00:00:00" u="1"/>
        <d v="2025-08-19T00:00:00" u="1"/>
        <d v="2025-03-05T00:00:00" u="1"/>
        <d v="2025-03-07T00:00:00" u="1"/>
        <d v="2025-03-14T00:00:00" u="1"/>
        <d v="2025-03-17T00:00:00" u="1"/>
        <d v="2025-05-12T00:00:00" u="1"/>
        <d v="2025-05-23T00:00:00" u="1"/>
        <d v="2025-05-30T00:00:00" u="1"/>
        <d v="2025-06-05T00:00:00" u="1"/>
        <d v="2025-03-04T00:00:00" u="1"/>
        <d v="2025-03-10T00:00:00" u="1"/>
        <d v="2025-05-19T00:00:00" u="1"/>
        <d v="2025-05-26T00:00:00" u="1"/>
        <d v="2025-06-06T00:00:00" u="1"/>
        <d v="2025-06-10T00:00:00" u="1"/>
        <d v="2025-06-12T00:00:00" u="1"/>
        <d v="2025-06-18T00:00:00" u="1"/>
        <d v="2025-03-31T00:00:00" u="1"/>
        <d v="2025-04-23T00:00:00" u="1"/>
        <d v="2025-04-24T00:00:00" u="1"/>
        <d v="2025-02-05T00:00:00" u="1"/>
        <d v="2025-02-06T00:00:00" u="1"/>
        <d v="2025-02-12T00:00:00" u="1"/>
        <d v="2025-02-26T00:00:00" u="1"/>
        <d v="2025-02-28T00:00:00" u="1"/>
        <d v="2025-03-11T00:00:00" u="1"/>
        <d v="2025-04-29T00:00:00" u="1"/>
        <d v="2025-02-11T00:00:00" u="1"/>
        <d v="2025-02-20T00:00:00" u="1"/>
        <d v="2025-02-24T00:00:00" u="1"/>
        <d v="2025-03-03T00:00:00" u="1"/>
        <d v="2025-03-06T00:00:00" u="1"/>
        <d v="2024-11-12T00:00:00" u="1"/>
        <d v="2024-11-15T00:00:00" u="1"/>
        <d v="2024-11-21T00:00:00" u="1"/>
        <d v="2024-11-27T00:00:00" u="1"/>
        <d v="2024-11-28T00:00:00" u="1"/>
        <d v="2024-12-03T00:00:00" u="1"/>
        <d v="2024-12-06T00:00:00" u="1"/>
        <d v="2025-01-20T00:00:00" u="1"/>
        <d v="2025-03-19T00:00:00" u="1"/>
        <d v="2024-10-24T00:00:00" u="1"/>
        <d v="2024-10-29T00:00:00" u="1"/>
        <d v="2024-11-11T00:00:00" u="1"/>
        <d v="2024-11-13T00:00:00" u="1"/>
        <d v="2024-11-20T00:00:00" u="1"/>
        <d v="2024-11-22T00:00:00" u="1"/>
        <d v="2024-12-05T00:00:00" u="1"/>
        <d v="2024-12-10T00:00:00" u="1"/>
        <d v="2025-01-21T00:00:00" u="1"/>
        <d v="2025-01-22T00:00:00" u="1"/>
        <d v="2025-01-27T00:00:00" u="1"/>
        <d v="2024-10-28T00:00:00" u="1"/>
        <d v="2024-11-05T00:00:00" u="1"/>
        <d v="2024-11-07T00:00:00" u="1"/>
        <d v="2024-11-08T00:00:00" u="1"/>
        <d v="2024-11-14T00:00:00" u="1"/>
        <d v="2024-11-25T00:00:00" u="1"/>
        <d v="2024-12-19T00:00:00" u="1"/>
        <d v="2025-01-06T00:00:00" u="1"/>
        <d v="2024-10-07T00:00:00" u="1"/>
        <d v="2024-10-15T00:00:00" u="1"/>
        <d v="2024-10-17T00:00:00" u="1"/>
        <d v="2024-11-18T00:00:00" u="1"/>
        <d v="2024-12-04T00:00:00" u="1"/>
        <d v="2025-05-22T00:00:00" u="1"/>
        <d v="2024-10-10T00:00:00" u="1"/>
        <d v="2024-10-30T00:00:00" u="1"/>
        <d v="2024-11-01T00:00:00" u="1"/>
        <d v="2024-11-04T00:00:00" u="1"/>
        <d v="2024-12-16T00:00:00" u="1"/>
        <d v="2024-12-18T00:00:00" u="1"/>
        <d v="2025-02-14T00:00:00" u="1"/>
        <d v="2024-10-09T00:00:00" u="1"/>
        <d v="2024-10-21T00:00:00" u="1"/>
        <d v="2024-11-26T00:00:00" u="1"/>
        <d v="2024-11-29T00:00:00" u="1"/>
        <d v="2024-12-17T00:00:00" u="1"/>
        <d v="2025-02-07T00:00:00" u="1"/>
        <d v="2025-02-10T00:00:00" u="1"/>
        <d v="2025-04-25T00:00:00" u="1"/>
        <d v="2025-07-07T00:00:00" u="1"/>
        <d v="2024-09-24T00:00:00" u="1"/>
        <d v="2024-09-27T00:00:00" u="1"/>
        <d v="2024-12-09T00:00:00" u="1"/>
        <d v="2024-12-13T00:00:00" u="1"/>
        <d v="2025-01-31T00:00:00" u="1"/>
        <d v="2024-09-20T00:00:00" u="1"/>
        <d v="2024-09-25T00:00:00" u="1"/>
        <d v="2024-12-12T00:00:00" u="1"/>
        <d v="2025-01-29T00:00:00" u="1"/>
        <d v="2025-01-30T00:00:00" u="1"/>
        <d v="2024-09-18T00:00:00" u="1"/>
        <d v="2024-09-26T00:00:00" u="1"/>
        <d v="2025-01-28T00:00:00" u="1"/>
        <d v="2024-09-17T00:00:00" u="1"/>
        <d v="2024-09-19T00:00:00" u="1"/>
        <d v="2024-09-23T00:00:00" u="1"/>
        <d v="2024-10-01T00:00:00" u="1"/>
        <d v="2024-09-11T00:00:00" u="1"/>
        <d v="2024-12-20T00:00:00" u="1"/>
        <d v="2025-01-15T00:00:00" u="1"/>
        <d v="2025-02-27T00:00:00" u="1"/>
        <d v="2025-05-16T00:00:00" u="1"/>
        <d v="2025-06-03T00:00:00" u="1"/>
        <d v="2024-09-10T00:00:00" u="1"/>
        <d v="2025-02-03T00:00:00" u="1"/>
        <d v="2025-04-14T00:00:00" u="1"/>
        <d v="2024-10-08T00:00:00" u="1"/>
        <d v="2024-12-02T00:00:00" u="1"/>
        <d v="2024-12-11T00:00:00" u="1"/>
        <d v="2025-02-04T00:00:00" u="1"/>
        <d v="2024-09-09T00:00:00" u="1"/>
        <d v="2024-08-30T00:00:00" u="1"/>
        <d v="2024-10-04T00:00:00" u="1"/>
        <d v="2025-01-24T00:00:00" u="1"/>
        <d v="2024-08-29T00:00:00" u="1"/>
        <d v="2024-09-16T00:00:00" u="1"/>
        <d v="2024-10-03T00:00:00" u="1"/>
        <d v="2025-01-14T00:00:00" u="1"/>
        <d v="2025-03-18T00:00:00" u="1"/>
        <d v="2024-08-22T00:00:00" u="1"/>
        <d v="2024-08-27T00:00:00" u="1"/>
        <d v="2024-10-02T00:00:00" u="1"/>
        <d v="2024-08-19T00:00:00" u="1"/>
        <d v="2024-08-21T00:00:00" u="1"/>
        <d v="2024-09-03T00:00:00" u="1"/>
        <d v="2024-09-05T00:00:00" u="1"/>
        <d v="2024-09-12T00:00:00" u="1"/>
        <d v="2025-01-09T00:00:00" u="1"/>
        <d v="2025-03-13T00:00:00" u="1"/>
        <d v="2024-08-16T00:00:00" u="1"/>
        <d v="2024-09-13T00:00:00" u="1"/>
        <d v="2025-01-08T00:00:00" u="1"/>
        <d v="2025-03-12T00:00:00" u="1"/>
        <d v="2024-09-30T00:00:00" u="1"/>
        <d v="2025-01-10T00:00:00" u="1"/>
        <d v="2025-01-13T00:00:00" u="1"/>
        <d v="2025-01-16T00:00:00" u="1"/>
        <d v="2024-08-15T00:00:00" u="1"/>
        <d v="2024-08-20T00:00:00" u="1"/>
        <d v="2024-08-14T00:00:00" u="1"/>
        <d v="2024-11-19T00:00:00" u="1"/>
        <d v="2024-08-12T00:00:00" u="1"/>
        <d v="2024-08-13T00:00:00" u="1"/>
        <d v="2024-08-06T00:00:00" u="1"/>
        <d v="2024-07-19T00:00:00" u="1"/>
        <d v="2024-07-08T00:00:00" u="1"/>
        <d v="2024-07-10T00:00:00" u="1"/>
        <d v="2024-07-11T00:00:00" u="1"/>
        <d v="2024-07-12T00:00:00" u="1"/>
        <d v="2024-07-16T00:00:00" u="1"/>
        <d v="2025-07-08T00:00:00" u="1"/>
        <d v="2025-10-03T00:00:00" u="1"/>
        <d v="2025-11-03T00:00:00" u="1"/>
        <d v="2025-12-19T00:00:00" u="1"/>
        <d v="2026-01-13T00:00:00" u="1"/>
        <d v="2024-07-09T00:00:00" u="1"/>
        <d v="2025-05-20T00:00:00" u="1"/>
        <d v="2025-06-20T00:00:00" u="1"/>
        <d v="2024-06-18T00:00:00" u="1"/>
        <d v="2024-06-19T00:00:00" u="1"/>
        <d v="2024-06-20T00:00:00" u="1"/>
        <d v="2024-06-25T00:00:00" u="1"/>
        <d v="2024-06-26T00:00:00" u="1"/>
        <d v="2024-06-27T00:00:00" u="1"/>
        <d v="2024-10-16T00:00:00" u="1"/>
        <d v="2025-04-18T00:00:00" u="1"/>
        <d v="2024-06-28T00:00:00" u="1"/>
        <d v="2024-07-02T00:00:00" u="1"/>
        <d v="2025-09-04T00:00:00" u="1"/>
        <d v="2025-09-12T00:00:00" u="1"/>
        <d v="2025-02-19T00:00:00" u="1"/>
        <d v="2025-04-28T00:00:00" u="1"/>
        <d v="2024-10-18T00:00:00" u="1"/>
        <d v="2024-06-14T00:00:00" u="1"/>
        <d v="2024-06-17T00:00:00" u="1"/>
        <d v="2024-10-11T00:00:00" u="1"/>
        <d v="2025-02-25T00:00:00" u="1"/>
        <d v="2024-06-05T00:00:00" u="1"/>
        <d v="2024-06-06T00:00:00" u="1"/>
        <d v="2024-06-07T00:00:00" u="1"/>
        <d v="2024-06-10T00:00:00" u="1"/>
        <d v="2024-08-28T00:00:00" u="1"/>
        <d v="2024-06-12T00:00:00" u="1"/>
        <d v="2024-07-15T00:00:00" u="1"/>
        <d v="2024-10-23T00:00:00" u="1"/>
        <d v="2024-06-04T00:00:00" u="1"/>
        <d v="2024-06-11T00:00:00" u="1"/>
        <d v="2024-06-13T00:00:00" u="1"/>
        <d v="2024-09-02T00:00:00" u="1"/>
        <d v="2024-12-23T00:00:00" u="1"/>
        <d v="2024-05-30T00:00:00" u="1"/>
        <d v="2024-06-03T00:00:00" u="1"/>
        <d v="2024-05-09T00:00:00" u="1"/>
        <d v="2024-05-23T00:00:00" u="1"/>
        <d v="2024-05-24T00:00:00" u="1"/>
        <d v="2024-05-28T00:00:00" u="1"/>
        <d v="2024-05-31T00:00:00" u="1"/>
        <d v="2024-04-09T00:00:00" u="1"/>
        <d v="2024-04-22T00:00:00" u="1"/>
        <d v="2024-05-06T00:00:00" u="1"/>
        <d v="2024-05-14T00:00:00" u="1"/>
        <d v="2024-05-22T00:00:00" u="1"/>
        <d v="2024-05-27T00:00:00" u="1"/>
        <d v="2024-04-05T00:00:00" u="1"/>
        <d v="2024-04-18T00:00:00" u="1"/>
        <d v="2024-05-03T00:00:00" u="1"/>
        <d v="2024-05-08T00:00:00" u="1"/>
        <d v="2024-05-13T00:00:00" u="1"/>
        <d v="2024-07-05T00:00:00" u="1"/>
        <d v="2024-03-28T00:00:00" u="1"/>
        <d v="2024-03-29T00:00:00" u="1"/>
        <d v="2024-04-17T00:00:00" u="1"/>
        <d v="2024-05-02T00:00:00" u="1"/>
        <d v="2024-05-07T00:00:00" u="1"/>
        <d v="2024-07-03T00:00:00" u="1"/>
        <d v="2024-04-04T00:00:00" u="1"/>
        <d v="2024-04-10T00:00:00" u="1"/>
        <d v="2024-04-02T00:00:00" u="1"/>
        <d v="2024-04-25T00:00:00" u="1"/>
        <d v="2024-04-23T00:00:00" u="1"/>
        <d v="2024-04-26T00:00:00" u="1"/>
        <d v="2024-03-08T00:00:00" u="1"/>
        <d v="2024-03-11T00:00:00" u="1"/>
        <d v="2024-03-12T00:00:00" u="1"/>
        <d v="2024-04-03T00:00:00" u="1"/>
        <d v="2024-04-08T00:00:00" u="1"/>
        <d v="2024-03-13T00:00:00" u="1"/>
        <d v="2024-03-14T00:00:00" u="1"/>
        <d v="2024-03-15T00:00:00" u="1"/>
        <d v="2024-04-19T00:00:00" u="1"/>
        <d v="2024-02-28T00:00:00" u="1"/>
        <d v="2024-02-29T00:00:00" u="1"/>
        <d v="2024-03-01T00:00:00" u="1"/>
        <d v="2024-03-05T00:00:00" u="1"/>
        <d v="2024-03-07T00:00:00" u="1"/>
        <d v="2024-04-11T00:00:00" u="1"/>
        <d v="2024-04-15T00:00:00" u="1"/>
        <d v="2024-04-24T00:00:00" u="1"/>
        <d v="2024-02-01T00:00:00" u="1"/>
        <d v="2024-02-02T00:00:00" u="1"/>
        <d v="2024-02-12T00:00:00" u="1"/>
        <d v="2024-02-15T00:00:00" u="1"/>
        <d v="2024-02-20T00:00:00" u="1"/>
        <d v="2024-02-22T00:00:00" u="1"/>
        <d v="2024-05-16T00:00:00" u="1"/>
        <d v="2024-03-19T00:00:00" u="1"/>
        <d v="2024-05-10T00:00:00" u="1"/>
        <d v="2024-05-21T00:00:00" u="1"/>
        <d v="2024-01-26T00:00:00" u="1"/>
        <d v="2024-01-30T00:00:00" u="1"/>
        <d v="2024-02-16T00:00:00" u="1"/>
        <d v="2024-04-29T00:00:00" u="1"/>
        <d v="2024-01-19T00:00:00" u="1"/>
        <d v="2024-01-23T00:00:00" u="1"/>
        <d v="2024-02-05T00:00:00" u="1"/>
        <d v="2024-02-27T00:00:00" u="1"/>
        <d v="2024-03-20T00:00:00" u="1"/>
        <d v="2024-03-21T00:00:00" u="1"/>
        <d v="2024-03-22T00:00:00" u="1"/>
        <d v="2024-03-26T00:00:00" u="1"/>
        <d v="2024-01-18T00:00:00" u="1"/>
        <d v="2024-01-22T00:00:00" u="1"/>
        <d v="2024-01-31T00:00:00" u="1"/>
        <d v="2024-02-26T00:00:00" u="1"/>
        <d v="2024-03-18T00:00:00" u="1"/>
        <d v="2024-01-12T00:00:00" u="1"/>
        <d v="2024-01-16T00:00:00" u="1"/>
        <d v="2024-01-25T00:00:00" u="1"/>
        <d v="2024-01-29T00:00:00" u="1"/>
        <d v="2024-02-09T00:00:00" u="1"/>
        <d v="2023-12-12T00:00:00" u="1"/>
        <d v="2023-12-15T00:00:00" u="1"/>
        <d v="2023-12-18T00:00:00" u="1"/>
        <d v="2023-12-22T00:00:00" u="1"/>
        <d v="2024-01-17T00:00:00" u="1"/>
        <d v="2023-12-13T00:00:00" u="1"/>
        <d v="2023-12-14T00:00:00" u="1"/>
        <d v="2024-01-08T00:00:00" u="1"/>
        <d v="2023-11-30T00:00:00" u="1"/>
        <d v="2023-12-08T00:00:00" u="1"/>
        <d v="2023-12-11T00:00:00" u="1"/>
        <d v="2023-12-21T00:00:00" u="1"/>
        <d v="2024-01-10T00:00:00" u="1"/>
        <d v="2023-11-23T00:00:00" u="1"/>
        <d v="2023-11-28T00:00:00" u="1"/>
        <d v="2023-12-07T00:00:00" u="1"/>
        <d v="2024-01-15T00:00:00" u="1"/>
        <d v="2024-02-06T00:00:00" u="1"/>
        <d v="2023-12-01T00:00:00" u="1"/>
        <d v="2023-12-20T00:00:00" u="1"/>
        <d v="2024-01-05T00:00:00" u="1"/>
        <d v="2024-01-24T00:00:00" u="1"/>
        <d v="2024-03-25T00:00:00" u="1"/>
        <d v="2024-03-27T00:00:00" u="1"/>
        <d v="2024-04-16T00:00:00" u="1"/>
        <d v="2024-07-17T00:00:00" u="1"/>
        <d v="2024-07-18T00:00:00" u="1"/>
        <d v="2024-08-07T00:00:00" u="1"/>
        <d v="2023-11-27T00:00:00" u="1"/>
        <d v="2024-03-04T00:00:00" u="1"/>
        <d v="2024-03-06T00:00:00" u="1"/>
        <d v="2023-11-24T00:00:00" u="1"/>
        <d v="2023-12-19T00:00:00" u="1"/>
        <d v="2024-02-07T00:00:00" u="1"/>
        <d v="2024-02-13T00:00:00" u="1"/>
        <d v="2023-11-07T00:00:00" u="1"/>
        <d v="2023-10-18T00:00:00" u="1"/>
        <d v="2023-11-13T00:00:00" u="1"/>
        <d v="2024-01-11T00:00:00" u="1"/>
        <d v="2024-02-14T00:00:00" u="1"/>
        <d v="2023-10-16T00:00:00" u="1"/>
        <d v="2023-11-10T00:00:00" u="1"/>
        <d v="2023-09-18T00:00:00" u="1"/>
        <d v="2023-09-22T00:00:00" u="1"/>
        <d v="2023-09-25T00:00:00" u="1"/>
        <d v="2023-10-23T00:00:00" u="1"/>
        <d v="2023-11-20T00:00:00" u="1"/>
        <d v="2023-12-04T00:00:00" u="1"/>
        <d v="2023-12-06T00:00:00" u="1"/>
        <d v="2023-10-02T00:00:00" u="1"/>
        <d v="2023-10-03T00:00:00" u="1"/>
        <d v="2023-10-30T00:00:00" u="1"/>
        <d v="2023-12-05T00:00:00" u="1"/>
        <d v="2024-01-09T00:00:00" u="1"/>
        <d v="2023-10-06T00:00:00" u="1"/>
        <d v="2023-10-10T00:00:00" u="1"/>
        <d v="2023-10-19T00:00:00" u="1"/>
        <d v="2023-11-14T00:00:00" u="1"/>
        <d v="2023-10-17T00:00:00" u="1"/>
        <d v="2023-10-04T00:00:00" u="1"/>
        <d v="2023-10-11T00:00:00" u="1"/>
        <d v="2023-10-26T00:00:00" u="1"/>
        <d v="2023-11-22T00:00:00" u="1"/>
        <d v="2023-09-29T00:00:00" u="1"/>
        <d v="2023-11-21T00:00:00" u="1"/>
        <d v="2023-09-28T00:00:00" u="1"/>
        <d v="2023-10-25T00:00:00" u="1"/>
        <d v="2023-10-12T00:00:00" u="1"/>
        <d v="2023-10-13T00:00:00" u="1"/>
        <d v="2023-10-24T00:00:00" u="1"/>
        <d v="2023-11-17T00:00:00" u="1"/>
        <d v="2021-12-23T00:00:00" u="1"/>
        <d v="2022-11-18T00:00:00" u="1"/>
        <d v="2023-01-18T00:00:00" u="1"/>
        <d v="2021-10-06T00:00:00" u="1"/>
        <d v="2022-12-23T00:00:00" u="1"/>
        <d v="2023-02-23T00:00:00" u="1"/>
        <d v="2023-09-27T00:00:00" u="1"/>
        <d v="2022-01-11T00:00:00" u="1"/>
        <d v="2022-03-02T00:00:00" u="1"/>
        <d v="2022-08-15T00:00:00" u="1"/>
        <d v="2022-10-06T00:00:00" u="1"/>
        <d v="2023-03-28T00:00:00" u="1"/>
        <d v="2021-12-16T00:00:00" u="1"/>
        <d v="2022-02-16T00:00:00" u="1"/>
        <d v="2023-03-02T00:00:00" u="1"/>
        <d v="2023-02-16T00:00:00" u="1"/>
        <d v="2023-04-07T00:00:00" u="1"/>
        <d v="2023-09-20T00:00:00" u="1"/>
        <d v="2021-09-13T00:00:00" u="1"/>
        <d v="2022-08-08T00:00:00" u="1"/>
        <d v="2023-01-30T00:00:00" u="1"/>
        <d v="2021-12-09T00:00:00" u="1"/>
        <d v="2022-11-04T00:00:00" u="1"/>
        <d v="2023-04-26T00:00:00" u="1"/>
        <d v="2021-11-23T00:00:00" u="1"/>
        <d v="2022-10-18T00:00:00" u="1"/>
        <d v="2023-02-09T00:00:00" u="1"/>
        <d v="2023-09-13T00:00:00" u="1"/>
        <d v="2021-07-15T00:00:00" u="1"/>
        <d v="2022-08-01T00:00:00" u="1"/>
        <d v="2023-01-23T00:00:00" u="1"/>
        <d v="2023-03-14T00:00:00" u="1"/>
        <d v="2023-05-05T00:00:00" u="1"/>
        <d v="2022-07-15T00:00:00" u="1"/>
        <d v="2022-09-06T00:00:00" u="1"/>
        <d v="2023-02-28T00:00:00" u="1"/>
        <d v="2022-03-07T00:00:00" u="1"/>
        <d v="2022-06-29T00:00:00" u="1"/>
        <d v="2022-10-11T00:00:00" u="1"/>
        <d v="2023-02-02T00:00:00" u="1"/>
        <d v="2021-07-08T00:00:00" u="1"/>
        <d v="2021-12-21T00:00:00" u="1"/>
        <d v="2023-01-16T00:00:00" u="1"/>
        <d v="2021-10-04T00:00:00" u="1"/>
        <d v="2023-02-21T00:00:00" u="1"/>
        <d v="2023-11-16T00:00:00" u="1"/>
        <d v="2022-10-04T00:00:00" u="1"/>
        <d v="2021-12-14T00:00:00" u="1"/>
        <d v="2022-02-14T00:00:00" u="1"/>
        <d v="2022-01-28T00:00:00" u="1"/>
        <d v="2023-02-14T00:00:00" u="1"/>
        <d v="2023-11-09T00:00:00" u="1"/>
        <d v="2022-11-28T00:00:00" u="1"/>
        <d v="2021-12-07T00:00:00" u="1"/>
        <d v="2022-11-02T00:00:00" u="1"/>
        <d v="2023-04-24T00:00:00" u="1"/>
        <d v="2022-01-21T00:00:00" u="1"/>
        <d v="2022-08-25T00:00:00" u="1"/>
        <d v="2023-02-07T00:00:00" u="1"/>
        <d v="2023-07-20T00:00:00" u="1"/>
        <d v="2023-09-11T00:00:00" u="1"/>
        <d v="2023-11-02T00:00:00" u="1"/>
        <d v="2021-07-13T00:00:00" u="1"/>
        <d v="2022-09-30T00:00:00" u="1"/>
        <d v="2024-05-29T00:00:00" u="1"/>
        <d v="2025-01-02T00:00:00" u="1"/>
        <d v="2021-09-23T00:00:00" u="1"/>
        <d v="2022-01-14T00:00:00" u="1"/>
        <d v="2022-06-27T00:00:00" u="1"/>
        <d v="2022-08-18T00:00:00" u="1"/>
        <d v="2021-07-06T00:00:00" u="1"/>
        <d v="2022-11-14T00:00:00" u="1"/>
        <d v="2022-10-28T00:00:00" u="1"/>
        <d v="2023-04-10T00:00:00" u="1"/>
        <d v="2022-01-07T00:00:00" u="1"/>
        <d v="2022-08-11T00:00:00" u="1"/>
        <d v="2023-03-24T00:00:00" u="1"/>
        <d v="2022-09-16T00:00:00" u="1"/>
        <d v="2022-11-07T00:00:00" u="1"/>
        <d v="2022-01-26T00:00:00" u="1"/>
        <d v="2022-08-04T00:00:00" u="1"/>
        <d v="2023-01-26T00:00:00" u="1"/>
        <d v="2023-03-17T00:00:00" u="1"/>
        <d v="2023-08-30T00:00:00" u="1"/>
        <d v="2021-09-28T00:00:00" u="1"/>
        <d v="2022-01-19T00:00:00" u="1"/>
        <d v="2022-10-14T00:00:00" u="1"/>
        <d v="2022-02-24T00:00:00" u="1"/>
        <d v="2021-10-07T00:00:00" u="1"/>
        <d v="2022-07-11T00:00:00" u="1"/>
        <d v="2022-09-02T00:00:00" u="1"/>
        <d v="2021-09-21T00:00:00" u="1"/>
        <d v="2022-01-12T00:00:00" u="1"/>
        <d v="2022-03-03T00:00:00" u="1"/>
        <d v="2022-08-16T00:00:00" u="1"/>
        <d v="2022-10-07T00:00:00" u="1"/>
        <d v="2023-03-29T00:00:00" u="1"/>
        <d v="2021-12-17T00:00:00" u="1"/>
        <d v="2023-03-03T00:00:00" u="1"/>
        <d v="2022-01-31T00:00:00" u="1"/>
        <d v="2023-02-17T00:00:00" u="1"/>
        <n v="56" u="1"/>
        <d v="2021-09-14T00:00:00" u="1"/>
        <d v="2022-01-05T00:00:00" u="1"/>
        <d v="2022-08-09T00:00:00" u="1"/>
        <d v="2023-01-31T00:00:00" u="1"/>
        <d v="2021-12-10T00:00:00" u="1"/>
        <d v="2023-01-05T00:00:00" u="1"/>
        <d v="2023-04-27T00:00:00" u="1"/>
        <d v="2021-08-02T00:00:00" u="1"/>
        <d v="2022-01-24T00:00:00" u="1"/>
        <d v="2022-03-15T00:00:00" u="1"/>
        <d v="2022-10-19T00:00:00" u="1"/>
        <d v="2023-02-10T00:00:00" u="1"/>
        <d v="2023-09-14T00:00:00" u="1"/>
        <d v="2021-07-16T00:00:00" u="1"/>
        <d v="2022-08-02T00:00:00" u="1"/>
        <d v="2023-01-24T00:00:00" u="1"/>
        <d v="2023-03-15T00:00:00" u="1"/>
        <d v="2021-06-30T00:00:00" u="1"/>
        <d v="2022-01-17T00:00:00" u="1"/>
        <d v="2022-06-30T00:00:00" u="1"/>
        <d v="2023-01-17T00:00:00" u="1"/>
        <e v="#N/A" u="1"/>
        <d v="2023-02-22T00:00:00" u="1"/>
        <d v="2023-09-26T00:00:00" u="1"/>
        <d v="2022-01-10T00:00:00" u="1"/>
        <d v="2022-10-05T00:00:00" u="1"/>
        <d v="2023-03-27T00:00:00" u="1"/>
        <d v="2023-10-31T00:00:00" u="1"/>
        <d v="2021-07-02T00:00:00" u="1"/>
        <d v="2021-12-15T00:00:00" u="1"/>
        <d v="2022-02-15T00:00:00" u="1"/>
        <d v="2023-03-01T00:00:00" u="1"/>
        <d v="2023-10-05T00:00:00" u="1"/>
        <d v="2023-02-15T00:00:00" u="1"/>
        <d v="2022-11-29T00:00:00" u="1"/>
        <d v="2023-03-20T00:00:00" u="1"/>
        <d v="2021-12-08T00:00:00" u="1"/>
        <d v="2023-11-29T00:00:00" u="1"/>
        <d v="2021-11-22T00:00:00" u="1"/>
        <d v="2022-08-26T00:00:00" u="1"/>
        <d v="2022-10-17T00:00:00" u="1"/>
        <d v="2023-07-21T00:00:00" u="1"/>
        <d v="2023-09-12T00:00:00" u="1"/>
        <d v="2023-11-03T00:00:00" u="1"/>
        <d v="2023-03-13T00:00:00" u="1"/>
        <d v="2023-05-04T00:00:00" u="1"/>
        <d v="2024-02-08T00:00:00" u="1"/>
        <d v="2021-12-01T00:00:00" u="1"/>
        <d v="2022-07-14T00:00:00" u="1"/>
        <d v="2023-02-27T00:00:00" u="1"/>
        <d v="2021-09-24T00:00:00" u="1"/>
        <d v="2022-06-28T00:00:00" u="1"/>
        <d v="2022-08-19T00:00:00" u="1"/>
        <d v="2023-02-01T00:00:00" u="1"/>
        <d v="2023-09-05T00:00:00" u="1"/>
        <d v="2021-07-07T00:00:00" u="1"/>
        <d v="2021-12-20T00:00:00" u="1"/>
        <d v="2022-11-15T00:00:00" u="1"/>
        <d v="2023-02-20T00:00:00" u="1"/>
        <d v="2022-08-12T00:00:00" u="1"/>
        <d v="2021-12-13T00:00:00" u="1"/>
        <d v="2022-01-27T00:00:00" u="1"/>
        <d v="2023-02-13T00:00:00" u="1"/>
        <d v="2023-11-08T00:00:00" u="1"/>
        <d v="2024-06-21T00:00:00" u="1"/>
        <d v="2021-09-10T00:00:00" u="1"/>
        <d v="2022-08-05T00:00:00" u="1"/>
        <d v="2023-01-27T00:00:00" u="1"/>
        <d v="2021-12-06T00:00:00" u="1"/>
        <d v="2022-11-01T00:00:00" u="1"/>
        <d v="2021-09-29T00:00:00" u="1"/>
        <d v="2022-01-20T00:00:00" u="1"/>
        <d v="2023-07-19T00:00:00" u="1"/>
        <d v="2023-11-01T00:00:00" u="1"/>
        <d v="2022-02-25T00:00:00" u="1"/>
        <d v="2022-09-29T00:00:00" u="1"/>
        <d v="2022-07-12T00:00:00" u="1"/>
        <d v="2022-01-13T00:00:00" u="1"/>
        <d v="2022-03-04T00:00:00" u="1"/>
        <d v="2022-08-17T00:00:00" u="1"/>
        <d v="2023-03-30T00:00:00" u="1"/>
        <d v="2021-07-05T00:00:00" u="1"/>
        <d v="2023-01-13T00:00:00" u="1"/>
        <d v="2022-10-27T00:00:00" u="1"/>
        <d v="2022-08-10T00:00:00" u="1"/>
        <d v="2023-10-27T00:00:00" u="1"/>
        <d v="2022-09-15T00:00:00" u="1"/>
        <d v="2021-08-03T00:00:00" u="1"/>
        <d v="2022-01-25T00:00:00" u="1"/>
        <d v="2023-11-06T00:00:00" u="1"/>
        <d v="2022-08-03T00:00:00" u="1"/>
        <d v="2023-01-25T00:00:00" u="1"/>
        <d v="2023-03-16T00:00:00" u="1"/>
        <d v="2023-08-29T00:00:00" u="1"/>
        <d v="2021-09-27T00:00:00" u="1"/>
        <d v="2022-01-18T00:00:00" u="1"/>
        <d v="2022-08-22T00:00:00" u="1"/>
      </sharedItems>
    </cacheField>
    <cacheField name="LB2" numFmtId="0">
      <sharedItems containsDate="1" containsBlank="1" containsMixedTypes="1" minDate="1900-01-05T09:15:04" maxDate="2025-02-22T00:00:00" count="482">
        <s v="DATE FIN"/>
        <n v="53"/>
        <m/>
        <s v=" "/>
        <d v="2025-03-26T00:00:00"/>
        <d v="2025-04-01T00:00:00"/>
        <d v="2025-04-03T00:00:00"/>
        <d v="2025-04-04T00:00:00"/>
        <d v="2025-05-19T00:00:00"/>
        <d v="2025-06-02T00:00:00"/>
        <d v="2025-06-16T00:00:00"/>
        <d v="2025-07-04T00:00:00"/>
        <d v="2025-03-25T00:00:00" u="1"/>
        <d v="2025-03-31T00:00:00" u="1"/>
        <d v="2025-04-02T00:00:00" u="1"/>
        <d v="2025-05-16T00:00:00" u="1"/>
        <d v="2025-05-30T00:00:00" u="1"/>
        <d v="2025-06-13T00:00:00" u="1"/>
        <d v="2025-07-03T00:00:00" u="1"/>
        <d v="2025-05-15T00:00:00" u="1"/>
        <d v="2025-05-29T00:00:00" u="1"/>
        <d v="2025-05-13T00:00:00" u="1"/>
        <d v="2025-05-27T00:00:00" u="1"/>
        <d v="2025-03-21T00:00:00" u="1"/>
        <d v="2025-03-27T00:00:00" u="1"/>
        <d v="2025-05-09T00:00:00" u="1"/>
        <d v="2025-05-23T00:00:00" u="1"/>
        <d v="2025-06-05T00:00:00" u="1"/>
        <d v="2025-06-09T00:00:00" u="1"/>
        <d v="2025-06-10T00:00:00" u="1"/>
        <d v="2025-06-11T00:00:00" u="1"/>
        <d v="2025-06-30T00:00:00" u="1"/>
        <d v="2025-04-23T00:00:00" u="1"/>
        <d v="2025-05-02T00:00:00" u="1"/>
        <d v="2025-05-12T00:00:00" u="1"/>
        <d v="2025-05-14T00:00:00" u="1"/>
        <d v="2025-03-05T00:00:00" u="1"/>
        <d v="2025-03-07T00:00:00" u="1"/>
        <d v="2025-04-07T00:00:00" u="1"/>
        <d v="2025-04-10T00:00:00" u="1"/>
        <d v="2025-04-18T00:00:00" u="1"/>
        <d v="2025-04-21T00:00:00" u="1"/>
        <d v="2025-04-22T00:00:00" u="1"/>
        <d v="2025-03-04T00:00:00" u="1"/>
        <d v="2025-04-09T00:00:00" u="1"/>
        <d v="2025-03-06T00:00:00" u="1"/>
        <d v="2025-03-11T00:00:00" u="1"/>
        <d v="2025-04-14T00:00:00" u="1"/>
        <d v="2025-02-05T00:00:00" u="1"/>
        <d v="2025-02-06T00:00:00" u="1"/>
        <d v="2025-02-07T00:00:00" u="1"/>
        <d v="2025-02-10T00:00:00" u="1"/>
        <d v="2025-02-12T00:00:00" u="1"/>
        <d v="2025-02-13T00:00:00" u="1"/>
        <d v="2025-03-13T00:00:00" u="1"/>
        <d v="2025-03-18T00:00:00" u="1"/>
        <d v="2025-03-03T00:00:00" u="1"/>
        <d v="2024-11-11T00:00:00" u="1"/>
        <d v="2024-11-14T00:00:00" u="1"/>
        <d v="2024-11-15T00:00:00" u="1"/>
        <d v="2024-11-18T00:00:00" u="1"/>
        <d v="2024-11-20T00:00:00" u="1"/>
        <d v="2025-01-06T00:00:00" u="1"/>
        <d v="2025-01-07T00:00:00" u="1"/>
        <d v="2025-01-09T00:00:00" u="1"/>
        <d v="2025-01-10T00:00:00" u="1"/>
        <d v="2025-01-13T00:00:00" u="1"/>
        <d v="2025-01-14T00:00:00" u="1"/>
        <d v="2024-10-23T00:00:00" u="1"/>
        <d v="2024-10-24T00:00:00" u="1"/>
        <d v="2024-10-28T00:00:00" u="1"/>
        <d v="2024-10-29T00:00:00" u="1"/>
        <d v="2024-10-30T00:00:00" u="1"/>
        <d v="2024-10-31T00:00:00" u="1"/>
        <d v="2024-11-05T00:00:00" u="1"/>
        <d v="2024-11-06T00:00:00" u="1"/>
        <d v="2024-11-08T00:00:00" u="1"/>
        <d v="2024-12-12T00:00:00" u="1"/>
        <d v="2024-10-25T00:00:00" u="1"/>
        <d v="2024-11-04T00:00:00" u="1"/>
        <d v="2024-11-29T00:00:00" u="1"/>
        <d v="2024-10-07T00:00:00" u="1"/>
        <d v="2024-10-08T00:00:00" u="1"/>
        <d v="2024-10-10T00:00:00" u="1"/>
        <d v="2024-10-15T00:00:00" u="1"/>
        <d v="2024-10-16T00:00:00" u="1"/>
        <d v="2024-10-17T00:00:00" u="1"/>
        <d v="2024-10-18T00:00:00" u="1"/>
        <d v="2024-12-02T00:00:00" u="1"/>
        <d v="2024-12-16T00:00:00" u="1"/>
        <d v="2024-10-09T00:00:00" u="1"/>
        <d v="2024-10-11T00:00:00" u="1"/>
        <d v="2024-10-21T00:00:00" u="1"/>
        <d v="2024-10-22T00:00:00" u="1"/>
        <d v="2024-11-28T00:00:00" u="1"/>
        <d v="2024-12-04T00:00:00" u="1"/>
        <d v="2024-11-01T00:00:00" u="1"/>
        <d v="2025-01-21T00:00:00" u="1"/>
        <d v="2024-09-24T00:00:00" u="1"/>
        <d v="2024-09-25T00:00:00" u="1"/>
        <d v="2024-09-26T00:00:00" u="1"/>
        <d v="2024-10-02T00:00:00" u="1"/>
        <d v="2024-11-22T00:00:00" u="1"/>
        <d v="2024-12-11T00:00:00" u="1"/>
        <d v="2024-09-20T00:00:00" u="1"/>
        <d v="2024-09-23T00:00:00" u="1"/>
        <d v="2024-09-30T00:00:00" u="1"/>
        <d v="2024-10-04T00:00:00" u="1"/>
        <d v="2024-11-21T00:00:00" u="1"/>
        <d v="2024-12-09T00:00:00" u="1"/>
        <d v="2024-09-18T00:00:00" u="1"/>
        <d v="2024-11-19T00:00:00" u="1"/>
        <d v="2024-12-05T00:00:00" u="1"/>
        <d v="2024-09-17T00:00:00" u="1"/>
        <d v="2024-09-19T00:00:00" u="1"/>
        <d v="2024-09-27T00:00:00" u="1"/>
        <d v="2024-10-01T00:00:00" u="1"/>
        <d v="2024-09-10T00:00:00" u="1"/>
        <d v="2024-10-03T00:00:00" u="1"/>
        <d v="2024-12-03T00:00:00" u="1"/>
        <d v="2024-09-09T00:00:00" u="1"/>
        <d v="2024-09-06T00:00:00" u="1"/>
        <d v="2024-08-29T00:00:00" u="1"/>
        <d v="2024-08-28T00:00:00" u="1"/>
        <d v="2024-11-27T00:00:00" u="1"/>
        <d v="2024-08-23T00:00:00" u="1"/>
        <d v="2024-11-12T00:00:00" u="1"/>
        <d v="2024-08-19T00:00:00" u="1"/>
        <d v="2024-09-11T00:00:00" u="1"/>
        <d v="2024-09-12T00:00:00" u="1"/>
        <d v="2024-08-20T00:00:00" u="1"/>
        <d v="2024-11-07T00:00:00" u="1"/>
        <d v="2024-08-16T00:00:00" u="1"/>
        <d v="2024-08-15T00:00:00" u="1"/>
        <d v="2024-11-13T00:00:00" u="1"/>
        <d v="2024-08-12T00:00:00" u="1"/>
        <d v="2024-08-13T00:00:00" u="1"/>
        <d v="2024-08-06T00:00:00" u="1"/>
        <d v="2024-07-19T00:00:00" u="1"/>
        <d v="2024-11-26T00:00:00" u="1"/>
        <d v="2024-07-05T00:00:00" u="1"/>
        <d v="2024-07-08T00:00:00" u="1"/>
        <d v="2024-07-09T00:00:00" u="1"/>
        <d v="2025-01-29T00:00:00" u="1"/>
        <d v="2025-03-10T00:00:00" u="1"/>
        <d v="2025-03-14T00:00:00" u="1"/>
        <d v="2024-09-13T00:00:00" u="1"/>
        <d v="2024-09-16T00:00:00" u="1"/>
        <d v="2024-12-19T00:00:00" u="1"/>
        <d v="2024-06-18T00:00:00" u="1"/>
        <d v="2024-06-19T00:00:00" u="1"/>
        <d v="2024-06-20T00:00:00" u="1"/>
        <d v="2024-08-22T00:00:00" u="1"/>
        <d v="2024-09-04T00:00:00" u="1"/>
        <d v="2024-09-03T00:00:00" u="1"/>
        <d v="2025-01-16T00:00:00" u="1"/>
        <d v="2024-12-13T00:00:00" u="1"/>
        <d v="2024-06-27T00:00:00" u="1"/>
        <d v="2024-06-26T00:00:00" u="1"/>
        <d v="2024-06-14T00:00:00" u="1"/>
        <d v="2024-06-17T00:00:00" u="1"/>
        <d v="2024-06-21T00:00:00" u="1"/>
        <d v="2024-08-26T00:00:00" u="1"/>
        <d v="2024-08-30T00:00:00" u="1"/>
        <d v="2024-06-05T00:00:00" u="1"/>
        <d v="2024-06-06T00:00:00" u="1"/>
        <d v="2024-06-12T00:00:00" u="1"/>
        <d v="2024-08-21T00:00:00" u="1"/>
        <d v="2024-08-08T00:00:00" u="1"/>
        <d v="2024-08-09T00:00:00" u="1"/>
        <d v="2024-08-14T00:00:00" u="1"/>
        <d v="2024-06-04T00:00:00" u="1"/>
        <d v="2024-06-07T00:00:00" u="1"/>
        <d v="2024-05-30T00:00:00" u="1"/>
        <d v="2024-04-30T00:00:00" u="1"/>
        <d v="2024-05-07T00:00:00" u="1"/>
        <d v="2024-05-08T00:00:00" u="1"/>
        <d v="2024-05-15T00:00:00" u="1"/>
        <d v="2024-05-16T00:00:00" u="1"/>
        <d v="2024-07-02T00:00:00" u="1"/>
        <d v="2024-09-02T00:00:00" u="1"/>
        <d v="2024-09-05T00:00:00" u="1"/>
        <d v="2024-04-09T00:00:00" u="1"/>
        <d v="2024-04-17T00:00:00" u="1"/>
        <d v="2024-04-18T00:00:00" u="1"/>
        <d v="2024-04-25T00:00:00" u="1"/>
        <d v="2024-04-26T00:00:00" u="1"/>
        <d v="2024-04-05T00:00:00" u="1"/>
        <d v="2024-04-15T00:00:00" u="1"/>
        <d v="2024-04-16T00:00:00" u="1"/>
        <d v="2024-04-23T00:00:00" u="1"/>
        <d v="2024-05-01T00:00:00" u="1"/>
        <d v="2024-05-02T00:00:00" u="1"/>
        <d v="2024-03-28T00:00:00" u="1"/>
        <d v="2024-04-02T00:00:00" u="1"/>
        <d v="2024-04-10T00:00:00" u="1"/>
        <d v="2024-04-11T00:00:00" u="1"/>
        <d v="2024-04-22T00:00:00" u="1"/>
        <d v="2024-04-29T00:00:00" u="1"/>
        <d v="2024-03-29T00:00:00" u="1"/>
        <d v="2024-04-08T00:00:00" u="1"/>
        <d v="2024-04-12T00:00:00" u="1"/>
        <d v="2024-04-03T00:00:00" u="1"/>
        <d v="2024-04-04T00:00:00" u="1"/>
        <d v="2024-03-08T00:00:00" u="1"/>
        <d v="2024-03-12T00:00:00" u="1"/>
        <d v="2024-03-13T00:00:00" u="1"/>
        <d v="2024-03-14T00:00:00" u="1"/>
        <d v="2024-03-15T00:00:00" u="1"/>
        <d v="2024-03-18T00:00:00" u="1"/>
        <d v="2024-03-20T00:00:00" u="1"/>
        <d v="2024-02-26T00:00:00" u="1"/>
        <d v="2024-02-27T00:00:00" u="1"/>
        <d v="2024-02-28T00:00:00" u="1"/>
        <d v="2024-03-06T00:00:00" u="1"/>
        <d v="2024-03-07T00:00:00" u="1"/>
        <d v="2024-03-11T00:00:00" u="1"/>
        <d v="2024-02-01T00:00:00" u="1"/>
        <d v="2024-02-05T00:00:00" u="1"/>
        <d v="2024-02-13T00:00:00" u="1"/>
        <d v="2024-02-16T00:00:00" u="1"/>
        <d v="2024-02-06T00:00:00" u="1"/>
        <d v="2024-02-07T00:00:00" u="1"/>
        <d v="2024-02-19T00:00:00" u="1"/>
        <d v="2024-02-20T00:00:00" u="1"/>
        <d v="2024-02-23T00:00:00" u="1"/>
        <d v="2024-01-26T00:00:00" u="1"/>
        <d v="2024-01-31T00:00:00" u="1"/>
        <d v="2024-01-19T00:00:00" u="1"/>
        <d v="2024-01-22T00:00:00" u="1"/>
        <d v="2024-01-25T00:00:00" u="1"/>
        <d v="2024-01-30T00:00:00" u="1"/>
        <d v="2024-02-02T00:00:00" u="1"/>
        <d v="2024-02-08T00:00:00" u="1"/>
        <d v="2024-02-21T00:00:00" u="1"/>
        <d v="2024-02-29T00:00:00" u="1"/>
        <d v="2024-02-09T00:00:00" u="1"/>
        <d v="2024-02-14T00:00:00" u="1"/>
        <d v="2024-02-15T00:00:00" u="1"/>
        <d v="2024-01-18T00:00:00" u="1"/>
        <d v="2024-01-24T00:00:00" u="1"/>
        <d v="2024-01-29T00:00:00" u="1"/>
        <d v="2024-01-12T00:00:00" u="1"/>
        <d v="2024-01-15T00:00:00" u="1"/>
        <d v="2024-01-23T00:00:00" u="1"/>
        <d v="2023-12-12T00:00:00" u="1"/>
        <d v="2023-12-13T00:00:00" u="1"/>
        <d v="2023-12-18T00:00:00" u="1"/>
        <d v="2024-01-05T00:00:00" u="1"/>
        <d v="2023-12-19T00:00:00" u="1"/>
        <d v="2024-01-09T00:00:00" u="1"/>
        <d v="2023-12-15T00:00:00" u="1"/>
        <d v="2023-11-30T00:00:00" u="1"/>
        <d v="2023-12-01T00:00:00" u="1"/>
        <d v="2023-12-04T00:00:00" u="1"/>
        <d v="2023-12-07T00:00:00" u="1"/>
        <d v="2023-12-11T00:00:00" u="1"/>
        <d v="2023-11-23T00:00:00" u="1"/>
        <d v="2023-11-27T00:00:00" u="1"/>
        <d v="2023-11-28T00:00:00" u="1"/>
        <d v="2023-11-29T00:00:00" u="1"/>
        <d v="2023-12-06T00:00:00" u="1"/>
        <d v="2023-11-15T00:00:00" u="1"/>
        <d v="2023-11-16T00:00:00" u="1"/>
        <d v="2023-11-17T00:00:00" u="1"/>
        <d v="2023-11-20T00:00:00" u="1"/>
        <d v="2023-11-21T00:00:00" u="1"/>
        <d v="2023-12-05T00:00:00" u="1"/>
        <d v="2024-01-10T00:00:00" u="1"/>
        <d v="2024-01-11T00:00:00" u="1"/>
        <d v="2024-03-22T00:00:00" u="1"/>
        <d v="2023-11-10T00:00:00" u="1"/>
        <d v="2023-11-13T00:00:00" u="1"/>
        <d v="2023-11-14T00:00:00" u="1"/>
        <d v="2023-11-22T00:00:00" u="1"/>
        <d v="2023-11-24T00:00:00" u="1"/>
        <d v="2023-11-09T00:00:00" u="1"/>
        <d v="2023-11-06T00:00:00" u="1"/>
        <d v="2023-11-07T00:00:00" u="1"/>
        <d v="2023-10-18T00:00:00" u="1"/>
        <d v="2023-10-19T00:00:00" u="1"/>
        <d v="2023-10-26T00:00:00" u="1"/>
        <d v="2023-10-27T00:00:00" u="1"/>
        <d v="2023-10-30T00:00:00" u="1"/>
        <d v="2023-10-31T00:00:00" u="1"/>
        <d v="2023-11-02T00:00:00" u="1"/>
        <d v="2023-11-03T00:00:00" u="1"/>
        <d v="2023-10-16T00:00:00" u="1"/>
        <d v="2023-10-17T00:00:00" u="1"/>
        <d v="2023-10-25T00:00:00" u="1"/>
        <d v="2023-11-01T00:00:00" u="1"/>
        <d v="2023-09-19T00:00:00" u="1"/>
        <d v="2023-09-20T00:00:00" u="1"/>
        <d v="2023-09-21T00:00:00" u="1"/>
        <d v="2023-10-05T00:00:00" u="1"/>
        <d v="2023-10-06T00:00:00" u="1"/>
        <d v="2023-10-10T00:00:00" u="1"/>
        <d v="2023-10-11T00:00:00" u="1"/>
        <d v="2023-10-12T00:00:00" u="1"/>
        <d v="2023-10-13T00:00:00" u="1"/>
        <d v="2023-09-22T00:00:00" u="1"/>
        <d v="2023-09-15T00:00:00" u="1"/>
        <d v="2023-09-18T00:00:00" u="1"/>
        <d v="2023-09-14T00:00:00" u="1"/>
        <d v="2023-10-04T00:00:00" u="1"/>
        <d v="2023-09-13T00:00:00" u="1"/>
        <d v="2023-10-03T00:00:00" u="1"/>
        <d v="2023-09-05T00:00:00" u="1"/>
        <d v="2023-09-06T00:00:00" u="1"/>
        <d v="2023-09-07T00:00:00" u="1"/>
        <d v="2021-12-23T00:00:00" u="1"/>
        <d v="2022-04-14T00:00:00" u="1"/>
        <d v="2023-08-22T00:00:00" u="1"/>
        <n v="57" u="1"/>
        <d v="2021-10-06T00:00:00" u="1"/>
        <d v="2023-09-27T00:00:00" u="1"/>
        <d v="2021-09-20T00:00:00" u="1"/>
        <d v="2022-10-06T00:00:00" u="1"/>
        <d v="2023-03-28T00:00:00" u="1"/>
        <d v="2023-09-01T00:00:00" u="1"/>
        <d v="2021-10-25T00:00:00" u="1"/>
        <d v="2022-11-11T00:00:00" u="1"/>
        <d v="2023-01-11T00:00:00" u="1"/>
        <d v="2022-10-25T00:00:00" u="1"/>
        <d v="2022-12-16T00:00:00" u="1"/>
        <d v="2023-02-16T00:00:00" u="1"/>
        <d v="2022-04-26T00:00:00" u="1"/>
        <d v="2022-11-30T00:00:00" u="1"/>
        <d v="2021-10-18T00:00:00" u="1"/>
        <d v="2021-12-09T00:00:00" u="1"/>
        <d v="2022-05-31T00:00:00" u="1"/>
        <d v="2022-11-04T00:00:00" u="1"/>
        <d v="2023-08-08T00:00:00" u="1"/>
        <d v="2021-11-23T00:00:00" u="1"/>
        <d v="2021-07-15T00:00:00" u="1"/>
        <d v="2022-11-23T00:00:00" u="1"/>
        <d v="2021-06-29T00:00:00" u="1"/>
        <d v="2021-12-02T00:00:00" u="1"/>
        <d v="2021-11-16T00:00:00" u="1"/>
        <d v="2022-12-02T00:00:00" u="1"/>
        <d v="2023-02-02T00:00:00" u="1"/>
        <d v="2022-04-12T00:00:00" u="1"/>
        <d v="2022-11-16T00:00:00" u="1"/>
        <d v="2022-05-17T00:00:00" u="1"/>
        <d v="2022-12-21T00:00:00" u="1"/>
        <d v="2023-09-25T00:00:00" u="1"/>
        <d v="2022-06-22T00:00:00" u="1"/>
        <d v="2023-01-09T00:00:00" u="1"/>
        <d v="2024-03-26T00:00:00" u="1"/>
        <d v="2025-02-21T00:00:00" u="1"/>
        <d v="2021-08-06T00:00:00" u="1"/>
        <d v="2023-07-27T00:00:00" u="1"/>
        <d v="2022-11-28T00:00:00" u="1"/>
        <d v="2021-12-07T00:00:00" u="1"/>
        <d v="2022-02-07T00:00:00" u="1"/>
        <d v="2021-09-30T00:00:00" u="1"/>
        <d v="2022-12-07T00:00:00" u="1"/>
        <d v="2023-07-20T00:00:00" u="1"/>
        <d v="2023-09-11T00:00:00" u="1"/>
        <d v="2022-11-21T00:00:00" u="1"/>
        <d v="2023-08-25T00:00:00" u="1"/>
        <d v="2021-09-23T00:00:00" u="1"/>
        <d v="2022-06-27T00:00:00" u="1"/>
        <d v="2023-09-04T00:00:00" u="1"/>
        <d v="2021-10-28T00:00:00" u="1"/>
        <d v="2022-11-14T00:00:00" u="1"/>
        <d v="2023-08-18T00:00:00" u="1"/>
        <d v="2021-08-11T00:00:00" u="1"/>
        <d v="2022-10-28T00:00:00" u="1"/>
        <d v="2022-12-19T00:00:00" u="1"/>
        <d v="2021-09-16T00:00:00" u="1"/>
        <d v="2023-08-11T00:00:00" u="1"/>
        <d v="2021-08-04T00:00:00" u="1"/>
        <d v="2021-11-26T00:00:00" u="1"/>
        <d v="2022-04-22T00:00:00" u="1"/>
        <d v="2021-10-14T00:00:00" u="1"/>
        <d v="2021-09-28T00:00:00" u="1"/>
        <d v="2021-11-19T00:00:00" u="1"/>
        <d v="2022-12-05T00:00:00" u="1"/>
        <d v="2023-07-18T00:00:00" u="1"/>
        <d v="2023-08-23T00:00:00" u="1"/>
        <d v="2024-05-27T00:00:00" u="1"/>
        <d v="2021-10-07T00:00:00" u="1"/>
        <d v="2023-09-28T00:00:00" u="1"/>
        <d v="2024-10-14T00:00:00" u="1"/>
        <d v="2021-09-21T00:00:00" u="1"/>
        <d v="2021-11-12T00:00:00" u="1"/>
        <d v="2022-10-07T00:00:00" u="1"/>
        <d v="2021-10-26T00:00:00" u="1"/>
        <d v="2023-01-12T00:00:00" u="1"/>
        <d v="2021-08-09T00:00:00" u="1"/>
        <d v="2021-09-14T00:00:00" u="1"/>
        <d v="2022-04-27T00:00:00" u="1"/>
        <d v="2021-10-19T00:00:00" u="1"/>
        <d v="2021-12-10T00:00:00" u="1"/>
        <d v="2023-08-09T00:00:00" u="1"/>
        <d v="2021-08-02T00:00:00" u="1"/>
        <d v="2021-11-24T00:00:00" u="1"/>
        <d v="2021-07-16T00:00:00" u="1"/>
        <d v="2021-09-07T00:00:00" u="1"/>
        <d v="2022-04-20T00:00:00" u="1"/>
        <d v="2022-11-24T00:00:00" u="1"/>
        <d v="2023-03-15T00:00:00" u="1"/>
        <d v="2023-08-28T00:00:00" u="1"/>
        <d v="2021-06-30T00:00:00" u="1"/>
        <d v="2021-10-12T00:00:00" u="1"/>
        <d v="2021-12-03T00:00:00" u="1"/>
        <d v="2021-11-17T00:00:00" u="1"/>
        <d v="2023-02-03T00:00:00" u="1"/>
        <d v="2021-07-09T00:00:00" u="1"/>
        <d v="2023-08-21T00:00:00" u="1"/>
        <e v="#N/A" u="1"/>
        <d v="2021-10-05T00:00:00" u="1"/>
        <d v="2022-05-18T00:00:00" u="1"/>
        <d v="2022-10-31T00:00:00" u="1"/>
        <d v="2023-09-26T00:00:00" u="1"/>
        <d v="2023-03-27T00:00:00" u="1"/>
        <d v="2022-11-10T00:00:00" u="1"/>
        <d v="2023-01-10T00:00:00" u="1"/>
        <d v="2024-03-27T00:00:00" u="1"/>
        <d v="2021-11-29T00:00:00" u="1"/>
        <d v="2022-10-24T00:00:00" u="1"/>
        <d v="2022-12-15T00:00:00" u="1"/>
        <d v="2023-07-28T00:00:00" u="1"/>
        <d v="2022-04-25T00:00:00" u="1"/>
        <d v="2022-11-29T00:00:00" u="1"/>
        <d v="2021-12-08T00:00:00" u="1"/>
        <d v="2022-05-30T00:00:00" u="1"/>
        <d v="2023-08-07T00:00:00" u="1"/>
        <d v="2021-11-22T00:00:00" u="1"/>
        <d v="2022-12-08T00:00:00" u="1"/>
        <d v="2023-09-12T00:00:00" u="1"/>
        <d v="2021-07-14T00:00:00" u="1"/>
        <d v="2022-11-22T00:00:00" u="1"/>
        <d v="2021-06-28T00:00:00" u="1"/>
        <d v="2021-12-01T00:00:00" u="1"/>
        <d v="2021-09-24T00:00:00" u="1"/>
        <d v="2022-12-01T00:00:00" u="1"/>
        <d v="2023-02-01T00:00:00" u="1"/>
        <d v="2021-07-07T00:00:00" u="1"/>
        <d v="2022-11-15T00:00:00" u="1"/>
        <d v="2022-12-20T00:00:00" u="1"/>
        <d v="2021-09-17T00:00:00" u="1"/>
        <d v="2022-06-21T00:00:00" u="1"/>
        <d v="2021-08-05T00:00:00" u="1"/>
        <d v="2022-03-18T00:00:00" u="1"/>
        <d v="2023-07-26T00:00:00" u="1"/>
        <d v="2023-11-08T00:00:00" u="1"/>
        <d v="2022-06-14T00:00:00" u="1"/>
        <d v="2021-10-15T00:00:00" u="1"/>
        <d v="2021-12-06T00:00:00" u="1"/>
        <d v="2022-11-01T00:00:00" u="1"/>
        <d v="2021-09-29T00:00:00" u="1"/>
        <d v="2022-12-06T00:00:00" u="1"/>
        <d v="2023-02-06T00:00:00" u="1"/>
        <d v="2023-07-19T00:00:00" u="1"/>
        <d v="2025-01-27T00:00:00" u="1"/>
        <d v="2021-07-12T00:00:00" u="1"/>
        <d v="2023-08-24T00:00:00" u="1"/>
        <d v="2021-10-08T00:00:00" u="1"/>
        <d v="2024-12-06T00:00:00" u="1"/>
        <d v="2021-09-22T00:00:00" u="1"/>
        <d v="2021-10-27T00:00:00" u="1"/>
        <d v="2023-08-17T00:00:00" u="1"/>
        <d v="2021-08-10T00:00:00" u="1"/>
        <d v="2021-10-01T00:00:00" u="1"/>
        <d v="2022-10-27T00:00:00" u="1"/>
        <d v="2023-07-31T00:00:00" u="1"/>
        <d v="2022-04-28T00:00:00" u="1"/>
        <d v="2023-03-23T00:00:00" u="1"/>
        <d v="2023-01-06T00:00:00" u="1"/>
        <d v="2023-08-10T00:00:00" u="1"/>
        <d v="2021-11-25T00:00:00" u="1"/>
        <d v="2022-04-21T00:00:00" u="1"/>
        <d v="2022-11-25T00:00:00" u="1"/>
        <d v="2023-01-25T00:00:00" u="1"/>
        <d v="2021-10-13T00:00:00" u="1"/>
        <d v="2022-02-04T00:00:00" u="1"/>
        <d v="2022-05-26T00:00:00" u="1"/>
        <d v="2021-09-27T00:00:00" u="1"/>
        <d v="2023-07-17T00:00:00" u="1"/>
        <d v="2023-09-08T00:00:00" u="1"/>
      </sharedItems>
    </cacheField>
    <cacheField name="DATE MIN" numFmtId="0">
      <sharedItems containsDate="1" containsBlank="1" containsMixedTypes="1" minDate="1899-12-31T01:16:04" maxDate="2025-05-28T00:00:00"/>
    </cacheField>
    <cacheField name="DATE MAX" numFmtId="0">
      <sharedItems containsDate="1" containsBlank="1" containsMixedTypes="1" minDate="1900-01-05T09:16:04" maxDate="2025-01-03T00:00:00" count="644">
        <m/>
        <n v="55"/>
        <d v="2025-03-26T00:00:00"/>
        <d v="2025-03-28T00:00:00"/>
        <d v="2025-03-31T00:00:00"/>
        <d v="2025-04-04T00:00:00"/>
        <d v="2025-04-10T00:00:00"/>
        <d v="2025-04-16T00:00:00"/>
        <d v="2025-04-23T00:00:00"/>
        <d v="2025-04-24T00:00:00"/>
        <d v="2025-05-08T00:00:00"/>
        <d v="2025-06-17T00:00:00"/>
        <d v="2025-07-04T00:00:00"/>
        <d v="2025-07-07T00:00:00"/>
        <d v="2025-08-11T00:00:00"/>
        <d v="2025-08-14T00:00:00"/>
        <s v=" "/>
        <d v="2025-08-20T00:00:00"/>
        <d v="2025-10-10T00:00:00"/>
        <d v="2025-03-25T00:00:00" u="1"/>
        <d v="2025-03-27T00:00:00" u="1"/>
        <d v="2025-04-03T00:00:00" u="1"/>
        <d v="2025-04-09T00:00:00" u="1"/>
        <d v="2025-04-15T00:00:00" u="1"/>
        <d v="2025-04-22T00:00:00" u="1"/>
        <d v="2025-05-07T00:00:00" u="1"/>
        <d v="2025-06-16T00:00:00" u="1"/>
        <d v="2025-07-03T00:00:00" u="1"/>
        <d v="2025-07-18T00:00:00" u="1"/>
        <d v="2025-08-13T00:00:00" u="1"/>
        <d v="2025-08-19T00:00:00" u="1"/>
        <d v="2025-10-09T00:00:00" u="1"/>
        <d v="2025-05-05T00:00:00" u="1"/>
        <d v="2025-06-30T00:00:00" u="1"/>
        <d v="2025-04-01T00:00:00" u="1"/>
        <d v="2025-04-07T00:00:00" u="1"/>
        <d v="2025-04-11T00:00:00" u="1"/>
        <d v="2025-04-18T00:00:00" u="1"/>
        <d v="2025-05-01T00:00:00" u="1"/>
        <d v="2025-06-12T00:00:00" u="1"/>
        <d v="2025-06-26T00:00:00" u="1"/>
        <d v="2025-06-11T00:00:00" u="1"/>
        <d v="2025-07-11T00:00:00" u="1"/>
        <d v="2025-07-16T00:00:00" u="1"/>
        <d v="2025-07-17T00:00:00" u="1"/>
        <d v="2025-08-15T00:00:00" u="1"/>
        <d v="2025-10-03T00:00:00" u="1"/>
        <d v="2025-06-02T00:00:00" u="1"/>
        <d v="2025-04-14T00:00:00" u="1"/>
        <d v="2025-09-05T00:00:00" u="1"/>
        <d v="2025-10-06T00:00:00" u="1"/>
        <d v="2025-10-08T00:00:00" u="1"/>
        <d v="2025-10-14T00:00:00" u="1"/>
        <d v="2025-10-20T00:00:00" u="1"/>
        <d v="2025-11-10T00:00:00" u="1"/>
        <d v="2025-09-09T00:00:00" u="1"/>
        <d v="2025-09-11T00:00:00" u="1"/>
        <d v="2025-10-28T00:00:00" u="1"/>
        <d v="2025-03-07T00:00:00" u="1"/>
        <d v="2025-03-11T00:00:00" u="1"/>
        <d v="2025-03-05T00:00:00" u="1"/>
        <d v="2025-03-12T00:00:00" u="1"/>
        <d v="2025-03-13T00:00:00" u="1"/>
        <d v="2025-03-19T00:00:00" u="1"/>
        <d v="2025-08-26T00:00:00" u="1"/>
        <d v="2025-08-28T00:00:00" u="1"/>
        <d v="2025-09-12T00:00:00" u="1"/>
        <d v="2025-09-18T00:00:00" u="1"/>
        <d v="2025-03-06T00:00:00" u="1"/>
        <d v="2025-03-10T00:00:00" u="1"/>
        <d v="2025-03-04T00:00:00" u="1"/>
        <d v="2025-04-30T00:00:00" u="1"/>
        <d v="2025-05-02T00:00:00" u="1"/>
        <d v="2025-09-15T00:00:00" u="1"/>
        <d v="2025-09-16T00:00:00" u="1"/>
        <d v="2025-05-06T00:00:00" u="1"/>
        <d v="2025-02-05T00:00:00" u="1"/>
        <d v="2025-02-06T00:00:00" u="1"/>
        <d v="2025-02-19T00:00:00" u="1"/>
        <d v="2025-02-21T00:00:00" u="1"/>
        <d v="2025-03-18T00:00:00" u="1"/>
        <d v="2025-03-21T00:00:00" u="1"/>
        <d v="2025-04-28T00:00:00" u="1"/>
        <d v="2025-08-25T00:00:00" u="1"/>
        <d v="2025-02-12T00:00:00" u="1"/>
        <d v="2025-02-17T00:00:00" u="1"/>
        <d v="2025-02-13T00:00:00" u="1"/>
        <d v="2025-02-18T00:00:00" u="1"/>
        <d v="2025-02-25T00:00:00" u="1"/>
        <d v="2025-03-03T00:00:00" u="1"/>
        <d v="2025-05-19T00:00:00" u="1"/>
        <d v="2025-05-26T00:00:00" u="1"/>
        <d v="2024-11-13T00:00:00" u="1"/>
        <d v="2024-11-15T00:00:00" u="1"/>
        <d v="2024-11-21T00:00:00" u="1"/>
        <d v="2024-11-22T00:00:00" u="1"/>
        <d v="2024-11-26T00:00:00" u="1"/>
        <d v="2024-11-28T00:00:00" u="1"/>
        <d v="2025-01-28T00:00:00" u="1"/>
        <d v="2025-04-25T00:00:00" u="1"/>
        <d v="2024-10-24T00:00:00" u="1"/>
        <d v="2024-10-29T00:00:00" u="1"/>
        <d v="2024-10-30T00:00:00" u="1"/>
        <d v="2024-12-06T00:00:00" u="1"/>
        <d v="2024-11-01T00:00:00" u="1"/>
        <d v="2024-12-09T00:00:00" u="1"/>
        <d v="2024-11-29T00:00:00" u="1"/>
        <d v="2024-12-11T00:00:00" u="1"/>
        <d v="2025-01-31T00:00:00" u="1"/>
        <d v="2025-02-03T00:00:00" u="1"/>
        <d v="2025-05-23T00:00:00" u="1"/>
        <d v="2024-10-23T00:00:00" u="1"/>
        <d v="2024-10-25T00:00:00" u="1"/>
        <d v="2024-11-14T00:00:00" u="1"/>
        <d v="2024-12-05T00:00:00" u="1"/>
        <d v="2024-10-07T00:00:00" u="1"/>
        <d v="2024-10-21T00:00:00" u="1"/>
        <d v="2024-12-10T00:00:00" u="1"/>
        <d v="2024-12-04T00:00:00" u="1"/>
        <d v="2024-12-12T00:00:00" u="1"/>
        <d v="2025-02-10T00:00:00" u="1"/>
        <d v="2025-06-20T00:00:00" u="1"/>
        <d v="2025-08-12T00:00:00" u="1"/>
        <d v="2024-10-08T00:00:00" u="1"/>
        <d v="2024-12-17T00:00:00" u="1"/>
        <d v="2025-05-27T00:00:00" u="1"/>
        <d v="2025-07-14T00:00:00" u="1"/>
        <d v="2025-11-12T00:00:00" u="1"/>
        <d v="2024-10-16T00:00:00" u="1"/>
        <d v="2024-10-18T00:00:00" u="1"/>
        <d v="2024-11-06T00:00:00" u="1"/>
        <d v="2024-11-07T00:00:00" u="1"/>
        <d v="2024-11-25T00:00:00" u="1"/>
        <d v="2025-02-20T00:00:00" u="1"/>
        <d v="2025-05-13T00:00:00" u="1"/>
        <d v="2024-11-18T00:00:00" u="1"/>
        <d v="2025-04-02T00:00:00" u="1"/>
        <d v="2024-12-02T00:00:00" u="1"/>
        <d v="2024-12-03T00:00:00" u="1"/>
        <d v="2025-01-07T00:00:00" u="1"/>
        <d v="2025-01-10T00:00:00" u="1"/>
        <d v="2024-09-27T00:00:00" u="1"/>
        <d v="2024-10-01T00:00:00" u="1"/>
        <d v="2024-10-31T00:00:00" u="1"/>
        <d v="2024-12-16T00:00:00" u="1"/>
        <d v="2025-02-27T00:00:00" u="1"/>
        <d v="2025-02-28T00:00:00" u="1"/>
        <d v="2025-05-21T00:00:00" u="1"/>
        <d v="2025-07-08T00:00:00" u="1"/>
        <d v="2024-09-25T00:00:00" u="1"/>
        <d v="2024-10-22T00:00:00" u="1"/>
        <d v="2024-10-28T00:00:00" u="1"/>
        <d v="2025-02-26T00:00:00" u="1"/>
        <d v="2025-01-17T00:00:00" u="1"/>
        <d v="2025-01-29T00:00:00" u="1"/>
        <d v="2025-05-14T00:00:00" u="1"/>
        <d v="2024-09-20T00:00:00" u="1"/>
        <d v="2024-11-19T00:00:00" u="1"/>
        <d v="2025-01-14T00:00:00" u="1"/>
        <d v="2025-01-24T00:00:00" u="1"/>
        <d v="2025-05-15T00:00:00" u="1"/>
        <d v="2024-09-18T00:00:00" u="1"/>
        <d v="2024-10-02T00:00:00" u="1"/>
        <d v="2024-11-08T00:00:00" u="1"/>
        <d v="2024-10-15T00:00:00" u="1"/>
        <d v="2025-01-13T00:00:00" u="1"/>
        <d v="2025-01-16T00:00:00" u="1"/>
        <d v="2025-01-22T00:00:00" u="1"/>
        <d v="2024-09-12T00:00:00" u="1"/>
        <d v="2024-09-19T00:00:00" u="1"/>
        <d v="2024-10-17T00:00:00" u="1"/>
        <d v="2025-01-09T00:00:00" u="1"/>
        <d v="2025-01-20T00:00:00" u="1"/>
        <d v="2025-04-21T00:00:00" u="1"/>
        <d v="2025-04-29T00:00:00" u="1"/>
        <d v="2025-07-02T00:00:00" u="1"/>
        <d v="2025-02-11T00:00:00" u="1"/>
        <d v="2025-02-14T00:00:00" u="1"/>
        <d v="2024-09-11T00:00:00" u="1"/>
        <d v="2025-02-07T00:00:00" u="1"/>
        <d v="2024-09-09T00:00:00" u="1"/>
        <d v="2024-09-23T00:00:00" u="1"/>
        <d v="2024-09-30T00:00:00" u="1"/>
        <d v="2025-05-28T00:00:00" u="1"/>
        <d v="2024-09-06T00:00:00" u="1"/>
        <d v="2024-09-10T00:00:00" u="1"/>
        <d v="2024-08-30T00:00:00" u="1"/>
        <d v="2024-09-04T00:00:00" u="1"/>
        <d v="2025-01-21T00:00:00" u="1"/>
        <d v="2024-08-29T00:00:00" u="1"/>
        <d v="2024-09-03T00:00:00" u="1"/>
        <d v="2025-01-30T00:00:00" u="1"/>
        <d v="2025-02-04T00:00:00" u="1"/>
        <d v="2024-08-26T00:00:00" u="1"/>
        <d v="2024-08-28T00:00:00" u="1"/>
        <d v="2024-10-09T00:00:00" u="1"/>
        <d v="2024-11-12T00:00:00" u="1"/>
        <d v="2025-01-27T00:00:00" u="1"/>
        <d v="2025-02-24T00:00:00" u="1"/>
        <d v="2024-08-21T00:00:00" u="1"/>
        <d v="2024-08-23T00:00:00" u="1"/>
        <d v="2024-10-10T00:00:00" u="1"/>
        <d v="2024-10-11T00:00:00" u="1"/>
        <d v="2024-10-03T00:00:00" u="1"/>
        <d v="2024-08-22T00:00:00" u="1"/>
        <d v="2024-11-11T00:00:00" u="1"/>
        <d v="2025-03-24T00:00:00" u="1"/>
        <d v="2024-11-20T00:00:00" u="1"/>
        <d v="2025-04-17T00:00:00" u="1"/>
        <d v="2024-08-15T00:00:00" u="1"/>
        <d v="2024-08-19T00:00:00" u="1"/>
        <d v="2024-08-16T00:00:00" u="1"/>
        <d v="2024-09-16T00:00:00" u="1"/>
        <d v="2024-09-17T00:00:00" u="1"/>
        <d v="2024-09-24T00:00:00" u="1"/>
        <d v="2024-08-14T00:00:00" u="1"/>
        <d v="2024-08-20T00:00:00" u="1"/>
        <d v="2024-09-13T00:00:00" u="1"/>
        <d v="2024-08-12T00:00:00" u="1"/>
        <d v="2024-08-06T00:00:00" u="1"/>
        <d v="2024-08-13T00:00:00" u="1"/>
        <d v="2024-07-19T00:00:00" u="1"/>
        <d v="2024-07-05T00:00:00" u="1"/>
        <d v="2024-07-09T00:00:00" u="1"/>
        <d v="2024-07-10T00:00:00" u="1"/>
        <d v="2024-07-15T00:00:00" u="1"/>
        <d v="2024-07-18T00:00:00" u="1"/>
        <d v="2025-10-22T00:00:00" u="1"/>
        <d v="2025-11-26T00:00:00" u="1"/>
        <d v="2026-01-06T00:00:00" u="1"/>
        <d v="2026-01-12T00:00:00" u="1"/>
        <d v="2025-08-21T00:00:00" u="1"/>
        <d v="2024-06-18T00:00:00" u="1"/>
        <d v="2024-06-19T00:00:00" u="1"/>
        <d v="2024-06-21T00:00:00" u="1"/>
        <d v="2024-06-25T00:00:00" u="1"/>
        <d v="2024-06-28T00:00:00" u="1"/>
        <d v="2024-07-04T00:00:00" u="1"/>
        <d v="2024-11-27T00:00:00" u="1"/>
        <d v="2024-12-13T00:00:00" u="1"/>
        <d v="2025-05-29T00:00:00" u="1"/>
        <d v="2024-06-26T00:00:00" u="1"/>
        <d v="2024-07-02T00:00:00" u="1"/>
        <d v="2024-07-08T00:00:00" u="1"/>
        <d v="2025-05-30T00:00:00" u="1"/>
        <d v="2025-11-13T00:00:00" u="1"/>
        <d v="2025-11-17T00:00:00" u="1"/>
        <d v="2025-11-20T00:00:00" u="1"/>
        <d v="2025-09-25T00:00:00" u="1"/>
        <d v="2025-11-03T00:00:00" u="1"/>
        <d v="2024-11-04T00:00:00" u="1"/>
        <d v="2024-06-20T00:00:00" u="1"/>
        <d v="2024-06-14T00:00:00" u="1"/>
        <d v="2024-06-17T00:00:00" u="1"/>
        <d v="2025-05-09T00:00:00" u="1"/>
        <d v="2025-07-09T00:00:00" u="1"/>
        <d v="2024-06-11T00:00:00" u="1"/>
        <d v="2024-06-05T00:00:00" u="1"/>
        <d v="2024-06-10T00:00:00" u="1"/>
        <d v="2024-06-06T00:00:00" u="1"/>
        <d v="2024-08-27T00:00:00" u="1"/>
        <d v="2024-06-13T00:00:00" u="1"/>
        <d v="2024-07-17T00:00:00" u="1"/>
        <d v="2024-10-14T00:00:00" u="1"/>
        <d v="2024-06-12T00:00:00" u="1"/>
        <d v="2024-06-07T00:00:00" u="1"/>
        <d v="2024-05-31T00:00:00" u="1"/>
        <d v="2024-06-04T00:00:00" u="1"/>
        <d v="2024-05-14T00:00:00" u="1"/>
        <d v="2024-05-23T00:00:00" u="1"/>
        <d v="2024-05-24T00:00:00" u="1"/>
        <d v="2024-05-22T00:00:00" u="1"/>
        <d v="2024-05-27T00:00:00" u="1"/>
        <d v="2024-05-29T00:00:00" u="1"/>
        <d v="2024-07-11T00:00:00" u="1"/>
        <d v="2024-05-30T00:00:00" u="1"/>
        <d v="2024-07-12T00:00:00" u="1"/>
        <d v="2024-11-05T00:00:00" u="1"/>
        <d v="2024-04-09T00:00:00" u="1"/>
        <d v="2024-04-12T00:00:00" u="1"/>
        <d v="2024-04-10T00:00:00" u="1"/>
        <d v="2024-04-15T00:00:00" u="1"/>
        <d v="2024-04-29T00:00:00" u="1"/>
        <d v="2024-05-08T00:00:00" u="1"/>
        <d v="2024-05-09T00:00:00" u="1"/>
        <d v="2024-05-13T00:00:00" u="1"/>
        <d v="2024-05-17T00:00:00" u="1"/>
        <d v="2024-05-28T00:00:00" u="1"/>
        <d v="2024-04-05T00:00:00" u="1"/>
        <d v="2024-04-08T00:00:00" u="1"/>
        <d v="2024-04-11T00:00:00" u="1"/>
        <d v="2024-04-25T00:00:00" u="1"/>
        <d v="2024-05-06T00:00:00" u="1"/>
        <d v="2024-05-07T00:00:00" u="1"/>
        <d v="2024-05-21T00:00:00" u="1"/>
        <d v="2024-04-17T00:00:00" u="1"/>
        <d v="2024-04-18T00:00:00" u="1"/>
        <d v="2024-05-02T00:00:00" u="1"/>
        <d v="2024-05-16T00:00:00" u="1"/>
        <d v="2024-04-04T00:00:00" u="1"/>
        <d v="2024-03-28T00:00:00" u="1"/>
        <d v="2024-04-02T00:00:00" u="1"/>
        <d v="2024-04-26T00:00:00" u="1"/>
        <d v="2024-05-10T00:00:00" u="1"/>
        <d v="2024-05-01T00:00:00" u="1"/>
        <d v="2024-04-16T00:00:00" u="1"/>
        <d v="2024-04-03T00:00:00" u="1"/>
        <d v="2024-04-19T00:00:00" u="1"/>
        <d v="2024-03-29T00:00:00" u="1"/>
        <d v="2024-04-23T00:00:00" u="1"/>
        <d v="2024-03-08T00:00:00" u="1"/>
        <d v="2024-03-13T00:00:00" u="1"/>
        <d v="2024-03-11T00:00:00" u="1"/>
        <d v="2024-03-20T00:00:00" u="1"/>
        <d v="2024-03-21T00:00:00" u="1"/>
        <d v="2024-03-18T00:00:00" u="1"/>
        <d v="2024-02-27T00:00:00" u="1"/>
        <d v="2024-03-19T00:00:00" u="1"/>
        <d v="2024-03-22T00:00:00" u="1"/>
        <d v="2024-03-05T00:00:00" u="1"/>
        <d v="2024-02-23T00:00:00" u="1"/>
        <d v="2024-02-09T00:00:00" u="1"/>
        <d v="2024-02-28T00:00:00" u="1"/>
        <d v="2024-02-02T00:00:00" u="1"/>
        <d v="2024-02-29T00:00:00" u="1"/>
        <d v="2024-02-22T00:00:00" u="1"/>
        <d v="2024-03-25T00:00:00" u="1"/>
        <d v="2024-02-13T00:00:00" u="1"/>
        <d v="2024-02-15T00:00:00" u="1"/>
        <d v="2024-02-20T00:00:00" u="1"/>
        <d v="2024-03-07T00:00:00" u="1"/>
        <d v="2024-02-07T00:00:00" u="1"/>
        <d v="2024-02-14T00:00:00" u="1"/>
        <d v="2024-02-19T00:00:00" u="1"/>
        <d v="2024-02-01T00:00:00" u="1"/>
        <d v="2024-01-30T00:00:00" u="1"/>
        <d v="2024-02-06T00:00:00" u="1"/>
        <d v="2024-02-08T00:00:00" u="1"/>
        <d v="2024-01-22T00:00:00" u="1"/>
        <d v="2024-01-24T00:00:00" u="1"/>
        <d v="2024-01-29T00:00:00" u="1"/>
        <d v="2024-01-31T00:00:00" u="1"/>
        <d v="2024-02-12T00:00:00" u="1"/>
        <d v="2024-02-26T00:00:00" u="1"/>
        <d v="2024-03-04T00:00:00" u="1"/>
        <d v="2024-03-26T00:00:00" u="1"/>
        <d v="2024-03-27T00:00:00" u="1"/>
        <d v="2024-01-19T00:00:00" u="1"/>
        <d v="2024-01-23T00:00:00" u="1"/>
        <d v="2024-01-26T00:00:00" u="1"/>
        <d v="2024-02-05T00:00:00" u="1"/>
        <d v="2024-01-12T00:00:00" u="1"/>
        <d v="2024-01-15T00:00:00" u="1"/>
        <d v="2024-01-17T00:00:00" u="1"/>
        <d v="2024-02-16T00:00:00" u="1"/>
        <d v="2023-12-20T00:00:00" u="1"/>
        <d v="2023-12-21T00:00:00" u="1"/>
        <d v="2023-12-22T00:00:00" u="1"/>
        <d v="2024-01-08T00:00:00" u="1"/>
        <d v="2024-03-06T00:00:00" u="1"/>
        <d v="2024-01-05T00:00:00" u="1"/>
        <d v="2024-01-11T00:00:00" u="1"/>
        <d v="2024-01-25T00:00:00" u="1"/>
        <d v="2023-12-01T00:00:00" u="1"/>
        <d v="2024-01-09T00:00:00" u="1"/>
        <d v="2023-11-28T00:00:00" u="1"/>
        <d v="2024-01-18T00:00:00" u="1"/>
        <d v="2024-03-01T00:00:00" u="1"/>
        <d v="2023-12-14T00:00:00" u="1"/>
        <d v="2023-12-12T00:00:00" u="1"/>
        <d v="2023-11-29T00:00:00" u="1"/>
        <d v="2024-01-16T00:00:00" u="1"/>
        <d v="2024-04-22T00:00:00" u="1"/>
        <d v="2024-07-16T00:00:00" u="1"/>
        <d v="2025-06-23T00:00:00" u="1"/>
        <d v="2023-11-24T00:00:00" u="1"/>
        <d v="2024-01-10T00:00:00" u="1"/>
        <d v="2023-11-13T00:00:00" u="1"/>
        <d v="2023-12-13T00:00:00" u="1"/>
        <d v="2024-05-03T00:00:00" u="1"/>
        <d v="2023-10-19T00:00:00" u="1"/>
        <d v="2023-10-23T00:00:00" u="1"/>
        <d v="2023-10-24T00:00:00" u="1"/>
        <d v="2023-10-26T00:00:00" u="1"/>
        <d v="2023-11-21T00:00:00" u="1"/>
        <d v="2023-12-05T00:00:00" u="1"/>
        <d v="2023-12-15T00:00:00" u="1"/>
        <d v="2023-10-17T00:00:00" u="1"/>
        <d v="2023-10-20T00:00:00" u="1"/>
        <d v="2023-11-20T00:00:00" u="1"/>
        <d v="2023-12-04T00:00:00" u="1"/>
        <d v="2023-09-25T00:00:00" u="1"/>
        <d v="2023-10-11T00:00:00" u="1"/>
        <d v="2023-10-12T00:00:00" u="1"/>
        <d v="2023-10-13T00:00:00" u="1"/>
        <d v="2023-11-02T00:00:00" u="1"/>
        <d v="2023-12-06T00:00:00" u="1"/>
        <d v="2023-11-14T00:00:00" u="1"/>
        <d v="2023-11-30T00:00:00" u="1"/>
        <d v="2023-12-11T00:00:00" u="1"/>
        <d v="2023-11-17T00:00:00" u="1"/>
        <d v="2023-11-23T00:00:00" u="1"/>
        <d v="2023-09-22T00:00:00" u="1"/>
        <d v="2023-10-10T00:00:00" u="1"/>
        <d v="2023-12-18T00:00:00" u="1"/>
        <d v="2023-10-27T00:00:00" u="1"/>
        <d v="2023-11-01T00:00:00" u="1"/>
        <d v="2023-10-25T00:00:00" u="1"/>
        <d v="2023-10-16T00:00:00" u="1"/>
        <d v="2023-11-08T00:00:00" u="1"/>
        <d v="2023-09-21T00:00:00" u="1"/>
        <d v="2023-10-06T00:00:00" u="1"/>
        <d v="2023-10-31T00:00:00" u="1"/>
        <d v="2023-11-07T00:00:00" u="1"/>
        <d v="2023-12-19T00:00:00" u="1"/>
        <d v="2023-09-26T00:00:00" u="1"/>
        <d v="2023-10-18T00:00:00" u="1"/>
        <d v="2023-10-30T00:00:00" u="1"/>
        <d v="2023-11-06T00:00:00" u="1"/>
        <d v="2023-12-08T00:00:00" u="1"/>
        <d v="2023-09-18T00:00:00" u="1"/>
        <d v="2021-09-01T00:00:00" u="1"/>
        <d v="2021-12-23T00:00:00" u="1"/>
        <d v="2022-04-14T00:00:00" u="1"/>
        <d v="2023-01-18T00:00:00" u="1"/>
        <d v="2023-08-22T00:00:00" u="1"/>
        <d v="2022-03-28T00:00:00" u="1"/>
        <d v="2022-05-19T00:00:00" u="1"/>
        <d v="2022-12-23T00:00:00" u="1"/>
        <d v="2023-02-23T00:00:00" u="1"/>
        <d v="2023-04-14T00:00:00" u="1"/>
        <d v="2023-09-27T00:00:00" u="1"/>
        <d v="2021-09-20T00:00:00" u="1"/>
        <d v="2022-01-11T00:00:00" u="1"/>
        <d v="2023-09-01T00:00:00" u="1"/>
        <d v="2021-10-25T00:00:00" u="1"/>
        <d v="2021-12-16T00:00:00" u="1"/>
        <d v="2022-04-07T00:00:00" u="1"/>
        <d v="2022-09-20T00:00:00" u="1"/>
        <d v="2023-01-11T00:00:00" u="1"/>
        <d v="2023-03-02T00:00:00" u="1"/>
        <n v="59" u="1"/>
        <d v="2022-03-21T00:00:00" u="1"/>
        <d v="2023-02-16T00:00:00" u="1"/>
        <d v="2021-09-13T00:00:00" u="1"/>
        <d v="2021-11-04T00:00:00" u="1"/>
        <d v="2022-11-30T00:00:00" u="1"/>
        <d v="2023-01-30T00:00:00" u="1"/>
        <d v="2021-08-27T00:00:00" u="1"/>
        <d v="2021-12-09T00:00:00" u="1"/>
        <d v="2022-09-13T00:00:00" u="1"/>
        <d v="2021-11-23T00:00:00" u="1"/>
        <d v="2022-12-09T00:00:00" u="1"/>
        <d v="2023-02-09T00:00:00" u="1"/>
        <d v="2023-09-13T00:00:00" u="1"/>
        <d v="2021-07-15T00:00:00" u="1"/>
        <d v="2022-08-01T00:00:00" u="1"/>
        <d v="2023-01-23T00:00:00" u="1"/>
        <d v="2023-03-14T00:00:00" u="1"/>
        <d v="2021-12-02T00:00:00" u="1"/>
        <d v="2022-07-15T00:00:00" u="1"/>
        <d v="2024-03-14T00:00:00" u="1"/>
        <d v="2021-11-16T00:00:00" u="1"/>
        <d v="2022-06-29T00:00:00" u="1"/>
        <d v="2023-02-02T00:00:00" u="1"/>
        <d v="2023-09-06T00:00:00" u="1"/>
        <d v="2021-12-21T00:00:00" u="1"/>
        <d v="2022-04-12T00:00:00" u="1"/>
        <d v="2022-11-16T00:00:00" u="1"/>
        <d v="2023-01-16T00:00:00" u="1"/>
        <d v="2023-03-07T00:00:00" u="1"/>
        <d v="2022-07-08T00:00:00" u="1"/>
        <d v="2023-11-16T00:00:00" u="1"/>
        <d v="2024-02-21T00:00:00" u="1"/>
        <d v="2021-12-14T00:00:00" u="1"/>
        <d v="2022-04-05T00:00:00" u="1"/>
        <d v="2023-01-09T00:00:00" u="1"/>
        <d v="2023-10-04T00:00:00" u="1"/>
        <d v="2022-12-14T00:00:00" u="1"/>
        <d v="2023-02-14T00:00:00" u="1"/>
        <d v="2023-07-27T00:00:00" u="1"/>
        <d v="2023-11-09T00:00:00" u="1"/>
        <d v="2021-11-02T00:00:00" u="1"/>
        <d v="2022-06-15T00:00:00" u="1"/>
        <d v="2022-01-21T00:00:00" u="1"/>
        <d v="2022-12-07T00:00:00" u="1"/>
        <d v="2023-02-07T00:00:00" u="1"/>
        <d v="2023-07-20T00:00:00" u="1"/>
        <d v="2024-01-02T00:00:00" u="1"/>
        <d v="2021-07-13T00:00:00" u="1"/>
        <d v="2023-12-07T00:00:00" u="1"/>
        <d v="2025-01-02T00:00:00" u="1"/>
        <d v="2022-03-31T00:00:00" u="1"/>
        <d v="2022-07-13T00:00:00" u="1"/>
        <d v="2023-09-04T00:00:00" u="1"/>
        <d v="2021-07-06T00:00:00" u="1"/>
        <d v="2021-10-28T00:00:00" u="1"/>
        <d v="2023-10-09T00:00:00" u="1"/>
        <d v="2022-03-24T00:00:00" u="1"/>
        <d v="2022-07-06T00:00:00" u="1"/>
        <d v="2022-12-19T00:00:00" u="1"/>
        <d v="2023-04-10T00:00:00" u="1"/>
        <d v="2021-09-16T00:00:00" u="1"/>
        <d v="2022-01-07T00:00:00" u="1"/>
        <d v="2021-08-30T00:00:00" u="1"/>
        <d v="2023-10-02T00:00:00" u="1"/>
        <d v="2021-08-04T00:00:00" u="1"/>
        <d v="2021-11-26T00:00:00" u="1"/>
        <d v="2022-01-26T00:00:00" u="1"/>
        <d v="2022-03-17T00:00:00" u="1"/>
        <d v="2022-12-12T00:00:00" u="1"/>
        <d v="2021-09-09T00:00:00" u="1"/>
        <d v="2022-08-04T00:00:00" u="1"/>
        <d v="2023-08-30T00:00:00" u="1"/>
        <d v="2021-10-14T00:00:00" u="1"/>
        <d v="2021-11-19T00:00:00" u="1"/>
        <d v="2022-03-10T00:00:00" u="1"/>
        <d v="2022-08-23T00:00:00" u="1"/>
        <d v="2022-12-05T00:00:00" u="1"/>
        <d v="2021-09-02T00:00:00" u="1"/>
        <d v="2022-04-15T00:00:00" u="1"/>
        <d v="2023-01-19T00:00:00" u="1"/>
        <d v="2022-03-29T00:00:00" u="1"/>
        <d v="2022-07-11T00:00:00" u="1"/>
        <d v="2023-09-28T00:00:00" u="1"/>
        <d v="2021-09-21T00:00:00" u="1"/>
        <d v="2021-11-12T00:00:00" u="1"/>
        <d v="2022-01-12T00:00:00" u="1"/>
        <d v="2022-08-16T00:00:00" u="1"/>
        <d v="2021-12-17T00:00:00" u="1"/>
        <d v="2022-04-08T00:00:00" u="1"/>
        <d v="2023-01-12T00:00:00" u="1"/>
        <d v="2023-03-03T00:00:00" u="1"/>
        <d v="2022-03-22T00:00:00" u="1"/>
        <d v="2022-07-04T00:00:00" u="1"/>
        <d v="2023-02-17T00:00:00" u="1"/>
        <d v="2021-09-14T00:00:00" u="1"/>
        <d v="2021-11-05T00:00:00" u="1"/>
        <d v="2022-01-05T00:00:00" u="1"/>
        <d v="2022-04-27T00:00:00" u="1"/>
        <d v="2023-01-31T00:00:00" u="1"/>
        <d v="2024-07-30T00:00:00" u="1"/>
        <d v="2021-10-19T00:00:00" u="1"/>
        <d v="2021-12-10T00:00:00" u="1"/>
        <d v="2022-04-01T00:00:00" u="1"/>
        <d v="2022-09-14T00:00:00" u="1"/>
        <d v="2023-01-05T00:00:00" u="1"/>
        <d v="2021-11-24T00:00:00" u="1"/>
        <d v="2022-01-24T00:00:00" u="1"/>
        <d v="2022-03-15T00:00:00" u="1"/>
        <d v="2023-02-10T00:00:00" u="1"/>
        <d v="2023-09-14T00:00:00" u="1"/>
        <d v="2021-07-16T00:00:00" u="1"/>
        <d v="2023-01-24T00:00:00" u="1"/>
        <d v="2023-03-15T00:00:00" u="1"/>
        <d v="2021-12-03T00:00:00" u="1"/>
        <d v="2022-09-07T00:00:00" u="1"/>
        <d v="2021-11-17T00:00:00" u="1"/>
        <d v="2022-06-30T00:00:00" u="1"/>
        <d v="2023-02-03T00:00:00" u="1"/>
        <d v="2023-09-07T00:00:00" u="1"/>
        <d v="2023-12-29T00:00:00" u="1"/>
        <d v="2021-12-22T00:00:00" u="1"/>
        <d v="2023-01-17T00:00:00" u="1"/>
        <d v="2023-03-08T00:00:00" u="1"/>
        <d v="2023-08-21T00:00:00" u="1"/>
        <e v="#N/A" u="1"/>
        <d v="2022-12-22T00:00:00" u="1"/>
        <d v="2021-11-10T00:00:00" u="1"/>
        <d v="2022-01-10T00:00:00" u="1"/>
        <d v="2022-04-06T00:00:00" u="1"/>
        <d v="2022-09-19T00:00:00" u="1"/>
        <d v="2023-03-01T00:00:00" u="1"/>
        <d v="2023-10-05T00:00:00" u="1"/>
        <d v="2021-11-29T00:00:00" u="1"/>
        <d v="2023-02-15T00:00:00" u="1"/>
        <d v="2023-07-28T00:00:00" u="1"/>
        <d v="2023-11-10T00:00:00" u="1"/>
        <d v="2021-11-03T00:00:00" u="1"/>
        <d v="2022-06-16T00:00:00" u="1"/>
        <d v="2022-11-29T00:00:00" u="1"/>
        <d v="2021-12-08T00:00:00" u="1"/>
        <d v="2022-12-08T00:00:00" u="1"/>
        <d v="2023-07-21T00:00:00" u="1"/>
        <d v="2023-11-03T00:00:00" u="1"/>
        <d v="2021-07-14T00:00:00" u="1"/>
        <d v="2021-12-01T00:00:00" u="1"/>
        <d v="2022-07-14T00:00:00" u="1"/>
        <d v="2023-11-22T00:00:00" u="1"/>
        <d v="2021-11-15T00:00:00" u="1"/>
        <d v="2023-12-27T00:00:00" u="1"/>
        <d v="2021-07-07T00:00:00" u="1"/>
        <d v="2021-12-20T00:00:00" u="1"/>
        <d v="2022-04-11T00:00:00" u="1"/>
        <d v="2022-03-25T00:00:00" u="1"/>
        <d v="2022-07-07T00:00:00" u="1"/>
        <d v="2022-12-20T00:00:00" u="1"/>
        <d v="2023-04-11T00:00:00" u="1"/>
        <d v="2023-11-15T00:00:00" u="1"/>
        <d v="2021-09-17T00:00:00" u="1"/>
        <d v="2021-11-08T00:00:00" u="1"/>
        <d v="2021-12-13T00:00:00" u="1"/>
        <d v="2022-04-04T00:00:00" u="1"/>
        <d v="2021-08-05T00:00:00" u="1"/>
        <d v="2022-03-18T00:00:00" u="1"/>
        <d v="2022-12-13T00:00:00" u="1"/>
        <d v="2023-02-13T00:00:00" u="1"/>
        <d v="2023-04-04T00:00:00" u="1"/>
        <d v="2021-09-10T00:00:00" u="1"/>
        <d v="2021-11-01T00:00:00" u="1"/>
        <d v="2023-08-31T00:00:00" u="1"/>
        <d v="2021-10-15T00:00:00" u="1"/>
        <d v="2021-12-06T00:00:00" u="1"/>
        <d v="2023-11-27T00:00:00" u="1"/>
        <d v="2022-01-20T00:00:00" u="1"/>
        <d v="2022-08-24T00:00:00" u="1"/>
        <d v="2022-12-06T00:00:00" u="1"/>
        <d v="2023-02-06T00:00:00" u="1"/>
        <d v="2021-09-03T00:00:00" u="1"/>
        <d v="2023-01-20T00:00:00" u="1"/>
        <d v="2022-03-30T00:00:00" u="1"/>
        <d v="2022-07-12T00:00:00" u="1"/>
        <d v="2021-09-22T00:00:00" u="1"/>
        <d v="2022-08-17T00:00:00" u="1"/>
        <d v="2021-07-05T00:00:00" u="1"/>
        <d v="2021-10-27T00:00:00" u="1"/>
        <d v="2023-01-13T00:00:00" u="1"/>
        <d v="2021-08-10T00:00:00" u="1"/>
        <d v="2022-03-23T00:00:00" u="1"/>
        <d v="2021-09-15T00:00:00" u="1"/>
        <d v="2022-01-06T00:00:00" u="1"/>
        <d v="2022-04-28T00:00:00" u="1"/>
        <d v="2021-10-20T00:00:00" u="1"/>
        <d v="2022-09-15T00:00:00" u="1"/>
        <d v="2023-01-06T00:00:00" u="1"/>
        <d v="2021-08-03T00:00:00" u="1"/>
        <d v="2022-03-16T00:00:00" u="1"/>
        <d v="2022-08-29T00:00:00" u="1"/>
        <d v="2023-07-24T00:00:00" u="1"/>
        <d v="2021-09-08T00:00:00" u="1"/>
        <d v="2022-08-03T00:00:00" u="1"/>
        <d v="2021-11-18T00:00:00" u="1"/>
        <d v="2022-01-18T00:00:00" u="1"/>
        <d v="2023-09-08T00:00:00" u="1"/>
      </sharedItems>
    </cacheField>
    <cacheField name="MONTAGE-HRE" numFmtId="0">
      <sharedItems containsString="0" containsBlank="1" containsNumber="1" minValue="0" maxValue="220"/>
    </cacheField>
    <cacheField name="MONTAGE-CUM" numFmtId="0">
      <sharedItems containsString="0" containsBlank="1" containsNumber="1" minValue="0" maxValue="614.66666666666674"/>
    </cacheField>
    <cacheField name="MONTAGE" numFmtId="0">
      <sharedItems containsDate="1" containsBlank="1" containsMixedTypes="1" minDate="1899-12-31T01:18:04" maxDate="2026-02-18T00:00:00" count="313">
        <s v="DATE DEB"/>
        <n v="58"/>
        <m/>
        <d v="2025-03-26T00:00:00"/>
        <s v=""/>
        <d v="2025-04-10T00:00:00"/>
        <d v="2025-05-19T00:00:00"/>
        <d v="2025-06-11T00:00:00"/>
        <d v="2025-07-07T00:00:00"/>
        <d v="2025-06-26T00:00:00" u="1"/>
        <d v="2025-08-12T00:00:00" u="1"/>
        <d v="2025-09-04T00:00:00" u="1"/>
        <d v="2025-03-25T00:00:00" u="1"/>
        <d v="2025-04-09T00:00:00" u="1"/>
        <d v="2025-05-16T00:00:00" u="1"/>
        <d v="2025-06-25T00:00:00" u="1"/>
        <d v="2025-08-11T00:00:00" u="1"/>
        <d v="2025-09-03T00:00:00" u="1"/>
        <d v="2025-07-03T00:00:00" u="1"/>
        <d v="2025-08-18T00:00:00" u="1"/>
        <d v="2025-09-10T00:00:00" u="1"/>
        <d v="1899-12-30T00:00:00" u="1"/>
        <d v="2025-03-27T00:00:00" u="1"/>
        <d v="2025-04-07T00:00:00" u="1"/>
        <d v="2025-05-14T00:00:00" u="1"/>
        <d v="2025-07-16T00:00:00" u="1"/>
        <d v="2025-08-29T00:00:00" u="1"/>
        <d v="2025-09-23T00:00:00" u="1"/>
        <d v="2025-10-08T00:00:00" u="1"/>
        <d v="2025-11-03T00:00:00" u="1"/>
        <d v="2025-11-25T00:00:00" u="1"/>
        <d v="2025-10-10T00:00:00" u="1"/>
        <d v="2025-11-05T00:00:00" u="1"/>
        <d v="2025-11-27T00:00:00" u="1"/>
        <d v="2025-08-28T00:00:00" u="1"/>
        <d v="2025-10-07T00:00:00" u="1"/>
        <d v="2025-10-31T00:00:00" u="1"/>
        <d v="2025-11-24T00:00:00" u="1"/>
        <d v="2025-09-16T00:00:00" u="1"/>
        <d v="2025-10-24T00:00:00" u="1"/>
        <d v="2025-11-18T00:00:00" u="1"/>
        <d v="2025-12-10T00:00:00" u="1"/>
        <d v="2025-04-30T00:00:00" u="1"/>
        <d v="2025-05-22T00:00:00" u="1"/>
        <d v="2025-09-12T00:00:00" u="1"/>
        <d v="2025-10-22T00:00:00" u="1"/>
        <d v="2025-02-05T00:00:00" u="1"/>
        <d v="2025-02-12T00:00:00" u="1"/>
        <d v="2025-03-18T00:00:00" u="1"/>
        <d v="2025-05-02T00:00:00" u="1"/>
        <d v="2025-08-15T00:00:00" u="1"/>
        <d v="2025-09-24T00:00:00" u="1"/>
        <d v="2025-03-07T00:00:00" u="1"/>
        <d v="2025-04-01T00:00:00" u="1"/>
        <d v="2025-04-23T00:00:00" u="1"/>
        <d v="2025-05-20T00:00:00" u="1"/>
        <d v="2025-06-27T00:00:00" u="1"/>
        <d v="2025-03-11T00:00:00" u="1"/>
        <d v="2025-04-03T00:00:00" u="1"/>
        <d v="2025-04-25T00:00:00" u="1"/>
        <d v="2025-02-06T00:00:00" u="1"/>
        <d v="2024-11-13T00:00:00" u="1"/>
        <d v="2024-12-18T00:00:00" u="1"/>
        <d v="2025-07-15T00:00:00" u="1"/>
        <d v="2025-10-20T00:00:00" u="1"/>
        <d v="2025-11-11T00:00:00" u="1"/>
        <d v="2024-10-29T00:00:00" u="1"/>
        <d v="2024-12-03T00:00:00" u="1"/>
        <d v="2025-01-21T00:00:00" u="1"/>
        <d v="2025-02-14T00:00:00" u="1"/>
        <d v="2025-05-23T00:00:00" u="1"/>
        <d v="2024-10-25T00:00:00" u="1"/>
        <d v="2024-11-29T00:00:00" u="1"/>
        <d v="2025-01-17T00:00:00" u="1"/>
        <d v="2024-10-23T00:00:00" u="1"/>
        <d v="2024-11-27T00:00:00" u="1"/>
        <d v="2025-01-15T00:00:00" u="1"/>
        <d v="2025-02-10T00:00:00" u="1"/>
        <d v="2025-03-05T00:00:00" u="1"/>
        <d v="2025-03-28T00:00:00" u="1"/>
        <d v="2025-04-21T00:00:00" u="1"/>
        <d v="2025-05-26T00:00:00" u="1"/>
        <d v="2025-05-27T00:00:00" u="1"/>
        <d v="2024-10-18T00:00:00" u="1"/>
        <d v="2024-11-22T00:00:00" u="1"/>
        <d v="2025-01-10T00:00:00" u="1"/>
        <d v="2025-02-28T00:00:00" u="1"/>
        <d v="2025-04-16T00:00:00" u="1"/>
        <d v="2025-05-13T00:00:00" u="1"/>
        <d v="2024-10-24T00:00:00" u="1"/>
        <d v="2024-11-28T00:00:00" u="1"/>
        <d v="2025-01-16T00:00:00" u="1"/>
        <d v="2025-02-11T00:00:00" u="1"/>
        <d v="2025-03-06T00:00:00" u="1"/>
        <d v="2025-03-31T00:00:00" u="1"/>
        <d v="2025-04-22T00:00:00" u="1"/>
        <d v="2025-05-21T00:00:00" u="1"/>
        <d v="2025-05-15T00:00:00" u="1"/>
        <d v="2024-10-01T00:00:00" u="1"/>
        <d v="2024-11-06T00:00:00" u="1"/>
        <d v="2025-01-22T00:00:00" u="1"/>
        <d v="2024-10-17T00:00:00" u="1"/>
        <d v="2024-11-21T00:00:00" u="1"/>
        <d v="2024-10-16T00:00:00" u="1"/>
        <d v="2024-11-20T00:00:00" u="1"/>
        <d v="2024-09-23T00:00:00" u="1"/>
        <d v="2025-05-01T00:00:00" u="1"/>
        <d v="2024-09-20T00:00:00" u="1"/>
        <d v="2024-10-28T00:00:00" u="1"/>
        <d v="2025-02-20T00:00:00" u="1"/>
        <d v="2025-02-03T00:00:00" u="1"/>
        <d v="2025-01-24T00:00:00" u="1"/>
        <d v="2024-08-26T00:00:00" u="1"/>
        <d v="2025-02-07T00:00:00" u="1"/>
        <d v="2024-08-21T00:00:00" u="1"/>
        <d v="2024-09-06T00:00:00" u="1"/>
        <d v="2024-10-11T00:00:00" u="1"/>
        <d v="2024-12-11T00:00:00" u="1"/>
        <d v="2024-08-23T00:00:00" u="1"/>
        <d v="2024-08-22T00:00:00" u="1"/>
        <d v="2024-09-30T00:00:00" u="1"/>
        <d v="2024-11-05T00:00:00" u="1"/>
        <d v="2025-03-24T00:00:00" u="1"/>
        <d v="2025-04-17T00:00:00" u="1"/>
        <d v="2024-08-15T00:00:00" u="1"/>
        <d v="2024-09-17T00:00:00" u="1"/>
        <d v="2024-08-14T00:00:00" u="1"/>
        <d v="2024-09-16T00:00:00" u="1"/>
        <d v="2025-04-14T00:00:00" u="1"/>
        <d v="2024-08-12T00:00:00" u="1"/>
        <d v="2024-11-11T00:00:00" u="1"/>
        <d v="2024-08-06T00:00:00" u="1"/>
        <d v="2024-11-08T00:00:00" u="1"/>
        <d v="2025-04-04T00:00:00" u="1"/>
        <d v="2024-07-19T00:00:00" u="1"/>
        <d v="2024-07-05T00:00:00" u="1"/>
        <d v="2024-07-12T00:00:00" u="1"/>
        <d v="2024-12-04T00:00:00" u="1"/>
        <d v="2025-05-30T00:00:00" u="1"/>
        <d v="2025-07-08T00:00:00" u="1"/>
        <d v="2025-11-20T00:00:00" u="1"/>
        <d v="2026-01-22T00:00:00" u="1"/>
        <d v="2026-02-03T00:00:00" u="1"/>
        <d v="2026-02-17T00:00:00" u="1"/>
        <d v="2024-10-31T00:00:00" u="1"/>
        <d v="2025-01-29T00:00:00" u="1"/>
        <d v="2025-09-15T00:00:00" u="1"/>
        <d v="2025-09-25T00:00:00" u="1"/>
        <d v="2025-10-09T00:00:00" u="1"/>
        <d v="2024-06-19T00:00:00" u="1"/>
        <d v="2025-02-19T00:00:00" u="1"/>
        <d v="2025-09-11T00:00:00" u="1"/>
        <d v="2025-06-23T00:00:00" u="1"/>
        <d v="2025-08-20T00:00:00" u="1"/>
        <d v="2025-11-07T00:00:00" u="1"/>
        <d v="2026-01-09T00:00:00" u="1"/>
        <d v="2026-01-21T00:00:00" u="1"/>
        <d v="2026-02-04T00:00:00" u="1"/>
        <d v="2024-11-14T00:00:00" u="1"/>
        <d v="2024-09-19T00:00:00" u="1"/>
        <d v="2024-11-04T00:00:00" u="1"/>
        <d v="2024-12-09T00:00:00" u="1"/>
        <d v="2025-01-27T00:00:00" u="1"/>
        <d v="2025-03-03T00:00:00" u="1"/>
        <d v="2025-09-01T00:00:00" u="1"/>
        <d v="2025-02-21T00:00:00" u="1"/>
        <d v="2025-05-09T00:00:00" u="1"/>
        <d v="2025-07-18T00:00:00" u="1"/>
        <d v="2025-08-22T00:00:00" u="1"/>
        <d v="2024-08-27T00:00:00" u="1"/>
        <d v="2025-01-08T00:00:00" u="1"/>
        <d v="2024-08-30T00:00:00" u="1"/>
        <d v="2024-12-16T00:00:00" u="1"/>
        <d v="2025-03-10T00:00:00" u="1"/>
        <d v="2024-09-27T00:00:00" u="1"/>
        <d v="2024-03-18T00:00:00" u="1"/>
        <d v="2024-02-23T00:00:00" u="1"/>
        <d v="2024-02-13T00:00:00" u="1"/>
        <d v="2024-02-07T00:00:00" u="1"/>
        <d v="2024-01-29T00:00:00" u="1"/>
        <d v="2024-03-04T00:00:00" u="1"/>
        <d v="2024-04-02T00:00:00" u="1"/>
        <d v="2024-04-18T00:00:00" u="1"/>
        <d v="2024-05-06T00:00:00" u="1"/>
        <d v="2024-05-28T00:00:00" u="1"/>
        <d v="2024-06-18T00:00:00" u="1"/>
        <d v="2024-07-04T00:00:00" u="1"/>
        <d v="2024-09-12T00:00:00" u="1"/>
        <d v="2024-03-27T00:00:00" u="1"/>
        <d v="2024-04-11T00:00:00" u="1"/>
        <d v="2024-04-25T00:00:00" u="1"/>
        <d v="2024-05-13T00:00:00" u="1"/>
        <d v="2024-05-30T00:00:00" u="1"/>
        <d v="2024-06-20T00:00:00" u="1"/>
        <d v="2024-07-15T00:00:00" u="1"/>
        <d v="2024-09-09T00:00:00" u="1"/>
        <d v="2024-10-07T00:00:00" u="1"/>
        <d v="2024-01-26T00:00:00" u="1"/>
        <d v="2024-03-01T00:00:00" u="1"/>
        <d v="2024-03-15T00:00:00" u="1"/>
        <d v="2024-03-29T00:00:00" u="1"/>
        <d v="2024-04-17T00:00:00" u="1"/>
        <d v="2024-05-03T00:00:00" u="1"/>
        <d v="2024-05-27T00:00:00" u="1"/>
        <d v="2024-06-17T00:00:00" u="1"/>
        <d v="2024-07-03T00:00:00" u="1"/>
        <d v="2024-09-11T00:00:00" u="1"/>
        <d v="2024-08-07T00:00:00" u="1"/>
        <d v="2024-01-22T00:00:00" u="1"/>
        <d v="2024-01-17T00:00:00" u="1"/>
        <d v="2024-01-30T00:00:00" u="1"/>
        <d v="2024-01-25T00:00:00" u="1"/>
        <d v="2024-01-24T00:00:00" u="1"/>
        <d v="2024-02-14T00:00:00" u="1"/>
        <d v="2024-02-01T00:00:00" u="1"/>
        <d v="2024-03-07T00:00:00" u="1"/>
        <d v="2024-04-03T00:00:00" u="1"/>
        <d v="2024-04-26T00:00:00" u="1"/>
        <d v="2024-05-22T00:00:00" u="1"/>
        <d v="2024-06-13T00:00:00" u="1"/>
        <d v="2024-03-28T00:00:00" u="1"/>
        <d v="2024-04-23T00:00:00" u="1"/>
        <d v="2024-05-16T00:00:00" u="1"/>
        <d v="2024-06-10T00:00:00" u="1"/>
        <d v="2024-04-22T00:00:00" u="1"/>
        <d v="2024-05-15T00:00:00" u="1"/>
        <d v="2024-06-07T00:00:00" u="1"/>
        <d v="2024-06-21T00:00:00" u="1"/>
        <d v="2024-07-18T00:00:00" u="1"/>
        <d v="2023-10-23T00:00:00" u="1"/>
        <d v="2024-01-15T00:00:00" u="1"/>
        <d v="2024-02-19T00:00:00" u="1"/>
        <d v="2024-03-14T00:00:00" u="1"/>
        <d v="2024-04-09T00:00:00" u="1"/>
        <d v="2024-05-02T00:00:00" u="1"/>
        <d v="2024-03-20T00:00:00" u="1"/>
        <d v="2024-05-23T00:00:00" u="1"/>
        <d v="2024-06-25T00:00:00" u="1"/>
        <d v="2024-03-11T00:00:00" u="1"/>
        <d v="2024-04-19T00:00:00" u="1"/>
        <d v="2024-05-09T00:00:00" u="1"/>
        <d v="2024-03-25T00:00:00" u="1"/>
        <d v="2024-04-29T00:00:00" u="1"/>
        <d v="2023-10-20T00:00:00" u="1"/>
        <d v="2024-01-12T00:00:00" u="1"/>
        <d v="2024-02-16T00:00:00" u="1"/>
        <d v="2024-03-06T00:00:00" u="1"/>
        <d v="2024-03-22T00:00:00" u="1"/>
        <d v="2024-04-10T00:00:00" u="1"/>
        <d v="2024-01-11T00:00:00" u="1"/>
        <d v="2024-02-05T00:00:00" u="1"/>
        <d v="2024-02-21T00:00:00" u="1"/>
        <d v="2024-03-08T00:00:00" u="1"/>
        <d v="2024-03-26T00:00:00" u="1"/>
        <d v="2023-12-21T00:00:00" u="1"/>
        <d v="2023-10-12T00:00:00" u="1"/>
        <d v="2023-12-22T00:00:00" u="1"/>
        <d v="2023-11-17T00:00:00" u="1"/>
        <d v="2023-10-11T00:00:00" u="1"/>
        <d v="2023-11-13T00:00:00" u="1"/>
        <d v="2023-10-27T00:00:00" u="1"/>
        <d v="2023-11-01T00:00:00" u="1"/>
        <d v="2023-10-16T00:00:00" u="1"/>
        <d v="2023-11-06T00:00:00" u="1"/>
        <d v="2023-10-13T00:00:00" u="1"/>
        <d v="2023-11-03T00:00:00" u="1"/>
        <d v="2023-10-18T00:00:00" u="1"/>
        <d v="2023-11-08T00:00:00" u="1"/>
        <d v="2023-10-17T00:00:00" u="1"/>
        <d v="2023-11-07T00:00:00" u="1"/>
        <d v="2024-01-18T00:00:00" u="1"/>
        <d v="2024-06-05T00:00:00" u="1"/>
        <d v="2023-11-30T00:00:00" u="1"/>
        <d v="2023-11-23T00:00:00" u="1"/>
        <d v="2024-02-28T00:00:00" u="1"/>
        <d v="2024-02-02T00:00:00" u="1"/>
        <d v="2023-11-16T00:00:00" u="1"/>
        <d v="2024-01-16T00:00:00" u="1"/>
        <d v="2023-10-30T00:00:00" u="1"/>
        <d v="2024-04-12T00:00:00" u="1"/>
        <d v="2024-06-03T00:00:00" u="1"/>
        <d v="2024-07-08T00:00:00" u="1"/>
        <d v="2023-12-14T00:00:00" u="1"/>
        <d v="2024-04-05T00:00:00" u="1"/>
        <d v="2023-11-28T00:00:00" u="1"/>
        <d v="2024-05-10T00:00:00" u="1"/>
        <d v="2023-11-02T00:00:00" u="1"/>
        <d v="2024-05-29T00:00:00" u="1"/>
        <d v="2024-03-12T00:00:00" u="1"/>
        <d v="2024-06-27T00:00:00" u="1"/>
        <d v="2024-02-12T00:00:00" u="1"/>
        <d v="2024-05-08T00:00:00" u="1"/>
        <d v="2024-06-06T00:00:00" u="1"/>
        <d v="2023-10-26T00:00:00" u="1"/>
        <d v="2024-01-05T00:00:00" u="1"/>
        <d v="2023-10-19T00:00:00" u="1"/>
        <d v="2023-10-31T00:00:00" u="1"/>
        <d v="2023-11-10T00:00:00" u="1"/>
        <d v="2024-01-10T00:00:00" u="1"/>
        <d v="2023-10-24T00:00:00" u="1"/>
        <d v="2024-02-15T00:00:00" u="1"/>
        <d v="2023-12-08T00:00:00" u="1"/>
        <d v="2024-02-08T00:00:00" u="1"/>
        <d v="2023-12-01T00:00:00" u="1"/>
        <d v="2023-11-15T00:00:00" u="1"/>
        <d v="2024-01-08T00:00:00" u="1"/>
        <d v="2024-04-30T00:00:00" u="1"/>
        <d v="2023-11-27T00:00:00" u="1"/>
        <d v="2024-06-14T00:00:00" u="1"/>
        <d v="2023-12-06T00:00:00" u="1"/>
        <d v="2023-11-20T00:00:00" u="1"/>
        <d v="2023-12-18T00:00:00" u="1"/>
        <d v="2023-12-11T00:00:00" u="1"/>
      </sharedItems>
    </cacheField>
    <cacheField name="MONTAGE2" numFmtId="0">
      <sharedItems containsDate="1" containsBlank="1" containsMixedTypes="1" minDate="1900-01-05T09:16:04" maxDate="2023-09-09T00:00:00" count="338">
        <s v="DATE FIN"/>
        <n v="59"/>
        <s v=" "/>
        <d v="2025-04-02T00:00:00"/>
        <s v=""/>
        <d v="2025-05-19T00:00:00"/>
        <d v="2025-06-11T00:00:00"/>
        <d v="2025-07-07T00:00:00"/>
        <d v="2025-08-11T00:00:00"/>
        <d v="2025-06-26T00:00:00" u="1"/>
        <d v="2025-08-12T00:00:00" u="1"/>
        <d v="2025-09-04T00:00:00" u="1"/>
        <d v="2025-09-18T00:00:00" u="1"/>
        <d v="2025-04-01T00:00:00" u="1"/>
        <d v="2025-05-16T00:00:00" u="1"/>
        <d v="2025-06-25T00:00:00" u="1"/>
        <d v="2025-09-03T00:00:00" u="1"/>
        <d v="2025-09-17T00:00:00" u="1"/>
        <d v="2025-08-18T00:00:00" u="1"/>
        <d v="2025-09-10T00:00:00" u="1"/>
        <d v="2025-09-24T00:00:00" u="1"/>
        <d v="1900-01-05T00:00:00" u="1"/>
        <d v="2025-03-27T00:00:00" u="1"/>
        <d v="2025-04-03T00:00:00" u="1"/>
        <d v="1900-01-16T00:00:00" u="1"/>
        <d v="2025-05-14T00:00:00" u="1"/>
        <d v="2025-06-20T00:00:00" u="1"/>
        <d v="2025-08-29T00:00:00" u="1"/>
        <d v="2025-09-23T00:00:00" u="1"/>
        <d v="2025-10-07T00:00:00" u="1"/>
        <d v="2025-11-03T00:00:00" u="1"/>
        <d v="2025-11-25T00:00:00" u="1"/>
        <d v="2025-12-09T00:00:00" u="1"/>
        <d v="2025-11-05T00:00:00" u="1"/>
        <d v="2025-11-27T00:00:00" u="1"/>
        <d v="2025-12-11T00:00:00" u="1"/>
        <d v="1900-01-12T00:00:00" u="1"/>
        <d v="2025-10-31T00:00:00" u="1"/>
        <d v="2025-11-24T00:00:00" u="1"/>
        <d v="2025-12-08T00:00:00" u="1"/>
        <d v="2025-10-24T00:00:00" u="1"/>
        <d v="2025-11-18T00:00:00" u="1"/>
        <d v="2025-12-10T00:00:00" u="1"/>
        <d v="2025-12-31T00:00:00" u="1"/>
        <d v="2025-04-30T00:00:00" u="1"/>
        <d v="2025-05-22T00:00:00" u="1"/>
        <d v="2025-06-18T00:00:00" u="1"/>
        <d v="2025-10-22T00:00:00" u="1"/>
        <d v="2025-11-28T00:00:00" u="1"/>
        <d v="2025-02-12T00:00:00" u="1"/>
        <d v="2025-03-07T00:00:00" u="1"/>
        <d v="2025-04-10T00:00:00" u="1"/>
        <d v="2025-05-02T00:00:00" u="1"/>
        <d v="2025-05-29T00:00:00" u="1"/>
        <d v="2025-04-23T00:00:00" u="1"/>
        <d v="2025-05-20T00:00:00" u="1"/>
        <d v="2025-06-27T00:00:00" u="1"/>
        <d v="2025-08-27T00:00:00" u="1"/>
        <d v="2025-04-25T00:00:00" u="1"/>
        <d v="2025-03-03T00:00:00" u="1"/>
        <d v="2024-12-18T00:00:00" u="1"/>
        <d v="2025-02-05T00:00:00" u="1"/>
        <d v="2025-07-15T00:00:00" u="1"/>
        <d v="2025-10-20T00:00:00" u="1"/>
        <d v="2025-11-11T00:00:00" u="1"/>
        <d v="2024-12-03T00:00:00" u="1"/>
        <d v="2025-01-21T00:00:00" u="1"/>
        <d v="2025-02-14T00:00:00" u="1"/>
        <d v="2025-03-11T00:00:00" u="1"/>
        <d v="2024-11-29T00:00:00" u="1"/>
        <d v="2025-01-17T00:00:00" u="1"/>
        <d v="2025-08-28T00:00:00" u="1"/>
        <d v="2024-11-27T00:00:00" u="1"/>
        <d v="2025-01-15T00:00:00" u="1"/>
        <d v="2025-02-10T00:00:00" u="1"/>
        <d v="2025-03-05T00:00:00" u="1"/>
        <d v="2025-03-28T00:00:00" u="1"/>
        <d v="2025-04-21T00:00:00" u="1"/>
        <d v="2025-09-05T00:00:00" u="1"/>
        <d v="2024-11-22T00:00:00" u="1"/>
        <d v="2025-01-10T00:00:00" u="1"/>
        <d v="2025-02-28T00:00:00" u="1"/>
        <d v="2025-03-25T00:00:00" u="1"/>
        <d v="2025-04-16T00:00:00" u="1"/>
        <d v="2025-05-13T00:00:00" u="1"/>
        <d v="2025-08-21T00:00:00" u="1"/>
        <d v="2025-08-26T00:00:00" u="1"/>
        <d v="2024-11-28T00:00:00" u="1"/>
        <d v="2025-01-16T00:00:00" u="1"/>
        <d v="2025-02-11T00:00:00" u="1"/>
        <d v="2025-03-06T00:00:00" u="1"/>
        <d v="2025-03-31T00:00:00" u="1"/>
        <d v="2025-04-22T00:00:00" u="1"/>
        <d v="2025-08-25T00:00:00" u="1"/>
        <d v="2024-11-06T00:00:00" u="1"/>
        <d v="2024-12-11T00:00:00" u="1"/>
        <d v="2025-04-09T00:00:00" u="1"/>
        <d v="2024-11-21T00:00:00" u="1"/>
        <d v="2025-01-09T00:00:00" u="1"/>
        <d v="2025-08-22T00:00:00" u="1"/>
        <d v="2024-11-20T00:00:00" u="1"/>
        <d v="2025-01-08T00:00:00" u="1"/>
        <d v="2024-10-29T00:00:00" u="1"/>
        <d v="2024-10-28T00:00:00" u="1"/>
        <d v="2024-12-02T00:00:00" u="1"/>
        <d v="2025-07-18T00:00:00" u="1"/>
        <d v="2025-05-08T00:00:00" u="1"/>
        <d v="2025-04-11T00:00:00" u="1"/>
        <d v="2024-09-03T00:00:00" u="1"/>
        <d v="2024-08-28T00:00:00" u="1"/>
        <d v="2024-10-11T00:00:00" u="1"/>
        <d v="2024-11-18T00:00:00" u="1"/>
        <d v="2025-03-12T00:00:00" u="1"/>
        <d v="2024-08-30T00:00:00" u="1"/>
        <d v="2025-06-10T00:00:00" u="1"/>
        <d v="2024-08-29T00:00:00" u="1"/>
        <d v="2024-11-05T00:00:00" u="1"/>
        <d v="2024-12-10T00:00:00" u="1"/>
        <d v="2025-06-09T00:00:00" u="1"/>
        <d v="2025-06-17T00:00:00" u="1"/>
        <d v="2024-08-22T00:00:00" u="1"/>
        <d v="2025-07-10T00:00:00" u="1"/>
        <d v="2025-07-09T00:00:00" u="1"/>
        <d v="2024-10-23T00:00:00" u="1"/>
        <d v="2025-07-04T00:00:00" u="1"/>
        <d v="2024-08-21T00:00:00" u="1"/>
        <d v="2024-10-22T00:00:00" u="1"/>
        <d v="2025-07-02T00:00:00" u="1"/>
        <d v="2024-08-19T00:00:00" u="1"/>
        <d v="2024-12-16T00:00:00" u="1"/>
        <d v="2024-08-16T00:00:00" u="1"/>
        <d v="2024-12-13T00:00:00" u="1"/>
        <d v="2025-01-29T00:00:00" u="1"/>
        <d v="2025-06-23T00:00:00" u="1"/>
        <d v="2024-07-12T00:00:00" u="1"/>
        <d v="2024-08-23T00:00:00" u="1"/>
        <d v="2025-01-22T00:00:00" u="1"/>
        <d v="2025-05-30T00:00:00" u="1"/>
        <d v="2025-07-08T00:00:00" u="1"/>
        <d v="2025-11-20T00:00:00" u="1"/>
        <d v="2026-01-22T00:00:00" u="1"/>
        <d v="2026-02-03T00:00:00" u="1"/>
        <d v="2026-02-17T00:00:00" u="1"/>
        <d v="2026-03-24T00:00:00" u="1"/>
        <d v="2024-12-05T00:00:00" u="1"/>
        <d v="2025-09-15T00:00:00" u="1"/>
        <d v="2025-09-25T00:00:00" u="1"/>
        <d v="2025-10-09T00:00:00" u="1"/>
        <d v="2025-11-14T00:00:00" u="1"/>
        <d v="2025-02-19T00:00:00" u="1"/>
        <d v="2025-03-26T00:00:00" u="1"/>
        <d v="2025-09-11T00:00:00" u="1"/>
        <d v="2025-08-20T00:00:00" u="1"/>
        <d v="2025-11-07T00:00:00" u="1"/>
        <d v="2026-01-09T00:00:00" u="1"/>
        <d v="2026-01-21T00:00:00" u="1"/>
        <d v="2026-02-04T00:00:00" u="1"/>
        <d v="2026-03-11T00:00:00" u="1"/>
        <d v="2024-12-19T00:00:00" u="1"/>
        <d v="2024-10-25T00:00:00" u="1"/>
        <d v="2024-12-09T00:00:00" u="1"/>
        <d v="2025-01-27T00:00:00" u="1"/>
        <d v="2025-07-16T00:00:00" u="1"/>
        <d v="2025-09-01T00:00:00" u="1"/>
        <d v="2025-02-21T00:00:00" u="1"/>
        <d v="2025-05-09T00:00:00" u="1"/>
        <d v="2025-09-29T00:00:00" u="1"/>
        <d v="2024-10-02T00:00:00" u="1"/>
        <d v="2024-10-07T00:00:00" u="1"/>
        <d v="2025-02-03T00:00:00" u="1"/>
        <d v="2025-03-10T00:00:00" u="1"/>
        <d v="2025-05-26T00:00:00" u="1"/>
        <d v="2025-03-17T00:00:00" u="1"/>
        <d v="2024-11-04T00:00:00" u="1"/>
        <d v="2024-10-24T00:00:00" u="1"/>
        <d v="2024-04-04T00:00:00" u="1"/>
        <d v="2024-03-29T00:00:00" u="1"/>
        <d v="2024-03-19T00:00:00" u="1"/>
        <d v="2024-03-13T00:00:00" u="1"/>
        <d v="2024-03-04T00:00:00" u="1"/>
        <d v="2024-03-18T00:00:00" u="1"/>
        <d v="2024-04-02T00:00:00" u="1"/>
        <d v="2024-04-18T00:00:00" u="1"/>
        <d v="2024-05-06T00:00:00" u="1"/>
        <d v="2024-05-28T00:00:00" u="1"/>
        <d v="2024-06-18T00:00:00" u="1"/>
        <d v="2024-07-04T00:00:00" u="1"/>
        <d v="2024-08-15T00:00:00" u="1"/>
        <d v="2024-09-12T00:00:00" u="1"/>
        <d v="2024-10-10T00:00:00" u="1"/>
        <d v="2024-04-11T00:00:00" u="1"/>
        <d v="2024-04-25T00:00:00" u="1"/>
        <d v="2024-05-13T00:00:00" u="1"/>
        <d v="2024-05-30T00:00:00" u="1"/>
        <d v="2024-06-20T00:00:00" u="1"/>
        <d v="2024-07-15T00:00:00" u="1"/>
        <d v="2024-08-12T00:00:00" u="1"/>
        <d v="2024-09-09T00:00:00" u="1"/>
        <d v="2024-03-01T00:00:00" u="1"/>
        <d v="2024-03-15T00:00:00" u="1"/>
        <d v="2024-04-17T00:00:00" u="1"/>
        <d v="2024-05-03T00:00:00" u="1"/>
        <d v="2024-05-27T00:00:00" u="1"/>
        <d v="2024-06-17T00:00:00" u="1"/>
        <d v="2024-07-03T00:00:00" u="1"/>
        <d v="2024-08-14T00:00:00" u="1"/>
        <d v="2024-09-11T00:00:00" u="1"/>
        <d v="2024-10-09T00:00:00" u="1"/>
        <d v="2024-08-07T00:00:00" u="1"/>
        <d v="2024-09-27T00:00:00" u="1"/>
        <d v="2024-02-26T00:00:00" u="1"/>
        <d v="2024-02-21T00:00:00" u="1"/>
        <d v="2024-03-05T00:00:00" u="1"/>
        <d v="2024-02-29T00:00:00" u="1"/>
        <d v="2024-02-28T00:00:00" u="1"/>
        <d v="2024-03-20T00:00:00" u="1"/>
        <d v="2024-03-07T00:00:00" u="1"/>
        <d v="2024-04-03T00:00:00" u="1"/>
        <d v="2024-04-26T00:00:00" u="1"/>
        <d v="2024-05-22T00:00:00" u="1"/>
        <d v="2024-06-13T00:00:00" u="1"/>
        <d v="2024-03-28T00:00:00" u="1"/>
        <d v="2024-04-23T00:00:00" u="1"/>
        <d v="2024-05-16T00:00:00" u="1"/>
        <d v="2024-06-10T00:00:00" u="1"/>
        <d v="2024-07-09T00:00:00" u="1"/>
        <d v="2024-03-27T00:00:00" u="1"/>
        <d v="2024-04-22T00:00:00" u="1"/>
        <d v="2024-05-15T00:00:00" u="1"/>
        <d v="2024-06-07T00:00:00" u="1"/>
        <d v="2024-07-08T00:00:00" u="1"/>
        <d v="2024-06-21T00:00:00" u="1"/>
        <d v="2024-07-18T00:00:00" u="1"/>
        <d v="2024-08-26T00:00:00" u="1"/>
        <d v="2024-09-17T00:00:00" u="1"/>
        <d v="2024-10-14T00:00:00" u="1"/>
        <d v="2023-11-13T00:00:00" u="1"/>
        <d v="2024-02-19T00:00:00" u="1"/>
        <d v="2024-03-14T00:00:00" u="1"/>
        <d v="2024-04-09T00:00:00" u="1"/>
        <d v="2024-05-02T00:00:00" u="1"/>
        <d v="2024-05-23T00:00:00" u="1"/>
        <d v="2024-06-25T00:00:00" u="1"/>
        <d v="2024-08-09T00:00:00" u="1"/>
        <d v="2024-03-11T00:00:00" u="1"/>
        <d v="2024-04-19T00:00:00" u="1"/>
        <d v="2024-05-09T00:00:00" u="1"/>
        <d v="2024-06-04T00:00:00" u="1"/>
        <d v="2024-03-25T00:00:00" u="1"/>
        <d v="2024-04-29T00:00:00" u="1"/>
        <d v="2024-05-17T00:00:00" u="1"/>
        <d v="2023-11-10T00:00:00" u="1"/>
        <d v="2024-02-16T00:00:00" u="1"/>
        <d v="2024-03-06T00:00:00" u="1"/>
        <d v="2024-03-22T00:00:00" u="1"/>
        <d v="2024-04-10T00:00:00" u="1"/>
        <d v="2024-01-30T00:00:00" u="1"/>
        <d v="2024-03-08T00:00:00" u="1"/>
        <d v="2024-03-26T00:00:00" u="1"/>
        <d v="2024-04-16T00:00:00" u="1"/>
        <d v="2024-01-29T00:00:00" u="1"/>
        <d v="2024-01-19T00:00:00" u="1"/>
        <d v="2023-11-02T00:00:00" u="1"/>
        <d v="2024-02-08T00:00:00" u="1"/>
        <d v="2023-12-22T00:00:00" u="1"/>
        <d v="2023-11-01T00:00:00" u="1"/>
        <d v="2023-12-18T00:00:00" u="1"/>
        <d v="2023-12-01T00:00:00" u="1"/>
        <d v="2023-12-06T00:00:00" u="1"/>
        <d v="2023-11-06T00:00:00" u="1"/>
        <d v="2023-12-11T00:00:00" u="1"/>
        <d v="2023-11-03T00:00:00" u="1"/>
        <d v="2023-12-08T00:00:00" u="1"/>
        <d v="2023-11-08T00:00:00" u="1"/>
        <d v="2023-12-13T00:00:00" u="1"/>
        <d v="2023-11-07T00:00:00" u="1"/>
        <d v="2023-12-12T00:00:00" u="1"/>
        <d v="2024-07-17T00:00:00" u="1"/>
        <m u="1"/>
        <d v="2024-01-18T00:00:00" u="1"/>
        <d v="2023-09-01T00:00:00" u="1"/>
        <d v="2024-02-23T00:00:00" u="1"/>
        <d v="2024-06-05T00:00:00" u="1"/>
        <d v="2023-08-15T00:00:00" u="1"/>
        <d v="2024-07-10T00:00:00" u="1"/>
        <d v="2024-01-11T00:00:00" u="1"/>
        <d v="2023-11-30T00:00:00" u="1"/>
        <d v="2023-11-23T00:00:00" u="1"/>
        <d v="2024-02-02T00:00:00" u="1"/>
        <d v="2023-11-16T00:00:00" u="1"/>
        <d v="2024-01-16T00:00:00" u="1"/>
        <d v="2024-08-20T00:00:00" u="1"/>
        <d v="2023-12-21T00:00:00" u="1"/>
        <d v="2024-04-12T00:00:00" u="1"/>
        <d v="2024-06-03T00:00:00" u="1"/>
        <d v="2023-07-27T00:00:00" u="1"/>
        <d v="2024-08-13T00:00:00" u="1"/>
        <d v="2023-12-14T00:00:00" u="1"/>
        <d v="2024-04-05T00:00:00" u="1"/>
        <d v="2023-11-28T00:00:00" u="1"/>
        <d v="2024-05-10T00:00:00" u="1"/>
        <d v="2023-09-11T00:00:00" u="1"/>
        <d v="2024-08-06T00:00:00" u="1"/>
        <d v="2024-02-07T00:00:00" u="1"/>
        <d v="2024-05-29T00:00:00" u="1"/>
        <d v="2023-11-21T00:00:00" u="1"/>
        <d v="2024-03-12T00:00:00" u="1"/>
        <d v="2024-06-27T00:00:00" u="1"/>
        <d v="2023-07-25T00:00:00" u="1"/>
        <d v="2024-01-26T00:00:00" u="1"/>
        <d v="2024-05-08T00:00:00" u="1"/>
        <d v="2023-12-05T00:00:00" u="1"/>
        <d v="2024-02-05T00:00:00" u="1"/>
        <d v="2024-06-06T00:00:00" u="1"/>
        <d v="2024-01-05T00:00:00" u="1"/>
        <d v="2023-08-02T00:00:00" u="1"/>
        <d v="2024-01-24T00:00:00" u="1"/>
        <d v="2024-08-02T00:00:00" u="1"/>
        <d v="2023-08-21T00:00:00" u="1"/>
        <d v="2023-11-17T00:00:00" u="1"/>
        <d v="2023-10-31T00:00:00" u="1"/>
        <d v="2024-01-10T00:00:00" u="1"/>
        <d v="2023-12-15T00:00:00" u="1"/>
        <d v="2024-02-15T00:00:00" u="1"/>
        <d v="2024-07-02T00:00:00" u="1"/>
        <d v="2023-11-15T00:00:00" u="1"/>
        <d v="2023-07-26T00:00:00" u="1"/>
        <d v="2024-01-08T00:00:00" u="1"/>
        <d v="2024-04-30T00:00:00" u="1"/>
        <d v="2024-02-13T00:00:00" u="1"/>
        <d v="2023-11-27T00:00:00" u="1"/>
        <d v="2023-07-19T00:00:00" u="1"/>
        <d v="2024-06-14T00:00:00" u="1"/>
        <d v="2023-11-20T00:00:00" u="1"/>
        <d v="2024-06-26T00:00:00" u="1"/>
        <d v="2024-07-05T00:00:00" u="1"/>
        <n v="55" u="1"/>
        <d v="2023-09-08T00:00:00" u="1"/>
      </sharedItems>
    </cacheField>
    <cacheField name="FIN EMBALLAGE" numFmtId="0">
      <sharedItems containsDate="1" containsBlank="1" containsMixedTypes="1" minDate="1899-12-31T01:17:04" maxDate="2024-05-31T00:00:00" count="676">
        <m/>
        <n v="60"/>
        <d v="2025-05-02T00:00:00"/>
        <d v="2025-04-28T00:00:00"/>
        <d v="2025-04-30T00:00:00"/>
        <d v="2025-05-04T00:00:00"/>
        <d v="2025-06-19T00:00:00"/>
        <d v="2025-05-16T00:00:00"/>
        <d v="2025-05-23T00:00:00"/>
        <d v="2025-07-11T00:00:00"/>
        <d v="2025-08-07T00:00:00"/>
        <d v="2025-09-11T00:00:00"/>
        <d v="2025-05-24T00:00:00"/>
        <d v="2025-06-08T00:00:00"/>
        <d v="2025-07-17T00:00:00"/>
        <d v="2025-08-04T00:00:00"/>
        <d v="2025-09-14T00:00:00"/>
        <s v=" "/>
        <d v="2025-09-20T00:00:00"/>
        <d v="2025-11-10T00:00:00"/>
        <d v="2025-07-26T00:00:00" u="1"/>
        <d v="2025-09-12T00:00:00" u="1"/>
        <d v="2025-10-04T00:00:00" u="1"/>
        <d v="2025-10-18T00:00:00" u="1"/>
        <d v="2025-05-01T00:00:00" u="1"/>
        <d v="2025-04-27T00:00:00" u="1"/>
        <d v="2025-05-03T00:00:00" u="1"/>
        <d v="2025-06-16T00:00:00" u="1"/>
        <d v="2025-07-25T00:00:00" u="1"/>
        <d v="2025-05-22T00:00:00" u="1"/>
        <d v="2025-10-03T00:00:00" u="1"/>
        <d v="2025-10-17T00:00:00" u="1"/>
        <d v="2025-06-07T00:00:00" u="1"/>
        <d v="2025-07-16T00:00:00" u="1"/>
        <d v="2025-08-03T00:00:00" u="1"/>
        <d v="2025-08-18T00:00:00" u="1"/>
        <d v="2025-09-13T00:00:00" u="1"/>
        <d v="2025-09-19T00:00:00" u="1"/>
        <d v="2025-11-09T00:00:00" u="1"/>
        <d v="2025-06-05T00:00:00" u="1"/>
        <d v="2025-07-30T00:00:00" u="1"/>
        <d v="2025-09-18T00:00:00" u="1"/>
        <d v="2025-10-10T00:00:00" u="1"/>
        <d v="2025-10-24T00:00:00" u="1"/>
        <d v="1900-02-05T00:00:00" u="1"/>
        <d v="1900-02-16T00:00:00" u="1"/>
        <d v="2025-04-25T00:00:00" u="1"/>
        <d v="2025-04-26T00:00:00" u="1"/>
        <d v="2025-06-14T00:00:00" u="1"/>
        <d v="2025-07-20T00:00:00" u="1"/>
        <d v="2025-05-18T00:00:00" u="1"/>
        <d v="2025-06-01T00:00:00" u="1"/>
        <d v="2025-07-12T00:00:00" u="1"/>
        <d v="2025-08-11T00:00:00" u="1"/>
        <d v="2025-08-16T00:00:00" u="1"/>
        <d v="2025-09-29T00:00:00" u="1"/>
        <d v="2025-10-23T00:00:00" u="1"/>
        <d v="2025-11-07T00:00:00" u="1"/>
        <d v="2025-09-15T00:00:00" u="1"/>
        <d v="2025-11-03T00:00:00" u="1"/>
        <d v="2025-07-02T00:00:00" u="1"/>
        <d v="2025-10-05T00:00:00" u="1"/>
        <d v="2025-11-06T00:00:00" u="1"/>
        <d v="2025-12-03T00:00:00" u="1"/>
        <d v="2025-12-25T00:00:00" u="1"/>
        <d v="2026-01-09T00:00:00" u="1"/>
        <d v="2025-11-20T00:00:00" u="1"/>
        <d v="2025-12-10T00:00:00" u="1"/>
        <d v="2025-10-09T00:00:00" u="1"/>
        <d v="2025-10-11T00:00:00" u="1"/>
        <d v="2025-12-05T00:00:00" u="1"/>
        <d v="2025-12-27T00:00:00" u="1"/>
        <d v="2026-01-11T00:00:00" u="1"/>
        <d v="2025-11-28T00:00:00" u="1"/>
        <d v="1900-02-12T00:00:00" u="1"/>
        <d v="2025-04-07T00:00:00" u="1"/>
        <d v="2025-04-11T00:00:00" u="1"/>
        <d v="2025-04-05T00:00:00" u="1"/>
        <d v="2025-04-12T00:00:00" u="1"/>
        <d v="2025-04-13T00:00:00" u="1"/>
        <d v="2025-04-19T00:00:00" u="1"/>
        <d v="2025-09-26T00:00:00" u="1"/>
        <d v="2025-09-28T00:00:00" u="1"/>
        <d v="2025-11-30T00:00:00" u="1"/>
        <d v="2025-12-24T00:00:00" u="1"/>
        <d v="2026-01-08T00:00:00" u="1"/>
        <d v="2025-04-06T00:00:00" u="1"/>
        <d v="2025-04-10T00:00:00" u="1"/>
        <d v="2025-04-04T00:00:00" u="1"/>
        <d v="2025-05-07T00:00:00" u="1"/>
        <d v="2025-05-30T00:00:00" u="1"/>
        <d v="2025-06-02T00:00:00" u="1"/>
        <d v="2025-10-15T00:00:00" u="1"/>
        <d v="2025-11-24T00:00:00" u="1"/>
        <d v="2025-12-18T00:00:00" u="1"/>
        <d v="2026-01-10T00:00:00" u="1"/>
        <d v="2026-01-31T00:00:00" u="1"/>
        <d v="2025-06-22T00:00:00" u="1"/>
        <d v="2025-07-18T00:00:00" u="1"/>
        <d v="2025-10-12T00:00:00" u="1"/>
        <d v="2025-06-06T00:00:00" u="1"/>
        <d v="2025-10-16T00:00:00" u="1"/>
        <d v="2025-11-22T00:00:00" u="1"/>
        <d v="2025-12-28T00:00:00" u="1"/>
        <d v="2025-03-12T00:00:00" u="1"/>
        <d v="2025-03-19T00:00:00" u="1"/>
        <d v="2025-03-21T00:00:00" u="1"/>
        <d v="2025-04-18T00:00:00" u="1"/>
        <d v="2025-05-10T00:00:00" u="1"/>
        <d v="2025-06-29T00:00:00" u="1"/>
        <d v="2025-05-28T00:00:00" u="1"/>
        <d v="2025-09-25T00:00:00" u="1"/>
        <d v="2025-03-17T00:00:00" u="1"/>
        <d v="2025-03-13T00:00:00" u="1"/>
        <d v="2025-03-18T00:00:00" u="1"/>
        <d v="2025-03-25T00:00:00" u="1"/>
        <d v="2025-04-03T00:00:00" u="1"/>
        <d v="2025-06-20T00:00:00" u="1"/>
        <d v="2025-07-27T00:00:00" u="1"/>
        <d v="2025-09-27T00:00:00" u="1"/>
        <d v="2025-05-25T00:00:00" u="1"/>
        <d v="2025-01-18T00:00:00" u="1"/>
        <d v="2025-03-05T00:00:00" u="1"/>
        <d v="2024-12-15T00:00:00" u="1"/>
        <d v="2024-12-21T00:00:00" u="1"/>
        <d v="2024-12-22T00:00:00" u="1"/>
        <d v="2024-12-26T00:00:00" u="1"/>
        <d v="2024-12-28T00:00:00" u="1"/>
        <d v="2025-02-28T00:00:00" u="1"/>
        <d v="2025-08-15T00:00:00" u="1"/>
        <d v="2025-12-11T00:00:00" u="1"/>
        <d v="2024-11-24T00:00:00" u="1"/>
        <d v="2025-01-03T00:00:00" u="1"/>
        <d v="2025-02-21T00:00:00" u="1"/>
        <d v="2025-01-06T00:00:00" u="1"/>
        <d v="2024-12-01T00:00:00" u="1"/>
        <d v="2025-03-14T00:00:00" u="1"/>
        <d v="2024-12-29T00:00:00" u="1"/>
        <d v="2025-01-11T00:00:00" u="1"/>
        <d v="2025-03-03T00:00:00" u="1"/>
        <d v="2024-11-23T00:00:00" u="1"/>
        <d v="2025-02-17T00:00:00" u="1"/>
        <d v="2024-12-14T00:00:00" u="1"/>
        <d v="2024-11-30T00:00:00" u="1"/>
        <d v="2024-12-13T00:00:00" u="1"/>
        <d v="2025-01-05T00:00:00" u="1"/>
        <d v="2024-11-07T00:00:00" u="1"/>
        <d v="2024-11-21T00:00:00" u="1"/>
        <d v="2024-12-27T00:00:00" u="1"/>
        <d v="2025-02-15T00:00:00" u="1"/>
        <d v="2025-01-09T00:00:00" u="1"/>
        <d v="2024-11-25T00:00:00" u="1"/>
        <d v="2025-03-10T00:00:00" u="1"/>
        <d v="2025-05-21T00:00:00" u="1"/>
        <d v="2025-01-04T00:00:00" u="1"/>
        <d v="2025-01-12T00:00:00" u="1"/>
        <d v="2025-03-06T00:00:00" u="1"/>
        <d v="2024-11-08T00:00:00" u="1"/>
        <d v="2025-01-17T00:00:00" u="1"/>
        <d v="2025-08-14T00:00:00" u="1"/>
        <d v="2025-12-12T00:00:00" u="1"/>
        <d v="2024-11-16T00:00:00" u="1"/>
        <d v="2025-02-10T00:00:00" u="1"/>
        <d v="2024-12-06T00:00:00" u="1"/>
        <d v="2025-03-28T00:00:00" u="1"/>
        <d v="2025-06-13T00:00:00" u="1"/>
        <d v="2025-09-21T00:00:00" u="1"/>
        <d v="2025-01-02T00:00:00" u="1"/>
        <d v="2025-02-07T00:00:00" u="1"/>
        <d v="2025-02-16T00:00:00" u="1"/>
        <d v="2025-03-11T00:00:00" u="1"/>
        <d v="2024-11-29T00:00:00" u="1"/>
        <d v="2024-10-27T00:00:00" u="1"/>
        <d v="2024-11-01T00:00:00" u="1"/>
        <d v="2025-01-10T00:00:00" u="1"/>
        <d v="2025-01-16T00:00:00" u="1"/>
        <d v="2025-03-27T00:00:00" u="1"/>
        <d v="2025-08-08T00:00:00" u="1"/>
        <d v="2024-10-25T00:00:00" u="1"/>
        <d v="2024-11-22T00:00:00" u="1"/>
        <d v="2025-03-26T00:00:00" u="1"/>
        <d v="2024-10-20T00:00:00" u="1"/>
        <d v="2024-12-19T00:00:00" u="1"/>
        <d v="2025-02-14T00:00:00" u="1"/>
        <d v="2025-02-24T00:00:00" u="1"/>
        <d v="2024-10-18T00:00:00" u="1"/>
        <d v="2024-11-18T00:00:00" u="1"/>
        <d v="2024-12-08T00:00:00" u="1"/>
        <d v="2024-11-15T00:00:00" u="1"/>
        <d v="2025-02-13T00:00:00" u="1"/>
        <d v="2025-05-09T00:00:00" u="1"/>
        <d v="2024-10-12T00:00:00" u="1"/>
        <d v="2024-10-19T00:00:00" u="1"/>
        <d v="2024-11-17T00:00:00" u="1"/>
        <d v="2025-02-09T00:00:00" u="1"/>
        <d v="2025-02-20T00:00:00" u="1"/>
        <d v="2025-05-29T00:00:00" u="1"/>
        <d v="2025-09-22T00:00:00" u="1"/>
        <d v="2025-08-02T00:00:00" u="1"/>
        <d v="2024-10-11T00:00:00" u="1"/>
        <d v="2024-12-20T00:00:00" u="1"/>
        <d v="2025-02-08T00:00:00" u="1"/>
        <d v="2024-12-18T00:00:00" u="1"/>
        <d v="2025-03-07T00:00:00" u="1"/>
        <d v="2024-10-09T00:00:00" u="1"/>
        <d v="2025-06-28T00:00:00" u="1"/>
        <d v="2024-10-06T00:00:00" u="1"/>
        <d v="2024-10-10T00:00:00" u="1"/>
        <d v="2024-11-28T00:00:00" u="1"/>
        <d v="2024-12-25T00:00:00" u="1"/>
        <d v="2025-06-27T00:00:00" u="1"/>
        <d v="2024-09-30T00:00:00" u="1"/>
        <d v="2024-10-04T00:00:00" u="1"/>
        <d v="2025-02-22T00:00:00" u="1"/>
        <d v="2024-09-29T00:00:00" u="1"/>
        <d v="2024-10-03T00:00:00" u="1"/>
        <d v="2025-05-11T00:00:00" u="1"/>
        <d v="2025-03-04T00:00:00" u="1"/>
        <d v="2024-09-26T00:00:00" u="1"/>
        <d v="2024-09-28T00:00:00" u="1"/>
        <d v="2024-11-09T00:00:00" u="1"/>
        <d v="2024-12-12T00:00:00" u="1"/>
        <d v="2025-02-27T00:00:00" u="1"/>
        <d v="2025-03-24T00:00:00" u="1"/>
        <d v="2024-09-21T00:00:00" u="1"/>
        <d v="2024-09-23T00:00:00" u="1"/>
        <d v="2024-11-11T00:00:00" u="1"/>
        <d v="2024-11-10T00:00:00" u="1"/>
        <d v="2024-10-30T00:00:00" u="1"/>
        <d v="2024-12-07T00:00:00" u="1"/>
        <d v="2025-07-10T00:00:00" u="1"/>
        <d v="2024-09-22T00:00:00" u="1"/>
        <d v="2024-12-05T00:00:00" u="1"/>
        <d v="2024-12-11T00:00:00" u="1"/>
        <d v="2025-07-09T00:00:00" u="1"/>
        <d v="2024-09-15T00:00:00" u="1"/>
        <d v="2024-09-19T00:00:00" u="1"/>
        <d v="2025-08-10T00:00:00" u="1"/>
        <d v="2025-08-09T00:00:00" u="1"/>
        <d v="2024-09-16T00:00:00" u="1"/>
        <d v="2024-10-16T00:00:00" u="1"/>
        <d v="2024-09-20T00:00:00" u="1"/>
        <d v="2024-10-13T00:00:00" u="1"/>
        <d v="2024-09-14T00:00:00" u="1"/>
        <d v="2024-10-17T00:00:00" u="1"/>
        <d v="2024-09-13T00:00:00" u="1"/>
        <d v="2025-01-13T00:00:00" u="1"/>
        <d v="2025-07-23T00:00:00" u="1"/>
        <d v="2024-08-12T00:00:00" u="1"/>
        <d v="2024-08-09T00:00:00" u="1"/>
        <d v="2024-08-10T00:00:00" u="1"/>
        <d v="2024-08-15T00:00:00" u="1"/>
        <d v="2024-08-18T00:00:00" u="1"/>
        <d v="2024-10-24T00:00:00" u="1"/>
        <d v="2025-06-30T00:00:00" u="1"/>
        <d v="2025-12-20T00:00:00" u="1"/>
        <d v="2026-02-22T00:00:00" u="1"/>
        <d v="2026-03-03T00:00:00" u="1"/>
        <d v="2026-03-17T00:00:00" u="1"/>
        <d v="2026-04-24T00:00:00" u="1"/>
        <d v="2025-10-25T00:00:00" u="1"/>
        <d v="2025-12-14T00:00:00" u="1"/>
        <d v="2024-07-18T00:00:00" u="1"/>
        <d v="2024-07-19T00:00:00" u="1"/>
        <d v="2024-07-21T00:00:00" u="1"/>
        <d v="2024-07-25T00:00:00" u="1"/>
        <d v="2024-07-28T00:00:00" u="1"/>
        <d v="2024-08-04T00:00:00" u="1"/>
        <d v="2024-07-26T00:00:00" u="1"/>
        <d v="2024-08-02T00:00:00" u="1"/>
        <d v="2024-08-08T00:00:00" u="1"/>
        <d v="2025-12-07T00:00:00" u="1"/>
        <d v="2026-02-09T00:00:00" u="1"/>
        <d v="2026-02-21T00:00:00" u="1"/>
        <d v="2026-03-04T00:00:00" u="1"/>
        <d v="2026-04-11T00:00:00" u="1"/>
        <d v="2025-01-19T00:00:00" u="1"/>
        <d v="2025-10-01T00:00:00" u="1"/>
        <d v="2024-07-20T00:00:00" u="1"/>
        <d v="2024-07-14T00:00:00" u="1"/>
        <d v="2024-07-17T00:00:00" u="1"/>
        <d v="2025-06-09T00:00:00" u="1"/>
        <d v="2025-10-29T00:00:00" u="1"/>
        <d v="2024-07-11T00:00:00" u="1"/>
        <d v="2024-07-05T00:00:00" u="1"/>
        <d v="2024-07-10T00:00:00" u="1"/>
        <d v="2024-07-06T00:00:00" u="1"/>
        <d v="2024-11-02T00:00:00" u="1"/>
        <d v="2024-07-13T00:00:00" u="1"/>
        <d v="2025-06-26T00:00:00" u="1"/>
        <d v="2025-04-17T00:00:00" u="1"/>
        <d v="2024-08-17T00:00:00" u="1"/>
        <d v="2024-12-04T00:00:00" u="1"/>
        <d v="2024-11-14T00:00:00" u="1"/>
        <d v="2024-07-12T00:00:00" u="1"/>
        <d v="2024-07-07T00:00:00" u="1"/>
        <d v="2024-06-30T00:00:00" u="1"/>
        <d v="2024-07-04T00:00:00" u="1"/>
        <d v="2024-06-14T00:00:00" u="1"/>
        <d v="2024-06-23T00:00:00" u="1"/>
        <d v="2024-06-24T00:00:00" u="1"/>
        <d v="2024-06-22T00:00:00" u="1"/>
        <d v="2024-06-27T00:00:00" u="1"/>
        <d v="2024-06-29T00:00:00" u="1"/>
        <d v="2024-08-11T00:00:00" u="1"/>
        <d v="2024-09-27T00:00:00" u="1"/>
        <d v="2024-05-09T00:00:00" u="1"/>
        <d v="2024-05-12T00:00:00" u="1"/>
        <d v="2024-05-10T00:00:00" u="1"/>
        <d v="2024-05-15T00:00:00" u="1"/>
        <d v="2024-05-29T00:00:00" u="1"/>
        <d v="2024-06-08T00:00:00" u="1"/>
        <d v="2024-06-09T00:00:00" u="1"/>
        <d v="2024-06-13T00:00:00" u="1"/>
        <d v="2024-06-17T00:00:00" u="1"/>
        <d v="2024-06-28T00:00:00" u="1"/>
        <d v="2024-05-05T00:00:00" u="1"/>
        <d v="2024-05-08T00:00:00" u="1"/>
        <d v="2024-05-11T00:00:00" u="1"/>
        <d v="2024-05-25T00:00:00" u="1"/>
        <d v="2024-06-06T00:00:00" u="1"/>
        <d v="2024-06-07T00:00:00" u="1"/>
        <d v="2024-06-21T00:00:00" u="1"/>
        <d v="2024-05-17T00:00:00" u="1"/>
        <d v="2024-05-18T00:00:00" u="1"/>
        <d v="2024-06-02T00:00:00" u="1"/>
        <d v="2024-06-16T00:00:00" u="1"/>
        <d v="2024-05-04T00:00:00" u="1"/>
        <d v="2024-04-28T00:00:00" u="1"/>
        <d v="2024-05-02T00:00:00" u="1"/>
        <d v="2024-05-26T00:00:00" u="1"/>
        <d v="2024-06-10T00:00:00" u="1"/>
        <d v="2024-06-01T00:00:00" u="1"/>
        <d v="2024-05-16T00:00:00" u="1"/>
        <d v="2024-05-03T00:00:00" u="1"/>
        <d v="2024-05-19T00:00:00" u="1"/>
        <d v="2024-04-29T00:00:00" u="1"/>
        <d v="2024-08-05T00:00:00" u="1"/>
        <d v="2024-05-23T00:00:00" u="1"/>
        <d v="2024-04-08T00:00:00" u="1"/>
        <d v="2024-04-13T00:00:00" u="1"/>
        <d v="2024-04-11T00:00:00" u="1"/>
        <d v="2024-04-20T00:00:00" u="1"/>
        <d v="2024-04-21T00:00:00" u="1"/>
        <d v="2024-03-27T00:00:00" u="1"/>
        <d v="2024-04-19T00:00:00" u="1"/>
        <d v="2024-04-22T00:00:00" u="1"/>
        <d v="2024-04-05T00:00:00" u="1"/>
        <d v="2024-03-09T00:00:00" u="1"/>
        <d v="2024-03-28T00:00:00" u="1"/>
        <d v="2024-03-02T00:00:00" u="1"/>
        <d v="2024-03-29T00:00:00" u="1"/>
        <d v="2024-03-22T00:00:00" u="1"/>
        <d v="2024-04-25T00:00:00" u="1"/>
        <d v="2024-03-15T00:00:00" u="1"/>
        <d v="2024-03-20T00:00:00" u="1"/>
        <d v="2024-04-07T00:00:00" u="1"/>
        <d v="2024-03-07T00:00:00" u="1"/>
        <d v="2024-03-14T00:00:00" u="1"/>
        <d v="2024-03-19T00:00:00" u="1"/>
        <d v="2024-03-01T00:00:00" u="1"/>
        <d v="2024-02-29T00:00:00" u="1"/>
        <d v="2024-03-06T00:00:00" u="1"/>
        <d v="2024-03-08T00:00:00" u="1"/>
        <d v="2024-02-22T00:00:00" u="1"/>
        <d v="2024-02-24T00:00:00" u="1"/>
        <d v="2024-04-04T00:00:00" u="1"/>
        <d v="2024-03-12T00:00:00" u="1"/>
        <d v="2024-03-23T00:00:00" u="1"/>
        <d v="2024-04-18T00:00:00" u="1"/>
        <d v="2024-04-26T00:00:00" u="1"/>
        <d v="2024-09-12T00:00:00" u="1"/>
        <d v="2024-02-19T00:00:00" u="1"/>
        <d v="2024-02-23T00:00:00" u="1"/>
        <d v="2024-04-01T00:00:00" u="1"/>
        <d v="2024-03-05T00:00:00" u="1"/>
        <d v="2024-04-15T00:00:00" u="1"/>
        <d v="2024-06-03T00:00:00" u="1"/>
        <d v="2024-08-03T00:00:00" u="1"/>
        <d v="2024-09-07T00:00:00" u="1"/>
        <d v="2024-02-12T00:00:00" u="1"/>
        <d v="2024-02-15T00:00:00" u="1"/>
        <d v="2024-02-17T00:00:00" u="1"/>
        <d v="2024-03-26T00:00:00" u="1"/>
        <d v="2024-03-16T00:00:00" u="1"/>
        <d v="2024-01-20T00:00:00" u="1"/>
        <d v="2024-01-21T00:00:00" u="1"/>
        <d v="2024-01-22T00:00:00" u="1"/>
        <d v="2024-02-08T00:00:00" u="1"/>
        <d v="2024-03-21T00:00:00" u="1"/>
        <d v="2024-03-13T00:00:00" u="1"/>
        <d v="2024-04-06T00:00:00" u="1"/>
        <d v="2024-02-05T00:00:00" u="1"/>
        <d v="2024-02-11T00:00:00" u="1"/>
        <d v="2024-01-01T00:00:00" u="1"/>
        <d v="2024-02-09T00:00:00" u="1"/>
        <d v="2023-12-28T00:00:00" u="1"/>
        <d v="2024-02-18T00:00:00" u="1"/>
        <d v="2024-01-14T00:00:00" u="1"/>
        <d v="2024-01-12T00:00:00" u="1"/>
        <d v="2023-12-29T00:00:00" u="1"/>
        <d v="2024-02-16T00:00:00" u="1"/>
        <d v="2024-05-22T00:00:00" u="1"/>
        <d v="2024-08-16T00:00:00" u="1"/>
        <d v="2023-12-24T00:00:00" u="1"/>
        <d v="2024-04-27T00:00:00" u="1"/>
        <d v="2024-02-10T00:00:00" u="1"/>
        <d v="2024-06-15T00:00:00" u="1"/>
        <d v="2023-12-13T00:00:00" u="1"/>
        <d v="2024-01-13T00:00:00" u="1"/>
        <d v="2023-11-19T00:00:00" u="1"/>
        <d v="2023-11-24T00:00:00" u="1"/>
        <d v="2023-11-26T00:00:00" u="1"/>
        <d v="2023-12-21T00:00:00" u="1"/>
        <d v="2024-01-05T00:00:00" u="1"/>
        <d v="2024-01-15T00:00:00" u="1"/>
        <d v="2024-02-25T00:00:00" u="1"/>
        <d v="2024-04-14T00:00:00" u="1"/>
        <d v="2024-09-09T00:00:00" u="1"/>
        <d v="2023-11-17T00:00:00" u="1"/>
        <d v="2023-12-10T00:00:00" u="1"/>
        <d v="2023-11-20T00:00:00" u="1"/>
        <d v="2023-11-23T00:00:00" u="1"/>
        <d v="2023-12-20T00:00:00" u="1"/>
        <d v="2024-01-04T00:00:00" u="1"/>
        <d v="2023-10-25T00:00:00" u="1"/>
        <d v="2023-11-11T00:00:00" u="1"/>
        <d v="2023-12-02T00:00:00" u="1"/>
        <d v="2023-11-13T00:00:00" u="1"/>
        <d v="2024-01-06T00:00:00" u="1"/>
        <d v="2023-12-14T00:00:00" u="1"/>
        <d v="2023-12-30T00:00:00" u="1"/>
        <d v="2024-01-11T00:00:00" u="1"/>
        <d v="2023-12-23T00:00:00" u="1"/>
        <d v="2023-10-22T00:00:00" u="1"/>
        <d v="2023-11-10T00:00:00" u="1"/>
        <d v="2023-12-01T00:00:00" u="1"/>
        <d v="2023-11-12T00:00:00" u="1"/>
        <d v="2024-01-18T00:00:00" u="1"/>
        <d v="2023-12-17T00:00:00" u="1"/>
        <d v="2024-02-26T00:00:00" u="1"/>
        <d v="2023-11-27T00:00:00" u="1"/>
        <d v="2023-12-06T00:00:00" u="1"/>
        <d v="2023-12-08T00:00:00" u="1"/>
        <d v="2023-10-21T00:00:00" u="1"/>
        <d v="2023-11-06T00:00:00" u="1"/>
        <d v="2023-12-03T00:00:00" u="1"/>
        <d v="2024-01-08T00:00:00" u="1"/>
        <d v="2023-12-07T00:00:00" u="1"/>
        <d v="2024-01-19T00:00:00" u="1"/>
        <d v="2023-10-26T00:00:00" u="1"/>
        <d v="2023-11-16T00:00:00" u="1"/>
        <d v="2023-10-18T00:00:00" u="1"/>
        <d v="2023-11-25T00:00:00" u="1"/>
        <d v="2021-12-23T00:00:00" u="1"/>
        <d v="2023-03-09T00:00:00" u="1"/>
        <d v="2023-10-13T00:00:00" u="1"/>
        <d v="2021-08-15T00:00:00" u="1"/>
        <d v="2022-09-01T00:00:00" u="1"/>
        <d v="2023-02-23T00:00:00" u="1"/>
        <d v="2023-04-14T00:00:00" u="1"/>
        <d v="2023-11-18T00:00:00" u="1"/>
        <d v="2022-08-15T00:00:00" u="1"/>
        <d v="2021-12-16T00:00:00" u="1"/>
        <d v="2022-07-29T00:00:00" u="1"/>
        <d v="2023-03-02T00:00:00" u="1"/>
        <d v="2023-10-06T00:00:00" u="1"/>
        <d v="2022-05-12T00:00:00" u="1"/>
        <d v="2022-12-16T00:00:00" u="1"/>
        <d v="2023-02-16T00:00:00" u="1"/>
        <d v="2023-04-07T00:00:00" u="1"/>
        <d v="2022-08-08T00:00:00" u="1"/>
        <d v="2023-12-16T00:00:00" u="1"/>
        <d v="2023-11-30T00:00:00" u="1"/>
        <d v="2024-07-03T00:00:00" u="1"/>
        <d v="2022-01-23T00:00:00" u="1"/>
        <d v="2022-05-05T00:00:00" u="1"/>
        <d v="2023-02-09T00:00:00" u="1"/>
        <d v="2023-11-04T00:00:00" u="1"/>
        <d v="2023-01-23T00:00:00" u="1"/>
        <d v="2023-03-14T00:00:00" u="1"/>
        <d v="2023-08-27T00:00:00" u="1"/>
        <d v="2023-12-09T00:00:00" u="1"/>
        <d v="2021-12-02T00:00:00" u="1"/>
        <d v="2022-07-15T00:00:00" u="1"/>
        <d v="2023-02-28T00:00:00" u="1"/>
        <d v="2022-01-16T00:00:00" u="1"/>
        <d v="2022-02-21T00:00:00" u="1"/>
        <d v="2023-03-07T00:00:00" u="1"/>
        <d v="2023-08-20T00:00:00" u="1"/>
        <d v="2023-10-11T00:00:00" u="1"/>
        <d v="2024-02-02T00:00:00" u="1"/>
        <d v="2024-09-06T00:00:00" u="1"/>
        <d v="2021-08-13T00:00:00" u="1"/>
        <d v="2025-02-02T00:00:00" u="1"/>
        <d v="2022-01-09T00:00:00" u="1"/>
        <d v="2022-08-13T00:00:00" u="1"/>
        <d v="2024-04-12T00:00:00" u="1"/>
        <d v="2023-01-09T00:00:00" u="1"/>
        <d v="2023-10-04T00:00:00" u="1"/>
        <d v="2021-08-06T00:00:00" u="1"/>
        <d v="2021-11-28T00:00:00" u="1"/>
        <d v="2022-01-02T00:00:00" u="1"/>
        <d v="2022-04-24T00:00:00" u="1"/>
        <d v="2022-08-06T00:00:00" u="1"/>
        <d v="2023-05-10T00:00:00" u="1"/>
        <d v="2024-07-27T00:00:00" u="1"/>
        <d v="2021-10-16T00:00:00" u="1"/>
        <d v="2022-02-07T00:00:00" u="1"/>
        <d v="2021-09-30T00:00:00" u="1"/>
        <d v="2022-01-21T00:00:00" u="1"/>
        <d v="2023-11-02T00:00:00" u="1"/>
        <d v="2021-09-04T00:00:00" u="1"/>
        <d v="2021-12-26T00:00:00" u="1"/>
        <d v="2022-02-26T00:00:00" u="1"/>
        <d v="2022-04-17T00:00:00" u="1"/>
        <d v="2021-10-09T00:00:00" u="1"/>
        <d v="2022-09-04T00:00:00" u="1"/>
        <d v="2023-09-30T00:00:00" u="1"/>
        <d v="2021-11-14T00:00:00" u="1"/>
        <d v="2022-01-14T00:00:00" u="1"/>
        <d v="2021-12-19T00:00:00" u="1"/>
        <d v="2022-04-10T00:00:00" u="1"/>
        <d v="2022-09-23T00:00:00" u="1"/>
        <d v="2023-01-14T00:00:00" u="1"/>
        <d v="2021-10-02T00:00:00" u="1"/>
        <d v="2022-05-15T00:00:00" u="1"/>
        <d v="2023-02-19T00:00:00" u="1"/>
        <d v="2022-04-29T00:00:00" u="1"/>
        <d v="2022-08-11T00:00:00" u="1"/>
        <d v="2023-10-28T00:00:00" u="1"/>
        <d v="2021-10-21T00:00:00" u="1"/>
        <d v="2021-12-12T00:00:00" u="1"/>
        <d v="2022-02-12T00:00:00" u="1"/>
        <d v="2022-09-16T00:00:00" u="1"/>
        <d v="2023-01-07T00:00:00" u="1"/>
        <d v="2022-05-08T00:00:00" u="1"/>
        <d v="2023-02-12T00:00:00" u="1"/>
        <d v="2023-04-03T00:00:00" u="1"/>
        <d v="2024-01-07T00:00:00" u="1"/>
        <d v="2022-04-22T00:00:00" u="1"/>
        <d v="2022-08-04T00:00:00" u="1"/>
        <d v="2023-03-17T00:00:00" u="1"/>
        <d v="2021-10-14T00:00:00" u="1"/>
        <d v="2021-12-05T00:00:00" u="1"/>
        <d v="2022-02-05T00:00:00" u="1"/>
        <d v="2022-05-27T00:00:00" u="1"/>
        <d v="2024-08-30T00:00:00" u="1"/>
        <d v="2021-11-19T00:00:00" u="1"/>
        <d v="2022-05-01T00:00:00" u="1"/>
        <d v="2022-10-14T00:00:00" u="1"/>
        <d v="2023-02-05T00:00:00" u="1"/>
        <d v="2021-12-24T00:00:00" u="1"/>
        <d v="2022-02-24T00:00:00" u="1"/>
        <d v="2022-04-15T00:00:00" u="1"/>
        <d v="2023-01-19T00:00:00" u="1"/>
        <d v="2023-03-10T00:00:00" u="1"/>
        <d v="2023-10-14T00:00:00" u="1"/>
        <d v="2021-08-16T00:00:00" u="1"/>
        <d v="2023-02-24T00:00:00" u="1"/>
        <d v="2023-04-15T00:00:00" u="1"/>
        <d v="2022-10-07T00:00:00" u="1"/>
        <d v="2023-09-02T00:00:00" u="1"/>
        <d v="2021-12-17T00:00:00" u="1"/>
        <d v="2022-07-30T00:00:00" u="1"/>
        <d v="2023-01-12T00:00:00" u="1"/>
        <d v="2023-03-03T00:00:00" u="1"/>
        <d v="2023-10-07T00:00:00" u="1"/>
        <d v="2024-09-02T00:00:00" u="1"/>
        <d v="2023-02-17T00:00:00" u="1"/>
        <d v="2023-04-08T00:00:00" u="1"/>
        <d v="2023-09-21T00:00:00" u="1"/>
        <n v="56" u="1"/>
        <d v="2021-12-10T00:00:00" u="1"/>
        <d v="2022-02-10T00:00:00" u="1"/>
        <d v="2023-01-05T00:00:00" u="1"/>
        <d v="2022-05-06T00:00:00" u="1"/>
        <d v="2022-10-19T00:00:00" u="1"/>
        <d v="2023-04-01T00:00:00" u="1"/>
        <d v="2021-12-29T00:00:00" u="1"/>
        <d v="2023-03-15T00:00:00" u="1"/>
        <d v="2023-08-28T00:00:00" u="1"/>
        <d v="2021-12-03T00:00:00" u="1"/>
        <d v="2022-07-16T00:00:00" u="1"/>
        <d v="2022-12-29T00:00:00" u="1"/>
        <d v="2022-01-17T00:00:00" u="1"/>
        <d v="2023-08-21T00:00:00" u="1"/>
        <d v="2021-08-14T00:00:00" u="1"/>
        <d v="2022-01-10T00:00:00" u="1"/>
        <d v="2022-08-14T00:00:00" u="1"/>
        <d v="2021-12-15T00:00:00" u="1"/>
        <d v="2021-08-07T00:00:00" u="1"/>
        <d v="2022-05-11T00:00:00" u="1"/>
        <d v="2022-01-03T00:00:00" u="1"/>
        <d v="2022-04-25T00:00:00" u="1"/>
        <d v="2022-08-07T00:00:00" u="1"/>
        <d v="2023-05-11T00:00:00" u="1"/>
        <d v="2023-12-15T00:00:00" u="1"/>
        <d v="2021-10-17T00:00:00" u="1"/>
        <d v="2021-12-08T00:00:00" u="1"/>
        <d v="2024-01-29T00:00:00" u="1"/>
        <d v="2022-01-22T00:00:00" u="1"/>
        <d v="2022-05-04T00:00:00" u="1"/>
        <d v="2021-09-05T00:00:00" u="1"/>
        <d v="2022-04-18T00:00:00" u="1"/>
        <d v="2023-01-22T00:00:00" u="1"/>
        <d v="2023-03-13T00:00:00" u="1"/>
        <d v="2023-05-04T00:00:00" u="1"/>
        <d v="2023-08-26T00:00:00" u="1"/>
        <d v="2024-05-30T00:00:00" u="1"/>
        <d v="2021-10-10T00:00:00" u="1"/>
        <d v="2021-12-01T00:00:00" u="1"/>
        <d v="2021-11-15T00:00:00" u="1"/>
        <d v="2023-12-27T00:00:00" u="1"/>
        <d v="2022-02-20T00:00:00" u="1"/>
        <d v="2022-09-24T00:00:00" u="1"/>
        <d v="2023-03-06T00:00:00" u="1"/>
        <d v="2021-10-03T00:00:00" u="1"/>
        <d v="2023-02-20T00:00:00" u="1"/>
        <d v="2022-01-08T00:00:00" u="1"/>
        <d v="2022-04-30T00:00:00" u="1"/>
        <d v="2022-08-12T00:00:00" u="1"/>
        <d v="2021-10-22T00:00:00" u="1"/>
        <d v="2022-09-17T00:00:00" u="1"/>
        <d v="2023-01-08T00:00:00" u="1"/>
        <d v="2021-08-05T00:00:00" u="1"/>
        <d v="2021-11-27T00:00:00" u="1"/>
        <d v="2023-02-13T00:00:00" u="1"/>
        <d v="2021-09-10T00:00:00" u="1"/>
        <d v="2022-01-01T00:00:00" u="1"/>
        <d v="2022-04-23T00:00:00" u="1"/>
        <d v="2021-10-15T00:00:00" u="1"/>
        <d v="2022-02-06T00:00:00" u="1"/>
        <d v="2022-05-28T00:00:00" u="1"/>
        <d v="2024-01-27T00:00:00" u="1"/>
        <d v="2021-11-20T00:00:00" u="1"/>
        <d v="2022-01-20T00:00:00" u="1"/>
        <d v="2022-10-15T00:00:00" u="1"/>
        <d v="2023-02-06T00:00:00" u="1"/>
        <d v="2021-09-03T00:00:00" u="1"/>
        <d v="2022-04-16T00:00:00" u="1"/>
        <d v="2022-09-29T00:00:00" u="1"/>
        <d v="2023-01-20T00:00:00" u="1"/>
        <d v="2021-10-08T00:00:00" u="1"/>
        <d v="2022-09-03T00:00:00" u="1"/>
        <d v="2022-01-13T00:00:00" u="1"/>
        <d v="2021-12-18T00:00:00" u="1"/>
        <d v="2022-02-18T00:00:00" u="1"/>
        <d v="2023-01-13T00:00:00" u="1"/>
        <d v="2023-10-08T00:00:00" u="1"/>
        <d v="2021-10-01T00:00:00" u="1"/>
        <d v="2022-05-14T00:00:00" u="1"/>
        <d v="2023-02-18T00:00:00" u="1"/>
        <d v="2023-09-22T00:00:00" u="1"/>
        <d v="2022-01-06T00:00:00" u="1"/>
        <d v="2022-04-28T00:00:00" u="1"/>
        <d v="2022-06-19T00:00:00" u="1"/>
        <d v="2023-03-23T00:00:00" u="1"/>
        <d v="2023-05-14T00:00:00" u="1"/>
        <d v="2023-10-27T00:00:00" u="1"/>
        <d v="2021-10-20T00:00:00" u="1"/>
        <d v="2022-02-11T00:00:00" u="1"/>
        <d v="2023-01-06T00:00:00" u="1"/>
        <d v="2023-10-01T00:00:00" u="1"/>
        <d v="2021-11-25T00:00:00" u="1"/>
        <d v="2022-05-07T00:00:00" u="1"/>
        <d v="2022-10-20T00:00:00" u="1"/>
        <d v="2023-02-11T00:00:00" u="1"/>
        <d v="2023-04-02T00:00:00" u="1"/>
        <d v="2022-04-21T00:00:00" u="1"/>
        <d v="2023-03-16T00:00:00" u="1"/>
        <d v="2021-10-13T00:00:00" u="1"/>
        <d v="2021-12-04T00:00:00" u="1"/>
        <d v="2022-12-30T00:00:00" u="1"/>
        <d v="2021-09-27T00:00:00" u="1"/>
        <d v="2022-10-13T00:00:00" u="1"/>
      </sharedItems>
    </cacheField>
    <cacheField name="LC + LB2" numFmtId="0">
      <sharedItems containsBlank="1" containsMixedTypes="1" containsNumber="1" containsInteger="1" minValue="0" maxValue="12133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2">
  <r>
    <x v="0"/>
    <x v="0"/>
    <x v="0"/>
    <x v="0"/>
    <x v="0"/>
    <m/>
    <m/>
    <m/>
    <m/>
    <m/>
    <m/>
    <m/>
    <m/>
    <m/>
    <x v="0"/>
    <m/>
    <m/>
    <m/>
    <m/>
    <m/>
    <m/>
    <m/>
    <m/>
    <m/>
    <x v="0"/>
    <m/>
    <m/>
    <m/>
    <m/>
    <m/>
    <m/>
    <m/>
    <m/>
    <m/>
    <s v="DATE DEB"/>
    <s v="DATE DEB"/>
    <s v="DATE DEB"/>
    <s v="DATE DEB"/>
    <x v="0"/>
    <s v="DATE DEB"/>
    <s v="DATE DEB"/>
    <s v="DATE DEB"/>
    <s v="DATE DEB"/>
    <x v="0"/>
    <x v="0"/>
    <x v="0"/>
    <x v="0"/>
    <x v="0"/>
    <x v="0"/>
    <x v="0"/>
    <x v="0"/>
    <x v="0"/>
    <x v="0"/>
    <m/>
    <x v="0"/>
    <m/>
    <m/>
    <x v="0"/>
    <x v="0"/>
    <x v="0"/>
    <s v="CUM"/>
  </r>
  <r>
    <x v="1"/>
    <x v="1"/>
    <x v="1"/>
    <x v="1"/>
    <x v="1"/>
    <n v="6"/>
    <n v="7"/>
    <n v="8"/>
    <n v="9"/>
    <n v="10"/>
    <n v="11"/>
    <n v="12"/>
    <n v="13"/>
    <n v="14"/>
    <x v="1"/>
    <n v="16"/>
    <n v="17"/>
    <n v="18"/>
    <n v="19"/>
    <n v="20"/>
    <n v="21"/>
    <n v="22"/>
    <n v="23"/>
    <n v="24"/>
    <x v="1"/>
    <n v="26"/>
    <n v="27"/>
    <n v="28"/>
    <n v="29"/>
    <n v="30"/>
    <n v="31"/>
    <n v="32"/>
    <n v="33"/>
    <n v="34"/>
    <n v="35"/>
    <n v="36"/>
    <n v="37"/>
    <n v="38"/>
    <x v="1"/>
    <n v="40"/>
    <n v="41"/>
    <n v="42"/>
    <n v="43"/>
    <x v="1"/>
    <x v="1"/>
    <x v="1"/>
    <x v="1"/>
    <x v="1"/>
    <x v="1"/>
    <x v="1"/>
    <x v="1"/>
    <x v="1"/>
    <x v="1"/>
    <n v="54"/>
    <x v="1"/>
    <n v="56"/>
    <n v="57"/>
    <x v="1"/>
    <x v="1"/>
    <x v="1"/>
    <n v="61"/>
  </r>
  <r>
    <x v="2"/>
    <x v="0"/>
    <x v="0"/>
    <x v="0"/>
    <x v="0"/>
    <m/>
    <m/>
    <m/>
    <m/>
    <m/>
    <m/>
    <m/>
    <m/>
    <m/>
    <x v="0"/>
    <m/>
    <m/>
    <m/>
    <m/>
    <m/>
    <m/>
    <m/>
    <m/>
    <m/>
    <x v="0"/>
    <n v="0"/>
    <n v="0"/>
    <n v="0"/>
    <n v="0"/>
    <n v="0"/>
    <n v="0"/>
    <n v="0"/>
    <n v="0"/>
    <n v="0"/>
    <m/>
    <m/>
    <m/>
    <m/>
    <x v="2"/>
    <m/>
    <m/>
    <m/>
    <m/>
    <x v="2"/>
    <x v="2"/>
    <x v="2"/>
    <x v="2"/>
    <x v="2"/>
    <x v="2"/>
    <x v="2"/>
    <x v="2"/>
    <x v="2"/>
    <x v="2"/>
    <m/>
    <x v="0"/>
    <m/>
    <n v="0"/>
    <x v="2"/>
    <x v="2"/>
    <x v="0"/>
    <m/>
  </r>
  <r>
    <x v="3"/>
    <x v="2"/>
    <x v="2"/>
    <x v="2"/>
    <x v="2"/>
    <n v="0"/>
    <n v="0"/>
    <n v="0"/>
    <n v="0"/>
    <n v="0"/>
    <n v="5"/>
    <n v="0"/>
    <n v="0"/>
    <n v="0"/>
    <x v="2"/>
    <n v="0"/>
    <n v="0"/>
    <n v="0"/>
    <n v="0"/>
    <n v="0"/>
    <n v="527"/>
    <n v="0"/>
    <n v="0"/>
    <n v="0"/>
    <x v="2"/>
    <n v="0"/>
    <n v="0"/>
    <n v="0"/>
    <n v="0"/>
    <n v="0"/>
    <n v="527"/>
    <n v="0"/>
    <n v="0"/>
    <n v="0"/>
    <s v=" "/>
    <s v=" "/>
    <s v=" "/>
    <s v=" "/>
    <x v="3"/>
    <d v="2025-03-26T00:00:00"/>
    <s v=" "/>
    <s v=" "/>
    <s v=" "/>
    <x v="3"/>
    <x v="3"/>
    <x v="3"/>
    <x v="3"/>
    <x v="3"/>
    <x v="3"/>
    <x v="3"/>
    <x v="3"/>
    <x v="3"/>
    <x v="3"/>
    <d v="2025-03-26T00:00:00"/>
    <x v="2"/>
    <n v="40"/>
    <n v="40"/>
    <x v="3"/>
    <x v="3"/>
    <x v="2"/>
    <n v="0"/>
  </r>
  <r>
    <x v="4"/>
    <x v="3"/>
    <x v="3"/>
    <x v="3"/>
    <x v="2"/>
    <n v="0"/>
    <n v="0"/>
    <n v="0"/>
    <n v="0"/>
    <n v="0"/>
    <n v="0"/>
    <n v="0"/>
    <n v="0"/>
    <n v="3"/>
    <x v="3"/>
    <n v="0"/>
    <n v="0"/>
    <n v="0"/>
    <n v="0"/>
    <n v="0"/>
    <n v="0"/>
    <n v="0"/>
    <n v="0"/>
    <n v="120"/>
    <x v="3"/>
    <n v="0"/>
    <n v="0"/>
    <n v="0"/>
    <n v="0"/>
    <n v="0"/>
    <n v="527"/>
    <n v="0"/>
    <n v="0"/>
    <n v="120"/>
    <s v=" "/>
    <s v=" "/>
    <s v=" "/>
    <s v=" "/>
    <x v="3"/>
    <s v=" "/>
    <s v=" "/>
    <s v=" "/>
    <d v="2025-03-26T00:00:00"/>
    <x v="3"/>
    <x v="3"/>
    <x v="3"/>
    <x v="3"/>
    <x v="4"/>
    <x v="3"/>
    <x v="3"/>
    <x v="4"/>
    <x v="3"/>
    <x v="3"/>
    <d v="2025-03-26T00:00:00"/>
    <x v="3"/>
    <n v="0"/>
    <n v="40"/>
    <x v="4"/>
    <x v="4"/>
    <x v="3"/>
    <n v="0"/>
  </r>
  <r>
    <x v="5"/>
    <x v="4"/>
    <x v="2"/>
    <x v="4"/>
    <x v="2"/>
    <n v="0"/>
    <n v="11"/>
    <n v="19"/>
    <n v="0"/>
    <n v="3"/>
    <n v="3"/>
    <n v="0"/>
    <n v="0"/>
    <n v="24"/>
    <x v="4"/>
    <n v="0"/>
    <n v="18233"/>
    <n v="2999"/>
    <n v="0"/>
    <n v="43"/>
    <n v="16"/>
    <n v="0"/>
    <n v="0"/>
    <n v="50"/>
    <x v="4"/>
    <n v="0"/>
    <n v="18233"/>
    <n v="2999"/>
    <n v="0"/>
    <n v="43"/>
    <n v="543"/>
    <n v="0"/>
    <n v="0"/>
    <n v="170"/>
    <s v=" "/>
    <d v="2025-03-26T00:00:00"/>
    <d v="2025-03-26T00:00:00"/>
    <s v=" "/>
    <x v="4"/>
    <d v="2025-03-26T00:00:00"/>
    <s v=" "/>
    <s v=" "/>
    <d v="2025-03-28T00:00:00"/>
    <x v="3"/>
    <x v="4"/>
    <x v="4"/>
    <x v="4"/>
    <x v="3"/>
    <x v="3"/>
    <x v="3"/>
    <x v="5"/>
    <x v="4"/>
    <x v="3"/>
    <d v="2025-03-26T00:00:00"/>
    <x v="4"/>
    <n v="0"/>
    <n v="40"/>
    <x v="4"/>
    <x v="4"/>
    <x v="4"/>
    <n v="2999"/>
  </r>
  <r>
    <x v="6"/>
    <x v="5"/>
    <x v="2"/>
    <x v="4"/>
    <x v="2"/>
    <n v="0"/>
    <n v="10"/>
    <n v="32"/>
    <n v="1"/>
    <n v="1"/>
    <n v="1"/>
    <n v="0"/>
    <n v="0"/>
    <n v="20"/>
    <x v="5"/>
    <n v="0"/>
    <n v="34332"/>
    <n v="9558"/>
    <n v="21"/>
    <n v="394"/>
    <n v="10"/>
    <n v="0"/>
    <n v="0"/>
    <n v="150"/>
    <x v="5"/>
    <n v="0"/>
    <n v="52565"/>
    <n v="12557"/>
    <n v="21"/>
    <n v="437"/>
    <n v="553"/>
    <n v="0"/>
    <n v="0"/>
    <n v="320"/>
    <s v=" "/>
    <d v="2025-03-28T00:00:00"/>
    <d v="2025-03-26T00:00:00"/>
    <d v="2025-03-26T00:00:00"/>
    <x v="4"/>
    <d v="2025-03-26T00:00:00"/>
    <s v=" "/>
    <s v=" "/>
    <d v="2025-03-31T00:00:00"/>
    <x v="3"/>
    <x v="5"/>
    <x v="4"/>
    <x v="4"/>
    <x v="3"/>
    <x v="3"/>
    <x v="3"/>
    <x v="6"/>
    <x v="5"/>
    <x v="4"/>
    <d v="2025-03-26T00:00:00"/>
    <x v="5"/>
    <n v="0"/>
    <n v="40"/>
    <x v="4"/>
    <x v="4"/>
    <x v="5"/>
    <n v="12578"/>
  </r>
  <r>
    <x v="7"/>
    <x v="6"/>
    <x v="4"/>
    <x v="5"/>
    <x v="2"/>
    <n v="0"/>
    <n v="10"/>
    <n v="138"/>
    <n v="107"/>
    <n v="109"/>
    <n v="151"/>
    <n v="0"/>
    <n v="0"/>
    <n v="56"/>
    <x v="6"/>
    <n v="0"/>
    <n v="29486"/>
    <n v="25117"/>
    <n v="2407"/>
    <n v="14719"/>
    <n v="3456"/>
    <n v="0"/>
    <n v="0"/>
    <n v="28"/>
    <x v="6"/>
    <n v="0"/>
    <n v="82051"/>
    <n v="37674"/>
    <n v="2428"/>
    <n v="15156"/>
    <n v="4009"/>
    <n v="0"/>
    <n v="0"/>
    <n v="348"/>
    <s v=" "/>
    <d v="2025-04-04T00:00:00"/>
    <d v="2025-03-27T00:00:00"/>
    <d v="2025-03-26T00:00:00"/>
    <x v="4"/>
    <d v="2025-03-26T00:00:00"/>
    <s v=" "/>
    <s v=" "/>
    <d v="2025-04-03T00:00:00"/>
    <x v="3"/>
    <x v="6"/>
    <x v="5"/>
    <x v="5"/>
    <x v="5"/>
    <x v="3"/>
    <x v="3"/>
    <x v="7"/>
    <x v="6"/>
    <x v="4"/>
    <d v="2025-03-26T00:00:00"/>
    <x v="6"/>
    <n v="220"/>
    <n v="260"/>
    <x v="5"/>
    <x v="5"/>
    <x v="6"/>
    <n v="40102"/>
  </r>
  <r>
    <x v="8"/>
    <x v="7"/>
    <x v="2"/>
    <x v="2"/>
    <x v="2"/>
    <n v="1"/>
    <n v="18"/>
    <n v="146"/>
    <n v="206"/>
    <n v="28"/>
    <n v="136"/>
    <n v="0"/>
    <n v="21"/>
    <n v="23"/>
    <x v="7"/>
    <n v="402"/>
    <n v="30336"/>
    <n v="45185"/>
    <n v="17577"/>
    <n v="3174"/>
    <n v="12246"/>
    <n v="0"/>
    <n v="12160"/>
    <n v="236"/>
    <x v="7"/>
    <n v="402"/>
    <n v="112387"/>
    <n v="82859"/>
    <n v="20005"/>
    <n v="18330"/>
    <n v="16255"/>
    <n v="0"/>
    <n v="12160"/>
    <n v="584"/>
    <d v="2025-03-26T00:00:00"/>
    <d v="2025-04-10T00:00:00"/>
    <d v="2025-04-02T00:00:00"/>
    <d v="2025-03-26T00:00:00"/>
    <x v="5"/>
    <d v="2025-03-28T00:00:00"/>
    <s v=" "/>
    <d v="2025-03-26T00:00:00"/>
    <d v="2025-04-04T00:00:00"/>
    <x v="4"/>
    <x v="7"/>
    <x v="6"/>
    <x v="6"/>
    <x v="6"/>
    <x v="3"/>
    <x v="4"/>
    <x v="8"/>
    <x v="7"/>
    <x v="5"/>
    <d v="2025-03-26T00:00:00"/>
    <x v="7"/>
    <n v="0"/>
    <n v="260"/>
    <x v="4"/>
    <x v="4"/>
    <x v="7"/>
    <n v="102864"/>
  </r>
  <r>
    <x v="9"/>
    <x v="8"/>
    <x v="2"/>
    <x v="6"/>
    <x v="2"/>
    <n v="7"/>
    <n v="2"/>
    <n v="0"/>
    <n v="0"/>
    <n v="0"/>
    <n v="0"/>
    <n v="0"/>
    <n v="0"/>
    <n v="5"/>
    <x v="8"/>
    <n v="46958"/>
    <n v="3672"/>
    <n v="0"/>
    <n v="0"/>
    <n v="0"/>
    <n v="0"/>
    <n v="0"/>
    <n v="0"/>
    <n v="384"/>
    <x v="8"/>
    <n v="47360"/>
    <n v="116059"/>
    <n v="82859"/>
    <n v="20005"/>
    <n v="18330"/>
    <n v="16255"/>
    <n v="0"/>
    <n v="12160"/>
    <n v="968"/>
    <d v="2025-03-26T00:00:00"/>
    <d v="2025-04-16T00:00:00"/>
    <s v=" "/>
    <s v=" "/>
    <x v="3"/>
    <s v=" "/>
    <s v=" "/>
    <s v=" "/>
    <d v="2025-04-11T00:00:00"/>
    <x v="5"/>
    <x v="8"/>
    <x v="3"/>
    <x v="3"/>
    <x v="4"/>
    <x v="3"/>
    <x v="3"/>
    <x v="9"/>
    <x v="3"/>
    <x v="3"/>
    <d v="2025-03-26T00:00:00"/>
    <x v="8"/>
    <n v="0"/>
    <n v="260"/>
    <x v="4"/>
    <x v="4"/>
    <x v="8"/>
    <n v="102864"/>
  </r>
  <r>
    <x v="10"/>
    <x v="9"/>
    <x v="5"/>
    <x v="7"/>
    <x v="2"/>
    <n v="4"/>
    <n v="14"/>
    <n v="155"/>
    <n v="289"/>
    <n v="11"/>
    <n v="90"/>
    <n v="0"/>
    <n v="3"/>
    <n v="35"/>
    <x v="9"/>
    <n v="97"/>
    <n v="4882"/>
    <n v="21702"/>
    <n v="8818"/>
    <n v="695"/>
    <n v="2116"/>
    <n v="0"/>
    <n v="20"/>
    <n v="19"/>
    <x v="9"/>
    <n v="47457"/>
    <n v="120941"/>
    <n v="104561"/>
    <n v="28823"/>
    <n v="19025"/>
    <n v="18371"/>
    <n v="0"/>
    <n v="12180"/>
    <n v="987"/>
    <d v="2025-04-02T00:00:00"/>
    <d v="2025-04-17T00:00:00"/>
    <d v="2025-04-11T00:00:00"/>
    <d v="2025-04-01T00:00:00"/>
    <x v="6"/>
    <d v="2025-04-07T00:00:00"/>
    <s v=" "/>
    <d v="2025-04-03T00:00:00"/>
    <d v="2025-04-23T00:00:00"/>
    <x v="5"/>
    <x v="8"/>
    <x v="7"/>
    <x v="6"/>
    <x v="7"/>
    <x v="3"/>
    <x v="4"/>
    <x v="9"/>
    <x v="8"/>
    <x v="6"/>
    <d v="2025-04-01T00:00:00"/>
    <x v="8"/>
    <n v="140"/>
    <n v="400"/>
    <x v="6"/>
    <x v="6"/>
    <x v="9"/>
    <n v="133384"/>
  </r>
  <r>
    <x v="11"/>
    <x v="10"/>
    <x v="5"/>
    <x v="7"/>
    <x v="2"/>
    <n v="8"/>
    <n v="47"/>
    <n v="204"/>
    <n v="206"/>
    <n v="25"/>
    <n v="177"/>
    <n v="0"/>
    <n v="2"/>
    <n v="56"/>
    <x v="10"/>
    <n v="911"/>
    <n v="9367"/>
    <n v="21847"/>
    <n v="4144"/>
    <n v="1365"/>
    <n v="2529"/>
    <n v="0"/>
    <n v="29"/>
    <n v="37"/>
    <x v="10"/>
    <n v="48368"/>
    <n v="130308"/>
    <n v="126408"/>
    <n v="32967"/>
    <n v="20390"/>
    <n v="20900"/>
    <n v="0"/>
    <n v="12209"/>
    <n v="1024"/>
    <d v="2025-04-02T00:00:00"/>
    <d v="2025-04-17T00:00:00"/>
    <d v="2025-04-17T00:00:00"/>
    <d v="2025-04-03T00:00:00"/>
    <x v="6"/>
    <d v="2025-04-08T00:00:00"/>
    <s v=" "/>
    <d v="2025-04-03T00:00:00"/>
    <d v="2025-04-23T00:00:00"/>
    <x v="6"/>
    <x v="9"/>
    <x v="8"/>
    <x v="7"/>
    <x v="8"/>
    <x v="3"/>
    <x v="4"/>
    <x v="10"/>
    <x v="9"/>
    <x v="6"/>
    <d v="2025-04-02T00:00:00"/>
    <x v="9"/>
    <n v="134.66666666666669"/>
    <n v="534.66666666666674"/>
    <x v="7"/>
    <x v="7"/>
    <x v="10"/>
    <n v="159375"/>
  </r>
  <r>
    <x v="12"/>
    <x v="11"/>
    <x v="5"/>
    <x v="7"/>
    <x v="2"/>
    <n v="6"/>
    <n v="27"/>
    <n v="102"/>
    <n v="76"/>
    <n v="14"/>
    <n v="75"/>
    <n v="0"/>
    <n v="0"/>
    <n v="15"/>
    <x v="11"/>
    <n v="77"/>
    <n v="25939"/>
    <n v="40115"/>
    <n v="3466"/>
    <n v="2223"/>
    <n v="4177"/>
    <n v="0"/>
    <n v="0"/>
    <n v="23"/>
    <x v="11"/>
    <n v="48445"/>
    <n v="156247"/>
    <n v="166523"/>
    <n v="36433"/>
    <n v="22613"/>
    <n v="25077"/>
    <n v="0"/>
    <n v="12209"/>
    <n v="1047"/>
    <d v="2025-04-03T00:00:00"/>
    <d v="2025-04-21T00:00:00"/>
    <d v="2025-04-22T00:00:00"/>
    <d v="2025-04-03T00:00:00"/>
    <x v="7"/>
    <d v="2025-04-09T00:00:00"/>
    <s v=" "/>
    <s v=" "/>
    <d v="2025-04-24T00:00:00"/>
    <x v="6"/>
    <x v="10"/>
    <x v="9"/>
    <x v="8"/>
    <x v="9"/>
    <x v="3"/>
    <x v="3"/>
    <x v="10"/>
    <x v="10"/>
    <x v="7"/>
    <d v="2025-04-03T00:00:00"/>
    <x v="9"/>
    <n v="80"/>
    <n v="614.66666666666674"/>
    <x v="8"/>
    <x v="8"/>
    <x v="11"/>
    <n v="202956"/>
  </r>
  <r>
    <x v="13"/>
    <x v="12"/>
    <x v="2"/>
    <x v="8"/>
    <x v="2"/>
    <n v="0"/>
    <n v="1"/>
    <n v="1"/>
    <n v="0"/>
    <n v="8"/>
    <n v="0"/>
    <n v="0"/>
    <n v="1"/>
    <n v="1"/>
    <x v="12"/>
    <n v="0"/>
    <n v="1054"/>
    <n v="130"/>
    <n v="0"/>
    <n v="3305"/>
    <n v="0"/>
    <n v="0"/>
    <n v="899"/>
    <n v="2"/>
    <x v="12"/>
    <n v="48445"/>
    <n v="157301"/>
    <n v="166653"/>
    <n v="36433"/>
    <n v="25918"/>
    <n v="25077"/>
    <n v="0"/>
    <n v="13108"/>
    <n v="1049"/>
    <s v=" "/>
    <d v="2025-04-24T00:00:00"/>
    <d v="2025-05-01T00:00:00"/>
    <s v=" "/>
    <x v="8"/>
    <s v=" "/>
    <s v=" "/>
    <d v="2025-04-03T00:00:00"/>
    <d v="2025-04-24T00:00:00"/>
    <x v="3"/>
    <x v="10"/>
    <x v="9"/>
    <x v="9"/>
    <x v="4"/>
    <x v="3"/>
    <x v="4"/>
    <x v="10"/>
    <x v="10"/>
    <x v="3"/>
    <d v="2025-04-03T00:00:00"/>
    <x v="9"/>
    <n v="0"/>
    <n v="614.66666666666674"/>
    <x v="4"/>
    <x v="4"/>
    <x v="12"/>
    <n v="203086"/>
  </r>
  <r>
    <x v="14"/>
    <x v="13"/>
    <x v="4"/>
    <x v="5"/>
    <x v="2"/>
    <n v="0"/>
    <n v="13"/>
    <n v="33"/>
    <n v="14"/>
    <n v="26"/>
    <n v="9"/>
    <n v="0"/>
    <n v="2"/>
    <n v="16"/>
    <x v="13"/>
    <n v="0"/>
    <n v="59176"/>
    <n v="19337"/>
    <n v="1734"/>
    <n v="12980"/>
    <n v="607"/>
    <n v="0"/>
    <n v="1505"/>
    <n v="440"/>
    <x v="13"/>
    <n v="48445"/>
    <n v="216477"/>
    <n v="185990"/>
    <n v="38167"/>
    <n v="38898"/>
    <n v="25684"/>
    <n v="0"/>
    <n v="14613"/>
    <n v="1489"/>
    <s v=" "/>
    <d v="2025-04-24T00:00:00"/>
    <d v="2025-05-01T00:00:00"/>
    <d v="2025-04-04T00:00:00"/>
    <x v="9"/>
    <d v="2025-04-11T00:00:00"/>
    <s v=" "/>
    <d v="2025-04-03T00:00:00"/>
    <d v="2025-04-24T00:00:00"/>
    <x v="3"/>
    <x v="11"/>
    <x v="10"/>
    <x v="10"/>
    <x v="10"/>
    <x v="3"/>
    <x v="5"/>
    <x v="11"/>
    <x v="11"/>
    <x v="7"/>
    <d v="2025-04-03T00:00:00"/>
    <x v="10"/>
    <n v="0"/>
    <n v="614.66666666666674"/>
    <x v="4"/>
    <x v="4"/>
    <x v="13"/>
    <n v="224157"/>
  </r>
  <r>
    <x v="15"/>
    <x v="14"/>
    <x v="2"/>
    <x v="2"/>
    <x v="2"/>
    <n v="20"/>
    <n v="6"/>
    <n v="9"/>
    <n v="2"/>
    <n v="2"/>
    <n v="1"/>
    <n v="2"/>
    <n v="0"/>
    <n v="41"/>
    <x v="14"/>
    <n v="370953"/>
    <n v="9602"/>
    <n v="7130"/>
    <n v="41"/>
    <n v="720"/>
    <n v="10"/>
    <n v="358266"/>
    <n v="0"/>
    <n v="1277"/>
    <x v="14"/>
    <n v="419398"/>
    <n v="226079"/>
    <n v="193120"/>
    <n v="38208"/>
    <n v="39618"/>
    <n v="25694"/>
    <n v="358266"/>
    <n v="14613"/>
    <n v="2766"/>
    <d v="2025-04-03T00:00:00"/>
    <d v="2025-05-07T00:00:00"/>
    <d v="2025-05-06T00:00:00"/>
    <d v="2025-04-04T00:00:00"/>
    <x v="10"/>
    <d v="2025-04-14T00:00:00"/>
    <d v="2025-03-26T00:00:00"/>
    <s v=" "/>
    <d v="2025-05-08T00:00:00"/>
    <x v="7"/>
    <x v="12"/>
    <x v="11"/>
    <x v="10"/>
    <x v="10"/>
    <x v="4"/>
    <x v="3"/>
    <x v="12"/>
    <x v="12"/>
    <x v="7"/>
    <d v="2025-03-26T00:00:00"/>
    <x v="11"/>
    <n v="0"/>
    <n v="614.66666666666674"/>
    <x v="4"/>
    <x v="4"/>
    <x v="14"/>
    <n v="231328"/>
  </r>
  <r>
    <x v="16"/>
    <x v="15"/>
    <x v="2"/>
    <x v="2"/>
    <x v="2"/>
    <n v="6"/>
    <n v="0"/>
    <n v="59"/>
    <n v="162"/>
    <n v="11"/>
    <n v="60"/>
    <n v="0"/>
    <n v="0"/>
    <n v="18"/>
    <x v="15"/>
    <n v="8248"/>
    <n v="0"/>
    <n v="250688"/>
    <n v="148542"/>
    <n v="22240"/>
    <n v="71043"/>
    <n v="0"/>
    <n v="0"/>
    <n v="599"/>
    <x v="15"/>
    <n v="427646"/>
    <n v="226079"/>
    <n v="443808"/>
    <n v="186750"/>
    <n v="61858"/>
    <n v="96737"/>
    <n v="358266"/>
    <n v="14613"/>
    <n v="3365"/>
    <d v="2025-06-06T00:00:00"/>
    <s v=" "/>
    <d v="2025-05-07T00:00:00"/>
    <d v="2025-04-04T00:00:00"/>
    <x v="10"/>
    <d v="2025-04-14T00:00:00"/>
    <s v=" "/>
    <s v=" "/>
    <d v="2025-06-13T00:00:00"/>
    <x v="8"/>
    <x v="3"/>
    <x v="12"/>
    <x v="11"/>
    <x v="11"/>
    <x v="3"/>
    <x v="3"/>
    <x v="13"/>
    <x v="13"/>
    <x v="8"/>
    <d v="2025-04-04T00:00:00"/>
    <x v="12"/>
    <n v="0"/>
    <n v="614.66666666666674"/>
    <x v="4"/>
    <x v="4"/>
    <x v="15"/>
    <n v="630558"/>
  </r>
  <r>
    <x v="17"/>
    <x v="16"/>
    <x v="4"/>
    <x v="9"/>
    <x v="2"/>
    <n v="0"/>
    <n v="13"/>
    <n v="87"/>
    <n v="112"/>
    <n v="3"/>
    <n v="51"/>
    <n v="0"/>
    <n v="0"/>
    <n v="3"/>
    <x v="16"/>
    <n v="0"/>
    <n v="101846"/>
    <n v="95745"/>
    <n v="46875"/>
    <n v="2418"/>
    <n v="11637"/>
    <n v="0"/>
    <n v="0"/>
    <n v="78"/>
    <x v="16"/>
    <n v="427646"/>
    <n v="327925"/>
    <n v="539553"/>
    <n v="233625"/>
    <n v="64276"/>
    <n v="108374"/>
    <n v="358266"/>
    <n v="14613"/>
    <n v="3443"/>
    <s v=" "/>
    <d v="2025-05-08T00:00:00"/>
    <d v="2025-07-03T00:00:00"/>
    <d v="2025-05-19T00:00:00"/>
    <x v="11"/>
    <d v="2025-06-03T00:00:00"/>
    <s v=" "/>
    <s v=" "/>
    <d v="2025-07-04T00:00:00"/>
    <x v="3"/>
    <x v="13"/>
    <x v="13"/>
    <x v="12"/>
    <x v="12"/>
    <x v="3"/>
    <x v="3"/>
    <x v="14"/>
    <x v="14"/>
    <x v="9"/>
    <d v="2025-05-08T00:00:00"/>
    <x v="13"/>
    <n v="0"/>
    <n v="614.66666666666674"/>
    <x v="4"/>
    <x v="4"/>
    <x v="10"/>
    <n v="773178"/>
  </r>
  <r>
    <x v="18"/>
    <x v="17"/>
    <x v="2"/>
    <x v="10"/>
    <x v="2"/>
    <n v="19"/>
    <n v="6"/>
    <n v="14"/>
    <n v="0"/>
    <n v="11"/>
    <n v="3"/>
    <n v="3"/>
    <n v="1"/>
    <n v="33"/>
    <x v="17"/>
    <n v="82490"/>
    <n v="6149"/>
    <n v="6443"/>
    <n v="0"/>
    <n v="3169"/>
    <n v="263"/>
    <n v="91398"/>
    <n v="191"/>
    <n v="465"/>
    <x v="17"/>
    <n v="510136"/>
    <n v="334074"/>
    <n v="545996"/>
    <n v="233625"/>
    <n v="67445"/>
    <n v="108637"/>
    <n v="449664"/>
    <n v="14804"/>
    <n v="3908"/>
    <d v="2025-06-09T00:00:00"/>
    <d v="2025-05-28T00:00:00"/>
    <d v="2025-08-14T00:00:00"/>
    <s v=" "/>
    <x v="12"/>
    <d v="2025-06-11T00:00:00"/>
    <d v="2025-06-17T00:00:00"/>
    <d v="2025-04-04T00:00:00"/>
    <d v="2025-07-07T00:00:00"/>
    <x v="9"/>
    <x v="14"/>
    <x v="13"/>
    <x v="13"/>
    <x v="13"/>
    <x v="5"/>
    <x v="5"/>
    <x v="15"/>
    <x v="15"/>
    <x v="3"/>
    <d v="2025-04-04T00:00:00"/>
    <x v="14"/>
    <n v="0"/>
    <n v="614.66666666666674"/>
    <x v="4"/>
    <x v="4"/>
    <x v="11"/>
    <n v="779621"/>
  </r>
  <r>
    <x v="19"/>
    <x v="17"/>
    <x v="2"/>
    <x v="10"/>
    <x v="2"/>
    <n v="2"/>
    <n v="14"/>
    <n v="269"/>
    <n v="410"/>
    <n v="27"/>
    <n v="195"/>
    <n v="0"/>
    <n v="5"/>
    <n v="37"/>
    <x v="18"/>
    <n v="906"/>
    <n v="40532"/>
    <n v="135008"/>
    <n v="46398"/>
    <n v="3333"/>
    <n v="20069"/>
    <n v="0"/>
    <n v="903"/>
    <n v="157"/>
    <x v="18"/>
    <n v="511042"/>
    <n v="374606"/>
    <n v="681004"/>
    <n v="280023"/>
    <n v="70778"/>
    <n v="128706"/>
    <n v="449664"/>
    <n v="15707"/>
    <n v="4065"/>
    <d v="2025-06-23T00:00:00"/>
    <d v="2025-05-29T00:00:00"/>
    <d v="2025-08-15T00:00:00"/>
    <d v="2025-06-02T00:00:00"/>
    <x v="13"/>
    <d v="2025-06-12T00:00:00"/>
    <s v=" "/>
    <d v="2025-04-04T00:00:00"/>
    <d v="2025-08-11T00:00:00"/>
    <x v="9"/>
    <x v="15"/>
    <x v="14"/>
    <x v="14"/>
    <x v="14"/>
    <x v="3"/>
    <x v="5"/>
    <x v="16"/>
    <x v="16"/>
    <x v="10"/>
    <d v="2025-04-04T00:00:00"/>
    <x v="15"/>
    <n v="0"/>
    <n v="614.66666666666674"/>
    <x v="4"/>
    <x v="4"/>
    <x v="16"/>
    <n v="961027"/>
  </r>
  <r>
    <x v="20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11042"/>
    <n v="374606"/>
    <n v="681004"/>
    <n v="280023"/>
    <n v="70778"/>
    <n v="128706"/>
    <n v="449664"/>
    <n v="15707"/>
    <n v="40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961027"/>
  </r>
  <r>
    <x v="21"/>
    <x v="18"/>
    <x v="2"/>
    <x v="12"/>
    <x v="2"/>
    <n v="13"/>
    <n v="2"/>
    <n v="17"/>
    <n v="1"/>
    <n v="2"/>
    <n v="8"/>
    <n v="2"/>
    <n v="0"/>
    <n v="16"/>
    <x v="20"/>
    <n v="41501"/>
    <n v="21609"/>
    <n v="12785"/>
    <n v="101"/>
    <n v="499"/>
    <n v="344"/>
    <n v="82186"/>
    <n v="0"/>
    <n v="90"/>
    <x v="20"/>
    <n v="552543"/>
    <n v="396215"/>
    <n v="693789"/>
    <n v="280124"/>
    <n v="71277"/>
    <n v="129050"/>
    <n v="531850"/>
    <n v="15707"/>
    <n v="4155"/>
    <d v="2025-06-23T00:00:00"/>
    <d v="2025-06-06T00:00:00"/>
    <d v="2025-09-16T00:00:00"/>
    <d v="2025-06-16T00:00:00"/>
    <x v="14"/>
    <d v="2025-06-27T00:00:00"/>
    <d v="2025-07-10T00:00:00"/>
    <s v=" "/>
    <d v="2025-08-14T00:00:00"/>
    <x v="10"/>
    <x v="16"/>
    <x v="15"/>
    <x v="14"/>
    <x v="14"/>
    <x v="6"/>
    <x v="3"/>
    <x v="17"/>
    <x v="17"/>
    <x v="10"/>
    <d v="2025-05-27T00:00:00"/>
    <x v="17"/>
    <n v="0"/>
    <n v="614.66666666666674"/>
    <x v="4"/>
    <x v="4"/>
    <x v="18"/>
    <n v="973913"/>
  </r>
  <r>
    <x v="22"/>
    <x v="18"/>
    <x v="2"/>
    <x v="12"/>
    <x v="2"/>
    <n v="8"/>
    <n v="25"/>
    <n v="315"/>
    <n v="466"/>
    <n v="45"/>
    <n v="197"/>
    <n v="1"/>
    <n v="1"/>
    <n v="47"/>
    <x v="21"/>
    <n v="2026"/>
    <n v="59227"/>
    <n v="179021"/>
    <n v="60385"/>
    <n v="5537"/>
    <n v="13841"/>
    <n v="2516"/>
    <n v="163"/>
    <n v="1810"/>
    <x v="21"/>
    <n v="554569"/>
    <n v="455442"/>
    <n v="872810"/>
    <n v="340509"/>
    <n v="76814"/>
    <n v="142891"/>
    <n v="534366"/>
    <n v="15870"/>
    <n v="5965"/>
    <d v="2025-07-03T00:00:00"/>
    <d v="2025-06-11T00:00:00"/>
    <d v="2025-09-18T00:00:00"/>
    <d v="2025-06-16T00:00:00"/>
    <x v="14"/>
    <d v="2025-06-27T00:00:00"/>
    <d v="2025-08-20T00:00:00"/>
    <d v="2025-04-04T00:00:00"/>
    <d v="2025-08-18T00:00:00"/>
    <x v="10"/>
    <x v="17"/>
    <x v="16"/>
    <x v="15"/>
    <x v="15"/>
    <x v="7"/>
    <x v="5"/>
    <x v="18"/>
    <x v="18"/>
    <x v="11"/>
    <d v="2025-04-04T00:00:00"/>
    <x v="18"/>
    <n v="0"/>
    <n v="614.66666666666674"/>
    <x v="4"/>
    <x v="4"/>
    <x v="19"/>
    <n v="1213319"/>
  </r>
  <r>
    <x v="23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5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6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7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8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0"/>
    <x v="19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1"/>
    <x v="20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2"/>
    <x v="21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3"/>
    <x v="22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4"/>
    <x v="23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5"/>
    <x v="24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6"/>
    <x v="25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7"/>
    <x v="26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8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0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1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2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3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4"/>
    <x v="27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5"/>
    <x v="28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6"/>
    <x v="29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7"/>
    <x v="30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8"/>
    <x v="31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9"/>
    <x v="32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0"/>
    <x v="33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1"/>
    <x v="34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2"/>
    <x v="35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3"/>
    <x v="36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5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6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7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8"/>
    <x v="37"/>
    <x v="2"/>
    <x v="15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0"/>
    <x v="38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1"/>
    <x v="39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2"/>
    <x v="40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3"/>
    <x v="41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5"/>
    <x v="42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6"/>
    <x v="43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7"/>
    <x v="44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8"/>
    <x v="45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0"/>
    <x v="46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1"/>
    <x v="47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2"/>
    <x v="48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3"/>
    <x v="49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5"/>
    <x v="50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6"/>
    <x v="51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7"/>
    <x v="52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8"/>
    <x v="53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0"/>
    <x v="54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1"/>
    <x v="55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2"/>
    <x v="56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3"/>
    <x v="57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5"/>
    <x v="58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6"/>
    <x v="59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7"/>
    <x v="60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8"/>
    <x v="61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0"/>
    <x v="62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1"/>
    <x v="63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2"/>
    <x v="64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3"/>
    <x v="65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5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6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7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8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100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101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D5B9D3-CEFF-4EEE-B185-BD7E6CDDAED1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7" indent="0" compact="0" compactData="0" gridDropZones="1" multipleFieldFilters="0">
  <location ref="B10:AA30" firstHeaderRow="2" firstDataRow="2" firstDataCol="20" rowPageCount="1" colPageCount="1"/>
  <pivotFields count="61">
    <pivotField name="PRIO" axis="axisRow" compact="0" outline="0" showAll="0" defaultSubtotal="0">
      <items count="102"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"/>
        <item x="2"/>
        <item x="0"/>
      </items>
    </pivotField>
    <pivotField name="TRAVAIL" axis="axisRow" compact="0" outline="0" showAll="0" defaultSubtotal="0">
      <items count="66">
        <item x="0"/>
        <item x="1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27"/>
        <item x="28"/>
        <item x="29"/>
        <item x="30"/>
        <item x="31"/>
        <item x="32"/>
        <item x="33"/>
        <item x="34"/>
        <item x="35"/>
        <item x="36"/>
        <item x="8"/>
        <item x="3"/>
        <item x="5"/>
        <item x="14"/>
        <item x="16"/>
        <item x="13"/>
        <item x="15"/>
        <item x="12"/>
        <item x="17"/>
        <item x="19"/>
        <item x="20"/>
        <item x="21"/>
        <item x="22"/>
        <item x="23"/>
        <item x="24"/>
        <item x="25"/>
        <item x="26"/>
        <item x="2"/>
        <item x="6"/>
        <item x="9"/>
        <item x="10"/>
        <item x="11"/>
        <item x="18"/>
        <item x="4"/>
        <item x="7"/>
      </items>
    </pivotField>
    <pivotField axis="axisRow" compact="0" outline="0" showAll="0" defaultSubtotal="0">
      <items count="7">
        <item x="6"/>
        <item x="1"/>
        <item x="4"/>
        <item x="2"/>
        <item x="0"/>
        <item x="5"/>
        <item x="3"/>
      </items>
    </pivotField>
    <pivotField name="LIVRAISON" axis="axisRow" compact="0" outline="0" showAll="0" defaultSubtotal="0">
      <items count="140">
        <item x="1"/>
        <item m="1" x="115"/>
        <item x="11"/>
        <item m="1" x="112"/>
        <item m="1" x="118"/>
        <item m="1" x="91"/>
        <item m="1" x="102"/>
        <item m="1" x="99"/>
        <item m="1" x="128"/>
        <item m="1" x="94"/>
        <item m="1" x="133"/>
        <item m="1" x="88"/>
        <item m="1" x="109"/>
        <item m="1" x="85"/>
        <item m="1" x="134"/>
        <item m="1" x="90"/>
        <item m="1" x="104"/>
        <item m="1" x="98"/>
        <item m="1" x="124"/>
        <item m="1" x="123"/>
        <item m="1" x="116"/>
        <item m="1" x="125"/>
        <item m="1" x="129"/>
        <item m="1" x="95"/>
        <item m="1" x="110"/>
        <item m="1" x="106"/>
        <item m="1" x="96"/>
        <item m="1" x="107"/>
        <item m="1" x="120"/>
        <item m="1" x="87"/>
        <item m="1" x="114"/>
        <item m="1" x="111"/>
        <item m="1" x="86"/>
        <item m="1" x="135"/>
        <item m="1" x="119"/>
        <item x="0"/>
        <item m="1" x="92"/>
        <item m="1" x="122"/>
        <item m="1" x="84"/>
        <item m="1" x="139"/>
        <item m="1" x="131"/>
        <item m="1" x="117"/>
        <item m="1" x="82"/>
        <item m="1" x="103"/>
        <item m="1" x="105"/>
        <item m="1" x="108"/>
        <item m="1" x="89"/>
        <item m="1" x="138"/>
        <item m="1" x="35"/>
        <item m="1" x="113"/>
        <item m="1" x="100"/>
        <item m="1" x="130"/>
        <item m="1" x="24"/>
        <item m="1" x="136"/>
        <item m="1" x="93"/>
        <item m="1" x="127"/>
        <item m="1" x="26"/>
        <item m="1" x="38"/>
        <item m="1" x="132"/>
        <item m="1" x="121"/>
        <item m="1" x="83"/>
        <item m="1" x="65"/>
        <item m="1" x="97"/>
        <item m="1" x="62"/>
        <item m="1" x="56"/>
        <item m="1" x="67"/>
        <item m="1" x="69"/>
        <item m="1" x="58"/>
        <item m="1" x="57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61"/>
        <item m="1" x="55"/>
        <item m="1" x="66"/>
        <item m="1" x="137"/>
        <item m="1" x="101"/>
        <item m="1" x="126"/>
        <item x="15"/>
        <item m="1" x="60"/>
        <item m="1" x="68"/>
        <item m="1" x="64"/>
        <item m="1" x="63"/>
        <item m="1" x="45"/>
        <item x="16"/>
        <item m="1" x="37"/>
        <item m="1" x="50"/>
        <item m="1" x="54"/>
        <item x="14"/>
        <item m="1" x="52"/>
        <item m="1" x="49"/>
        <item m="1" x="46"/>
        <item m="1" x="59"/>
        <item m="1" x="39"/>
        <item m="1" x="40"/>
        <item m="1" x="53"/>
        <item m="1" x="48"/>
        <item m="1" x="47"/>
        <item m="1" x="43"/>
        <item m="1" x="51"/>
        <item m="1" x="29"/>
        <item x="6"/>
        <item m="1" x="44"/>
        <item m="1" x="41"/>
        <item x="2"/>
        <item m="1" x="42"/>
        <item m="1" x="32"/>
        <item m="1" x="22"/>
        <item m="1" x="19"/>
        <item m="1" x="28"/>
        <item m="1" x="20"/>
        <item m="1" x="34"/>
        <item x="9"/>
        <item m="1" x="36"/>
        <item m="1" x="30"/>
        <item m="1" x="33"/>
        <item m="1" x="23"/>
        <item m="1" x="31"/>
        <item m="1" x="27"/>
        <item m="1" x="25"/>
        <item m="1" x="18"/>
        <item x="4"/>
        <item m="1" x="21"/>
        <item x="5"/>
        <item m="1" x="17"/>
        <item x="3"/>
        <item x="8"/>
        <item x="10"/>
        <item x="12"/>
        <item x="13"/>
        <item x="7"/>
      </items>
    </pivotField>
    <pivotField axis="axisPage" compact="0" outline="0" multipleItemSelectionAllowed="1" showAll="0">
      <items count="6">
        <item h="1" x="3"/>
        <item h="1" x="1"/>
        <item x="2"/>
        <item h="1" x="0"/>
        <item h="1"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277">
        <item x="19"/>
        <item x="2"/>
        <item x="1"/>
        <item m="1" x="40"/>
        <item m="1" x="94"/>
        <item m="1" x="120"/>
        <item m="1" x="163"/>
        <item m="1" x="226"/>
        <item m="1" x="233"/>
        <item m="1" x="198"/>
        <item m="1" x="230"/>
        <item m="1" x="234"/>
        <item m="1" x="174"/>
        <item m="1" x="272"/>
        <item m="1" x="215"/>
        <item m="1" x="257"/>
        <item m="1" x="227"/>
        <item m="1" x="213"/>
        <item m="1" x="271"/>
        <item m="1" x="235"/>
        <item m="1" x="261"/>
        <item m="1" x="258"/>
        <item m="1" x="185"/>
        <item m="1" x="242"/>
        <item m="1" x="131"/>
        <item m="1" x="159"/>
        <item m="1" x="274"/>
        <item m="1" x="160"/>
        <item m="1" x="186"/>
        <item m="1" x="243"/>
        <item m="1" x="229"/>
        <item m="1" x="95"/>
        <item m="1" x="246"/>
        <item m="1" x="250"/>
        <item m="1" x="236"/>
        <item m="1" x="57"/>
        <item m="1" x="218"/>
        <item m="1" x="217"/>
        <item m="1" x="232"/>
        <item m="1" x="259"/>
        <item m="1" x="221"/>
        <item m="1" x="270"/>
        <item m="1" x="244"/>
        <item m="1" x="265"/>
        <item m="1" x="275"/>
        <item m="1" x="214"/>
        <item m="1" x="276"/>
        <item m="1" x="267"/>
        <item m="1" x="248"/>
        <item m="1" x="269"/>
        <item m="1" x="238"/>
        <item x="0"/>
        <item m="1" x="210"/>
        <item m="1" x="148"/>
        <item m="1" x="84"/>
        <item m="1" x="72"/>
        <item m="1" x="237"/>
        <item m="1" x="252"/>
        <item m="1" x="241"/>
        <item m="1" x="231"/>
        <item m="1" x="251"/>
        <item m="1" x="223"/>
        <item m="1" x="111"/>
        <item m="1" x="37"/>
        <item m="1" x="260"/>
        <item m="1" x="249"/>
        <item m="1" x="97"/>
        <item m="1" x="225"/>
        <item m="1" x="220"/>
        <item m="1" x="212"/>
        <item m="1" x="193"/>
        <item m="1" x="253"/>
        <item m="1" x="142"/>
        <item m="1" x="177"/>
        <item m="1" x="263"/>
        <item x="3"/>
        <item m="1" x="240"/>
        <item m="1" x="256"/>
        <item m="1" x="273"/>
        <item m="1" x="247"/>
        <item m="1" x="38"/>
        <item m="1" x="179"/>
        <item m="1" x="228"/>
        <item m="1" x="268"/>
        <item m="1" x="239"/>
        <item m="1" x="219"/>
        <item m="1" x="209"/>
        <item m="1" x="164"/>
        <item m="1" x="262"/>
        <item m="1" x="222"/>
        <item m="1" x="201"/>
        <item m="1" x="200"/>
        <item m="1" x="224"/>
        <item m="1" x="245"/>
        <item m="1" x="168"/>
        <item m="1" x="264"/>
        <item m="1" x="216"/>
        <item m="1" x="130"/>
        <item m="1" x="254"/>
        <item m="1" x="202"/>
        <item m="1" x="266"/>
        <item m="1" x="197"/>
        <item m="1" x="255"/>
        <item m="1" x="175"/>
        <item m="1" x="116"/>
        <item m="1" x="178"/>
        <item m="1" x="211"/>
        <item m="1" x="207"/>
        <item m="1" x="208"/>
        <item m="1" x="195"/>
        <item m="1" x="206"/>
        <item m="1" x="170"/>
        <item m="1" x="77"/>
        <item m="1" x="205"/>
        <item m="1" x="203"/>
        <item m="1" x="204"/>
        <item m="1" x="56"/>
        <item m="1" x="39"/>
        <item m="1" x="199"/>
        <item m="1" x="23"/>
        <item m="1" x="115"/>
        <item m="1" x="194"/>
        <item m="1" x="196"/>
        <item m="1" x="80"/>
        <item m="1" x="51"/>
        <item x="9"/>
        <item m="1" x="52"/>
        <item x="10"/>
        <item x="11"/>
        <item m="1" x="50"/>
        <item m="1" x="22"/>
        <item m="1" x="189"/>
        <item m="1" x="190"/>
        <item m="1" x="191"/>
        <item m="1" x="192"/>
        <item m="1" x="181"/>
        <item m="1" x="187"/>
        <item m="1" x="188"/>
        <item m="1" x="183"/>
        <item m="1" x="182"/>
        <item m="1" x="180"/>
        <item m="1" x="43"/>
        <item m="1" x="107"/>
        <item m="1" x="184"/>
        <item m="1" x="99"/>
        <item m="1" x="58"/>
        <item m="1" x="31"/>
        <item m="1" x="135"/>
        <item m="1" x="176"/>
        <item m="1" x="119"/>
        <item m="1" x="88"/>
        <item m="1" x="171"/>
        <item m="1" x="172"/>
        <item m="1" x="173"/>
        <item m="1" x="28"/>
        <item x="12"/>
        <item m="1" x="165"/>
        <item m="1" x="169"/>
        <item m="1" x="166"/>
        <item m="1" x="167"/>
        <item m="1" x="151"/>
        <item m="1" x="133"/>
        <item m="1" x="152"/>
        <item m="1" x="53"/>
        <item m="1" x="153"/>
        <item m="1" x="140"/>
        <item m="1" x="146"/>
        <item m="1" x="154"/>
        <item m="1" x="155"/>
        <item m="1" x="156"/>
        <item m="1" x="157"/>
        <item m="1" x="36"/>
        <item m="1" x="158"/>
        <item m="1" x="161"/>
        <item m="1" x="162"/>
        <item m="1" x="150"/>
        <item m="1" x="82"/>
        <item m="1" x="41"/>
        <item m="1" x="149"/>
        <item m="1" x="85"/>
        <item m="1" x="55"/>
        <item m="1" x="138"/>
        <item m="1" x="141"/>
        <item m="1" x="127"/>
        <item m="1" x="147"/>
        <item m="1" x="143"/>
        <item m="1" x="144"/>
        <item m="1" x="145"/>
        <item m="1" x="74"/>
        <item m="1" x="62"/>
        <item m="1" x="139"/>
        <item x="20"/>
        <item m="1" x="75"/>
        <item m="1" x="137"/>
        <item m="1" x="89"/>
        <item m="1" x="136"/>
        <item m="1" x="132"/>
        <item m="1" x="121"/>
        <item m="1" x="134"/>
        <item m="1" x="125"/>
        <item m="1" x="126"/>
        <item m="1" x="128"/>
        <item m="1" x="118"/>
        <item m="1" x="122"/>
        <item m="1" x="129"/>
        <item m="1" x="101"/>
        <item m="1" x="117"/>
        <item m="1" x="123"/>
        <item m="1" x="124"/>
        <item m="1" x="47"/>
        <item m="1" x="112"/>
        <item x="8"/>
        <item m="1" x="113"/>
        <item m="1" x="114"/>
        <item m="1" x="98"/>
        <item m="1" x="110"/>
        <item m="1" x="100"/>
        <item m="1" x="102"/>
        <item m="1" x="48"/>
        <item m="1" x="104"/>
        <item m="1" x="105"/>
        <item m="1" x="106"/>
        <item m="1" x="108"/>
        <item m="1" x="109"/>
        <item m="1" x="103"/>
        <item m="1" x="93"/>
        <item m="1" x="87"/>
        <item m="1" x="96"/>
        <item m="1" x="46"/>
        <item m="1" x="90"/>
        <item m="1" x="91"/>
        <item m="1" x="42"/>
        <item m="1" x="92"/>
        <item m="1" x="76"/>
        <item m="1" x="67"/>
        <item m="1" x="45"/>
        <item m="1" x="86"/>
        <item m="1" x="83"/>
        <item m="1" x="59"/>
        <item m="1" x="81"/>
        <item m="1" x="78"/>
        <item m="1" x="79"/>
        <item m="1" x="73"/>
        <item m="1" x="69"/>
        <item m="1" x="70"/>
        <item m="1" x="71"/>
        <item m="1" x="27"/>
        <item m="1" x="66"/>
        <item m="1" x="63"/>
        <item m="1" x="68"/>
        <item m="1" x="61"/>
        <item m="1" x="64"/>
        <item m="1" x="65"/>
        <item m="1" x="54"/>
        <item x="16"/>
        <item m="1" x="60"/>
        <item m="1" x="49"/>
        <item m="1" x="44"/>
        <item m="1" x="32"/>
        <item m="1" x="33"/>
        <item m="1" x="34"/>
        <item m="1" x="35"/>
        <item m="1" x="30"/>
        <item x="15"/>
        <item x="7"/>
        <item m="1" x="29"/>
        <item m="1" x="24"/>
        <item m="1" x="25"/>
        <item m="1" x="26"/>
        <item x="4"/>
        <item x="5"/>
        <item x="6"/>
        <item x="13"/>
        <item x="14"/>
        <item x="17"/>
        <item x="18"/>
        <item x="21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479">
        <item x="19"/>
        <item x="1"/>
        <item m="1" x="439"/>
        <item m="1" x="443"/>
        <item m="1" x="371"/>
        <item m="1" x="441"/>
        <item m="1" x="403"/>
        <item m="1" x="402"/>
        <item m="1" x="396"/>
        <item m="1" x="376"/>
        <item m="1" x="391"/>
        <item m="1" x="384"/>
        <item m="1" x="426"/>
        <item m="1" x="359"/>
        <item m="1" x="476"/>
        <item m="1" x="410"/>
        <item m="1" x="378"/>
        <item m="1" x="404"/>
        <item m="1" x="477"/>
        <item m="1" x="412"/>
        <item m="1" x="400"/>
        <item m="1" x="449"/>
        <item m="1" x="419"/>
        <item m="1" x="392"/>
        <item m="1" x="469"/>
        <item m="1" x="385"/>
        <item m="1" x="435"/>
        <item m="1" x="465"/>
        <item m="1" x="432"/>
        <item m="1" x="442"/>
        <item m="1" x="453"/>
        <item m="1" x="444"/>
        <item m="1" x="445"/>
        <item m="1" x="427"/>
        <item m="1" x="437"/>
        <item m="1" x="383"/>
        <item m="1" x="405"/>
        <item m="1" x="471"/>
        <item m="1" x="417"/>
        <item m="1" x="398"/>
        <item m="1" x="456"/>
        <item m="1" x="459"/>
        <item m="1" x="460"/>
        <item m="1" x="473"/>
        <item m="1" x="401"/>
        <item m="1" x="399"/>
        <item m="1" x="394"/>
        <item m="1" x="424"/>
        <item m="1" x="428"/>
        <item m="1" x="451"/>
        <item m="1" x="379"/>
        <item m="1" x="381"/>
        <item m="1" x="452"/>
        <item m="1" x="375"/>
        <item m="1" x="457"/>
        <item m="1" x="406"/>
        <item m="1" x="395"/>
        <item x="0"/>
        <item m="1" x="450"/>
        <item m="1" x="423"/>
        <item m="1" x="462"/>
        <item m="1" x="455"/>
        <item m="1" x="421"/>
        <item m="1" x="475"/>
        <item m="1" x="436"/>
        <item m="1" x="368"/>
        <item m="1" x="458"/>
        <item m="1" x="389"/>
        <item m="1" x="388"/>
        <item m="1" x="438"/>
        <item m="1" x="370"/>
        <item m="1" x="387"/>
        <item m="1" x="409"/>
        <item m="1" x="422"/>
        <item m="1" x="420"/>
        <item m="1" x="431"/>
        <item m="1" x="382"/>
        <item m="1" x="416"/>
        <item m="1" x="463"/>
        <item m="1" x="393"/>
        <item m="1" x="433"/>
        <item m="1" x="474"/>
        <item m="1" x="440"/>
        <item m="1" x="411"/>
        <item m="1" x="461"/>
        <item m="1" x="374"/>
        <item m="1" x="414"/>
        <item m="1" x="408"/>
        <item m="1" x="464"/>
        <item m="1" x="397"/>
        <item m="1" x="425"/>
        <item m="1" x="380"/>
        <item m="1" x="434"/>
        <item m="1" x="418"/>
        <item m="1" x="468"/>
        <item m="1" x="430"/>
        <item m="1" x="386"/>
        <item m="1" x="373"/>
        <item m="1" x="377"/>
        <item m="1" x="280"/>
        <item m="1" x="467"/>
        <item m="1" x="478"/>
        <item m="1" x="407"/>
        <item m="1" x="429"/>
        <item m="1" x="363"/>
        <item m="1" x="364"/>
        <item m="1" x="472"/>
        <item m="1" x="447"/>
        <item m="1" x="347"/>
        <item m="1" x="346"/>
        <item m="1" x="369"/>
        <item m="1" x="415"/>
        <item m="1" x="362"/>
        <item m="1" x="413"/>
        <item m="1" x="470"/>
        <item m="1" x="390"/>
        <item m="1" x="349"/>
        <item m="1" x="446"/>
        <item m="1" x="348"/>
        <item m="1" x="454"/>
        <item m="1" x="448"/>
        <item m="1" x="341"/>
        <item m="1" x="466"/>
        <item m="1" x="372"/>
        <item m="1" x="287"/>
        <item m="1" x="286"/>
        <item m="1" x="285"/>
        <item m="1" x="361"/>
        <item m="1" x="365"/>
        <item m="1" x="366"/>
        <item m="1" x="367"/>
        <item m="1" x="357"/>
        <item m="1" x="358"/>
        <item m="1" x="360"/>
        <item m="1" x="356"/>
        <item m="1" x="355"/>
        <item m="1" x="353"/>
        <item m="1" x="354"/>
        <item m="1" x="350"/>
        <item m="1" x="351"/>
        <item m="1" x="352"/>
        <item m="1" x="88"/>
        <item m="1" x="342"/>
        <item m="1" x="343"/>
        <item m="1" x="344"/>
        <item m="1" x="345"/>
        <item m="1" x="335"/>
        <item m="1" x="336"/>
        <item m="1" x="330"/>
        <item m="1" x="337"/>
        <item m="1" x="338"/>
        <item m="1" x="339"/>
        <item m="1" x="340"/>
        <item m="1" x="327"/>
        <item m="1" x="328"/>
        <item m="1" x="329"/>
        <item m="1" x="322"/>
        <item m="1" x="331"/>
        <item m="1" x="332"/>
        <item m="1" x="333"/>
        <item m="1" x="334"/>
        <item m="1" x="58"/>
        <item x="9"/>
        <item m="1" x="59"/>
        <item x="10"/>
        <item x="11"/>
        <item m="1" x="319"/>
        <item m="1" x="320"/>
        <item m="1" x="321"/>
        <item m="1" x="323"/>
        <item m="1" x="324"/>
        <item m="1" x="325"/>
        <item m="1" x="326"/>
        <item m="1" x="312"/>
        <item m="1" x="318"/>
        <item m="1" x="317"/>
        <item m="1" x="313"/>
        <item m="1" x="314"/>
        <item m="1" x="316"/>
        <item m="1" x="283"/>
        <item m="1" x="311"/>
        <item m="1" x="315"/>
        <item m="1" x="264"/>
        <item m="1" x="288"/>
        <item m="1" x="281"/>
        <item m="1" x="282"/>
        <item m="1" x="284"/>
        <item m="1" x="272"/>
        <item m="1" x="289"/>
        <item m="1" x="290"/>
        <item m="1" x="291"/>
        <item m="1" x="292"/>
        <item m="1" x="129"/>
        <item m="1" x="293"/>
        <item m="1" x="294"/>
        <item m="1" x="295"/>
        <item m="1" x="296"/>
        <item m="1" x="297"/>
        <item m="1" x="298"/>
        <item m="1" x="299"/>
        <item m="1" x="124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190"/>
        <item m="1" x="275"/>
        <item m="1" x="276"/>
        <item m="1" x="277"/>
        <item m="1" x="278"/>
        <item m="1" x="279"/>
        <item m="1" x="273"/>
        <item m="1" x="274"/>
        <item m="1" x="266"/>
        <item m="1" x="267"/>
        <item m="1" x="268"/>
        <item m="1" x="269"/>
        <item m="1" x="270"/>
        <item m="1" x="271"/>
        <item m="1" x="256"/>
        <item m="1" x="257"/>
        <item m="1" x="258"/>
        <item m="1" x="259"/>
        <item m="1" x="260"/>
        <item m="1" x="261"/>
        <item m="1" x="265"/>
        <item m="1" x="262"/>
        <item m="1" x="263"/>
        <item m="1" x="255"/>
        <item m="1" x="236"/>
        <item m="1" x="237"/>
        <item m="1" x="238"/>
        <item m="1" x="239"/>
        <item m="1" x="240"/>
        <item m="1" x="241"/>
        <item m="1" x="225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33"/>
        <item m="1" x="222"/>
        <item m="1" x="234"/>
        <item m="1" x="235"/>
        <item m="1" x="230"/>
        <item m="1" x="231"/>
        <item m="1" x="232"/>
        <item m="1" x="221"/>
        <item m="1" x="223"/>
        <item m="1" x="224"/>
        <item m="1" x="226"/>
        <item m="1" x="204"/>
        <item m="1" x="213"/>
        <item m="1" x="214"/>
        <item m="1" x="227"/>
        <item m="1" x="228"/>
        <item m="1" x="229"/>
        <item m="1" x="215"/>
        <item m="1" x="216"/>
        <item m="1" x="217"/>
        <item m="1" x="218"/>
        <item m="1" x="219"/>
        <item m="1" x="220"/>
        <item m="1" x="212"/>
        <item m="1" x="209"/>
        <item m="1" x="210"/>
        <item m="1" x="211"/>
        <item m="1" x="192"/>
        <item m="1" x="206"/>
        <item m="1" x="207"/>
        <item m="1" x="208"/>
        <item m="1" x="205"/>
        <item m="1" x="193"/>
        <item m="1" x="179"/>
        <item m="1" x="203"/>
        <item m="1" x="195"/>
        <item m="1" x="196"/>
        <item m="1" x="197"/>
        <item m="1" x="200"/>
        <item m="1" x="201"/>
        <item m="1" x="202"/>
        <item m="1" x="198"/>
        <item m="1" x="199"/>
        <item m="1" x="189"/>
        <item m="1" x="194"/>
        <item m="1" x="159"/>
        <item m="1" x="191"/>
        <item m="1" x="186"/>
        <item m="1" x="187"/>
        <item m="1" x="188"/>
        <item m="1" x="168"/>
        <item m="1" x="169"/>
        <item m="1" x="170"/>
        <item m="1" x="171"/>
        <item m="1" x="180"/>
        <item m="1" x="182"/>
        <item m="1" x="183"/>
        <item m="1" x="185"/>
        <item m="1" x="165"/>
        <item m="1" x="166"/>
        <item m="1" x="167"/>
        <item m="1" x="181"/>
        <item m="1" x="184"/>
        <item m="1" x="178"/>
        <item m="1" x="172"/>
        <item m="1" x="173"/>
        <item m="1" x="174"/>
        <item m="1" x="175"/>
        <item m="1" x="155"/>
        <item m="1" x="176"/>
        <item m="1" x="160"/>
        <item m="1" x="177"/>
        <item m="1" x="131"/>
        <item m="1" x="153"/>
        <item m="1" x="154"/>
        <item m="1" x="156"/>
        <item m="1" x="157"/>
        <item m="1" x="158"/>
        <item m="1" x="161"/>
        <item m="1" x="162"/>
        <item m="1" x="54"/>
        <item m="1" x="163"/>
        <item m="1" x="164"/>
        <item m="1" x="145"/>
        <item m="1" x="146"/>
        <item m="1" x="147"/>
        <item m="1" x="148"/>
        <item m="1" x="152"/>
        <item m="1" x="149"/>
        <item m="1" x="150"/>
        <item m="1" x="151"/>
        <item m="1" x="128"/>
        <item m="1" x="143"/>
        <item m="1" x="130"/>
        <item m="1" x="144"/>
        <item m="1" x="55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32"/>
        <item m="1" x="133"/>
        <item m="1" x="125"/>
        <item m="1" x="126"/>
        <item m="1" x="127"/>
        <item m="1" x="119"/>
        <item m="1" x="120"/>
        <item m="1" x="121"/>
        <item m="1" x="122"/>
        <item m="1" x="123"/>
        <item m="1" x="110"/>
        <item m="1" x="53"/>
        <item m="1" x="112"/>
        <item m="1" x="113"/>
        <item m="1" x="114"/>
        <item m="1" x="115"/>
        <item m="1" x="65"/>
        <item m="1" x="116"/>
        <item m="1" x="117"/>
        <item m="1" x="118"/>
        <item m="1" x="89"/>
        <item m="1" x="79"/>
        <item m="1" x="111"/>
        <item m="1" x="52"/>
        <item m="1" x="93"/>
        <item m="1" x="105"/>
        <item m="1" x="106"/>
        <item m="1" x="107"/>
        <item m="1" x="108"/>
        <item m="1" x="104"/>
        <item m="1" x="109"/>
        <item m="1" x="98"/>
        <item m="1" x="100"/>
        <item m="1" x="101"/>
        <item m="1" x="102"/>
        <item m="1" x="103"/>
        <item m="1" x="99"/>
        <item m="1" x="69"/>
        <item m="1" x="94"/>
        <item m="1" x="95"/>
        <item m="1" x="96"/>
        <item m="1" x="97"/>
        <item m="1" x="68"/>
        <item m="1" x="71"/>
        <item m="1" x="90"/>
        <item m="1" x="91"/>
        <item m="1" x="86"/>
        <item m="1" x="92"/>
        <item m="1" x="84"/>
        <item m="1" x="85"/>
        <item m="1" x="87"/>
        <item m="1" x="81"/>
        <item m="1" x="82"/>
        <item m="1" x="66"/>
        <item m="1" x="83"/>
        <item m="1" x="57"/>
        <item m="1" x="51"/>
        <item m="1" x="77"/>
        <item m="1" x="78"/>
        <item m="1" x="74"/>
        <item m="1" x="80"/>
        <item m="1" x="72"/>
        <item m="1" x="73"/>
        <item m="1" x="75"/>
        <item m="1" x="76"/>
        <item m="1" x="62"/>
        <item m="1" x="63"/>
        <item m="1" x="64"/>
        <item m="1" x="67"/>
        <item m="1" x="70"/>
        <item m="1" x="60"/>
        <item m="1" x="47"/>
        <item m="1" x="48"/>
        <item m="1" x="61"/>
        <item m="1" x="56"/>
        <item m="1" x="50"/>
        <item m="1" x="49"/>
        <item m="1" x="40"/>
        <item m="1" x="41"/>
        <item m="1" x="42"/>
        <item m="1" x="43"/>
        <item m="1" x="44"/>
        <item m="1" x="34"/>
        <item m="1" x="35"/>
        <item m="1" x="36"/>
        <item m="1" x="45"/>
        <item m="1" x="46"/>
        <item m="1" x="31"/>
        <item x="15"/>
        <item x="7"/>
        <item m="1" x="39"/>
        <item m="1" x="30"/>
        <item m="1" x="32"/>
        <item x="3"/>
        <item m="1" x="23"/>
        <item m="1" x="24"/>
        <item m="1" x="33"/>
        <item m="1" x="37"/>
        <item m="1" x="38"/>
        <item m="1" x="25"/>
        <item m="1" x="26"/>
        <item m="1" x="27"/>
        <item m="1" x="28"/>
        <item m="1" x="29"/>
        <item x="12"/>
        <item x="4"/>
        <item x="5"/>
        <item x="6"/>
        <item x="8"/>
        <item x="13"/>
        <item x="14"/>
        <item m="1" x="22"/>
        <item x="17"/>
        <item x="18"/>
        <item x="20"/>
        <item x="21"/>
        <item x="16"/>
        <item x="2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name="FIN PL+ " compact="0" outline="0" showAll="0" defaultSubtotal="0">
      <items count="501">
        <item x="1"/>
        <item x="3"/>
        <item x="0"/>
        <item m="1" x="457"/>
        <item m="1" x="483"/>
        <item m="1" x="391"/>
        <item m="1" x="386"/>
        <item m="1" x="473"/>
        <item m="1" x="382"/>
        <item m="1" x="358"/>
        <item m="1" x="396"/>
        <item m="1" x="407"/>
        <item m="1" x="419"/>
        <item m="1" x="410"/>
        <item m="1" x="489"/>
        <item m="1" x="397"/>
        <item m="1" x="466"/>
        <item m="1" x="351"/>
        <item m="1" x="447"/>
        <item m="1" x="357"/>
        <item m="1" x="420"/>
        <item m="1" x="464"/>
        <item m="1" x="375"/>
        <item m="1" x="400"/>
        <item m="1" x="355"/>
        <item m="1" x="383"/>
        <item m="1" x="424"/>
        <item m="1" x="467"/>
        <item m="1" x="443"/>
        <item m="1" x="415"/>
        <item m="1" x="389"/>
        <item m="1" x="475"/>
        <item m="1" x="426"/>
        <item m="1" x="378"/>
        <item m="1" x="368"/>
        <item m="1" x="451"/>
        <item m="1" x="361"/>
        <item m="1" x="490"/>
        <item m="1" x="377"/>
        <item m="1" x="444"/>
        <item m="1" x="485"/>
        <item m="1" x="345"/>
        <item m="1" x="408"/>
        <item m="1" x="479"/>
        <item x="2"/>
        <item m="1" x="366"/>
        <item m="1" x="461"/>
        <item m="1" x="402"/>
        <item m="1" x="449"/>
        <item m="1" x="356"/>
        <item m="1" x="347"/>
        <item m="1" x="423"/>
        <item m="1" x="380"/>
        <item m="1" x="492"/>
        <item m="1" x="474"/>
        <item m="1" x="360"/>
        <item m="1" x="376"/>
        <item m="1" x="352"/>
        <item m="1" x="404"/>
        <item m="1" x="384"/>
        <item m="1" x="470"/>
        <item m="1" x="459"/>
        <item m="1" x="425"/>
        <item m="1" x="416"/>
        <item m="1" x="436"/>
        <item m="1" x="435"/>
        <item m="1" x="421"/>
        <item m="1" x="488"/>
        <item m="1" x="434"/>
        <item m="1" x="455"/>
        <item m="1" x="364"/>
        <item m="1" x="427"/>
        <item m="1" x="469"/>
        <item m="1" x="343"/>
        <item m="1" x="478"/>
        <item m="1" x="428"/>
        <item m="1" x="494"/>
        <item m="1" x="480"/>
        <item m="1" x="359"/>
        <item m="1" x="392"/>
        <item m="1" x="471"/>
        <item m="1" x="411"/>
        <item m="1" x="460"/>
        <item m="1" x="369"/>
        <item m="1" x="431"/>
        <item m="1" x="497"/>
        <item m="1" x="403"/>
        <item m="1" x="372"/>
        <item m="1" x="344"/>
        <item m="1" x="395"/>
        <item m="1" x="481"/>
        <item m="1" x="432"/>
        <item m="1" x="498"/>
        <item m="1" x="401"/>
        <item m="1" x="418"/>
        <item m="1" x="430"/>
        <item m="1" x="373"/>
        <item m="1" x="350"/>
        <item m="1" x="482"/>
        <item m="1" x="370"/>
        <item m="1" x="499"/>
        <item m="1" x="450"/>
        <item m="1" x="441"/>
        <item m="1" x="433"/>
        <item m="1" x="399"/>
        <item m="1" x="465"/>
        <item m="1" x="394"/>
        <item m="1" x="414"/>
        <item m="1" x="484"/>
        <item m="1" x="462"/>
        <item m="1" x="440"/>
        <item m="1" x="348"/>
        <item m="1" x="367"/>
        <item m="1" x="412"/>
        <item m="1" x="353"/>
        <item m="1" x="442"/>
        <item m="1" x="458"/>
        <item m="1" x="463"/>
        <item m="1" x="349"/>
        <item m="1" x="413"/>
        <item m="1" x="439"/>
        <item m="1" x="496"/>
        <item m="1" x="491"/>
        <item m="1" x="487"/>
        <item m="1" x="365"/>
        <item m="1" x="405"/>
        <item m="1" x="453"/>
        <item m="1" x="500"/>
        <item m="1" x="385"/>
        <item m="1" x="454"/>
        <item m="1" x="379"/>
        <item m="1" x="437"/>
        <item m="1" x="346"/>
        <item m="1" x="409"/>
        <item m="1" x="338"/>
        <item m="1" x="340"/>
        <item m="1" x="333"/>
        <item m="1" x="438"/>
        <item m="1" x="305"/>
        <item m="1" x="456"/>
        <item m="1" x="300"/>
        <item m="1" x="325"/>
        <item m="1" x="335"/>
        <item m="1" x="312"/>
        <item m="1" x="326"/>
        <item m="1" x="337"/>
        <item m="1" x="302"/>
        <item m="1" x="293"/>
        <item m="1" x="267"/>
        <item m="1" x="261"/>
        <item m="1" x="262"/>
        <item m="1" x="264"/>
        <item m="1" x="388"/>
        <item m="1" x="269"/>
        <item m="1" x="251"/>
        <item m="1" x="252"/>
        <item m="1" x="254"/>
        <item m="1" x="257"/>
        <item m="1" x="477"/>
        <item m="1" x="363"/>
        <item m="1" x="327"/>
        <item m="1" x="247"/>
        <item m="1" x="246"/>
        <item m="1" x="250"/>
        <item m="1" x="260"/>
        <item m="1" x="237"/>
        <item m="1" x="242"/>
        <item m="1" x="243"/>
        <item m="1" x="238"/>
        <item m="1" x="230"/>
        <item m="1" x="231"/>
        <item m="1" x="233"/>
        <item m="1" x="235"/>
        <item m="1" x="406"/>
        <item m="1" x="493"/>
        <item m="1" x="446"/>
        <item m="1" x="387"/>
        <item m="1" x="472"/>
        <item m="1" x="329"/>
        <item m="1" x="317"/>
        <item m="1" x="362"/>
        <item m="1" x="398"/>
        <item m="1" x="417"/>
        <item m="1" x="393"/>
        <item m="1" x="339"/>
        <item m="1" x="390"/>
        <item m="1" x="445"/>
        <item m="1" x="314"/>
        <item m="1" x="308"/>
        <item m="1" x="316"/>
        <item m="1" x="448"/>
        <item m="1" x="284"/>
        <item m="1" x="273"/>
        <item m="1" x="286"/>
        <item m="1" x="354"/>
        <item m="1" x="334"/>
        <item m="1" x="476"/>
        <item m="1" x="381"/>
        <item m="1" x="371"/>
        <item m="1" x="322"/>
        <item m="1" x="315"/>
        <item m="1" x="331"/>
        <item m="1" x="324"/>
        <item m="1" x="310"/>
        <item m="1" x="301"/>
        <item m="1" x="263"/>
        <item m="1" x="330"/>
        <item m="1" x="320"/>
        <item m="1" x="486"/>
        <item m="1" x="319"/>
        <item m="1" x="306"/>
        <item m="1" x="374"/>
        <item m="1" x="468"/>
        <item m="1" x="342"/>
        <item m="1" x="422"/>
        <item m="1" x="275"/>
        <item m="1" x="272"/>
        <item m="1" x="303"/>
        <item m="1" x="259"/>
        <item m="1" x="307"/>
        <item m="1" x="291"/>
        <item m="1" x="287"/>
        <item m="1" x="332"/>
        <item m="1" x="268"/>
        <item m="1" x="328"/>
        <item m="1" x="292"/>
        <item m="1" x="452"/>
        <item m="1" x="495"/>
        <item m="1" x="321"/>
        <item m="1" x="429"/>
        <item m="1" x="341"/>
        <item m="1" x="311"/>
        <item m="1" x="271"/>
        <item m="1" x="266"/>
        <item m="1" x="323"/>
        <item m="1" x="309"/>
        <item m="1" x="318"/>
        <item m="1" x="285"/>
        <item m="1" x="313"/>
        <item m="1" x="253"/>
        <item m="1" x="336"/>
        <item m="1" x="256"/>
        <item m="1" x="304"/>
        <item m="1" x="296"/>
        <item m="1" x="276"/>
        <item m="1" x="249"/>
        <item m="1" x="228"/>
        <item m="1" x="239"/>
        <item m="1" x="232"/>
        <item m="1" x="244"/>
        <item m="1" x="288"/>
        <item m="1" x="295"/>
        <item m="1" x="215"/>
        <item m="1" x="297"/>
        <item m="1" x="216"/>
        <item m="1" x="226"/>
        <item m="1" x="213"/>
        <item m="1" x="194"/>
        <item m="1" x="298"/>
        <item m="1" x="210"/>
        <item m="1" x="197"/>
        <item m="1" x="299"/>
        <item m="1" x="294"/>
        <item m="1" x="240"/>
        <item m="1" x="248"/>
        <item m="1" x="236"/>
        <item m="1" x="289"/>
        <item m="1" x="290"/>
        <item m="1" x="274"/>
        <item m="1" x="255"/>
        <item m="1" x="220"/>
        <item m="1" x="221"/>
        <item m="1" x="277"/>
        <item m="1" x="222"/>
        <item m="1" x="265"/>
        <item m="1" x="278"/>
        <item m="1" x="193"/>
        <item m="1" x="279"/>
        <item m="1" x="280"/>
        <item m="1" x="169"/>
        <item m="1" x="158"/>
        <item m="1" x="162"/>
        <item m="1" x="154"/>
        <item m="1" x="281"/>
        <item m="1" x="282"/>
        <item m="1" x="283"/>
        <item m="1" x="79"/>
        <item m="1" x="97"/>
        <item m="1" x="82"/>
        <item m="1" x="84"/>
        <item m="1" x="270"/>
        <item m="1" x="241"/>
        <item m="1" x="258"/>
        <item m="1" x="229"/>
        <item m="1" x="245"/>
        <item m="1" x="234"/>
        <item m="1" x="225"/>
        <item m="1" x="224"/>
        <item m="1" x="214"/>
        <item m="1" x="223"/>
        <item m="1" x="217"/>
        <item m="1" x="227"/>
        <item m="1" x="211"/>
        <item m="1" x="218"/>
        <item m="1" x="205"/>
        <item m="1" x="219"/>
        <item m="1" x="200"/>
        <item m="1" x="201"/>
        <item m="1" x="203"/>
        <item m="1" x="204"/>
        <item m="1" x="212"/>
        <item m="1" x="207"/>
        <item m="1" x="192"/>
        <item m="1" x="209"/>
        <item m="1" x="206"/>
        <item m="1" x="208"/>
        <item m="1" x="198"/>
        <item m="1" x="199"/>
        <item m="1" x="202"/>
        <item m="1" x="195"/>
        <item m="1" x="196"/>
        <item m="1" x="182"/>
        <item m="1" x="183"/>
        <item m="1" x="184"/>
        <item m="1" x="185"/>
        <item m="1" x="186"/>
        <item m="1" x="187"/>
        <item m="1" x="188"/>
        <item m="1" x="189"/>
        <item m="1" x="191"/>
        <item m="1" x="138"/>
        <item m="1" x="107"/>
        <item m="1" x="190"/>
        <item m="1" x="150"/>
        <item m="1" x="180"/>
        <item m="1" x="181"/>
        <item m="1" x="179"/>
        <item m="1" x="172"/>
        <item m="1" x="177"/>
        <item m="1" x="173"/>
        <item m="1" x="176"/>
        <item m="1" x="133"/>
        <item m="1" x="175"/>
        <item m="1" x="178"/>
        <item m="1" x="134"/>
        <item m="1" x="117"/>
        <item m="1" x="135"/>
        <item m="1" x="113"/>
        <item m="1" x="141"/>
        <item m="1" x="64"/>
        <item m="1" x="103"/>
        <item m="1" x="155"/>
        <item m="1" x="174"/>
        <item m="1" x="151"/>
        <item m="1" x="108"/>
        <item m="1" x="144"/>
        <item m="1" x="143"/>
        <item m="1" x="137"/>
        <item m="1" x="127"/>
        <item m="1" x="86"/>
        <item m="1" x="98"/>
        <item m="1" x="170"/>
        <item m="1" x="77"/>
        <item m="1" x="171"/>
        <item m="1" x="159"/>
        <item m="1" x="160"/>
        <item m="1" x="161"/>
        <item m="1" x="168"/>
        <item m="1" x="145"/>
        <item m="1" x="96"/>
        <item m="1" x="89"/>
        <item m="1" x="167"/>
        <item m="1" x="70"/>
        <item m="1" x="94"/>
        <item m="1" x="163"/>
        <item m="1" x="164"/>
        <item m="1" x="165"/>
        <item m="1" x="166"/>
        <item m="1" x="57"/>
        <item m="1" x="152"/>
        <item m="1" x="153"/>
        <item m="1" x="118"/>
        <item m="1" x="74"/>
        <item m="1" x="100"/>
        <item m="1" x="102"/>
        <item m="1" x="156"/>
        <item m="1" x="157"/>
        <item m="1" x="148"/>
        <item m="1" x="110"/>
        <item m="1" x="142"/>
        <item m="1" x="109"/>
        <item m="1" x="73"/>
        <item m="1" x="76"/>
        <item m="1" x="149"/>
        <item m="1" x="111"/>
        <item m="1" x="140"/>
        <item m="1" x="119"/>
        <item m="1" x="146"/>
        <item m="1" x="147"/>
        <item m="1" x="136"/>
        <item m="1" x="124"/>
        <item m="1" x="139"/>
        <item m="1" x="130"/>
        <item m="1" x="121"/>
        <item m="1" x="122"/>
        <item m="1" x="116"/>
        <item m="1" x="132"/>
        <item m="1" x="69"/>
        <item m="1" x="131"/>
        <item m="1" x="99"/>
        <item m="1" x="115"/>
        <item m="1" x="126"/>
        <item m="1" x="128"/>
        <item m="1" x="129"/>
        <item m="1" x="88"/>
        <item m="1" x="90"/>
        <item m="1" x="101"/>
        <item m="1" x="123"/>
        <item m="1" x="125"/>
        <item m="1" x="75"/>
        <item m="1" x="83"/>
        <item m="1" x="120"/>
        <item m="1" x="65"/>
        <item m="1" x="85"/>
        <item m="1" x="112"/>
        <item m="1" x="114"/>
        <item m="1" x="68"/>
        <item m="1" x="93"/>
        <item m="1" x="80"/>
        <item m="1" x="78"/>
        <item m="1" x="104"/>
        <item m="1" x="105"/>
        <item m="1" x="106"/>
        <item m="1" x="87"/>
        <item m="1" x="81"/>
        <item m="1" x="91"/>
        <item m="1" x="92"/>
        <item m="1" x="95"/>
        <item m="1" x="66"/>
        <item m="1" x="67"/>
        <item m="1" x="71"/>
        <item m="1" x="72"/>
        <item m="1" x="55"/>
        <item m="1" x="56"/>
        <item m="1" x="50"/>
        <item m="1" x="62"/>
        <item m="1" x="52"/>
        <item m="1" x="41"/>
        <item m="1" x="35"/>
        <item m="1" x="63"/>
        <item m="1" x="61"/>
        <item m="1" x="46"/>
        <item m="1" x="51"/>
        <item m="1" x="53"/>
        <item m="1" x="37"/>
        <item m="1" x="30"/>
        <item m="1" x="54"/>
        <item m="1" x="31"/>
        <item m="1" x="28"/>
        <item m="1" x="58"/>
        <item m="1" x="59"/>
        <item m="1" x="60"/>
        <item m="1" x="20"/>
        <item m="1" x="21"/>
        <item m="1" x="22"/>
        <item m="1" x="42"/>
        <item x="4"/>
        <item m="1" x="47"/>
        <item x="7"/>
        <item m="1" x="48"/>
        <item m="1" x="49"/>
        <item x="14"/>
        <item m="1" x="45"/>
        <item x="5"/>
        <item m="1" x="43"/>
        <item m="1" x="23"/>
        <item m="1" x="24"/>
        <item m="1" x="44"/>
        <item m="1" x="36"/>
        <item m="1" x="38"/>
        <item m="1" x="32"/>
        <item m="1" x="39"/>
        <item m="1" x="40"/>
        <item m="1" x="26"/>
        <item m="1" x="27"/>
        <item m="1" x="16"/>
        <item m="1" x="17"/>
        <item m="1" x="33"/>
        <item m="1" x="34"/>
        <item m="1" x="29"/>
        <item x="11"/>
        <item m="1" x="15"/>
        <item m="1" x="25"/>
        <item x="6"/>
        <item m="1" x="18"/>
        <item m="1" x="19"/>
        <item x="8"/>
        <item x="9"/>
        <item x="10"/>
        <item x="12"/>
        <item x="13"/>
      </items>
    </pivotField>
    <pivotField compact="0" outline="0" showAll="0"/>
    <pivotField compact="0" outline="0" showAll="0"/>
    <pivotField compact="0" outline="0" showAll="0"/>
    <pivotField compact="0" outline="0" showAll="0"/>
    <pivotField name="FIN 0851 (WF + C)" axis="axisRow" compact="0" outline="0" showAll="0" defaultSubtotal="0">
      <items count="273">
        <item x="1"/>
        <item x="3"/>
        <item x="0"/>
        <item m="1" x="267"/>
        <item m="1" x="243"/>
        <item m="1" x="257"/>
        <item m="1" x="238"/>
        <item m="1" x="265"/>
        <item m="1" x="252"/>
        <item m="1" x="247"/>
        <item x="2"/>
        <item m="1" x="237"/>
        <item m="1" x="246"/>
        <item m="1" x="258"/>
        <item m="1" x="245"/>
        <item m="1" x="250"/>
        <item m="1" x="268"/>
        <item m="1" x="255"/>
        <item m="1" x="264"/>
        <item m="1" x="251"/>
        <item m="1" x="271"/>
        <item m="1" x="240"/>
        <item m="1" x="256"/>
        <item m="1" x="236"/>
        <item m="1" x="233"/>
        <item m="1" x="239"/>
        <item m="1" x="263"/>
        <item m="1" x="272"/>
        <item m="1" x="244"/>
        <item m="1" x="262"/>
        <item m="1" x="254"/>
        <item m="1" x="242"/>
        <item m="1" x="260"/>
        <item m="1" x="248"/>
        <item m="1" x="261"/>
        <item m="1" x="235"/>
        <item m="1" x="253"/>
        <item m="1" x="269"/>
        <item m="1" x="234"/>
        <item m="1" x="249"/>
        <item m="1" x="213"/>
        <item m="1" x="270"/>
        <item m="1" x="223"/>
        <item m="1" x="266"/>
        <item m="1" x="241"/>
        <item m="1" x="259"/>
        <item m="1" x="232"/>
        <item m="1" x="231"/>
        <item m="1" x="230"/>
        <item m="1" x="229"/>
        <item m="1" x="228"/>
        <item m="1" x="226"/>
        <item m="1" x="227"/>
        <item m="1" x="224"/>
        <item m="1" x="225"/>
        <item m="1" x="222"/>
        <item m="1" x="220"/>
        <item m="1" x="221"/>
        <item m="1" x="214"/>
        <item m="1" x="215"/>
        <item m="1" x="216"/>
        <item m="1" x="217"/>
        <item m="1" x="218"/>
        <item m="1" x="201"/>
        <item m="1" x="207"/>
        <item m="1" x="219"/>
        <item m="1" x="198"/>
        <item m="1" x="211"/>
        <item m="1" x="212"/>
        <item m="1" x="199"/>
        <item m="1" x="210"/>
        <item m="1" x="203"/>
        <item m="1" x="204"/>
        <item m="1" x="205"/>
        <item m="1" x="208"/>
        <item m="1" x="209"/>
        <item m="1" x="206"/>
        <item m="1" x="202"/>
        <item m="1" x="196"/>
        <item m="1" x="200"/>
        <item m="1" x="195"/>
        <item m="1" x="197"/>
        <item m="1" x="189"/>
        <item m="1" x="191"/>
        <item m="1" x="192"/>
        <item m="1" x="193"/>
        <item m="1" x="194"/>
        <item m="1" x="188"/>
        <item m="1" x="190"/>
        <item m="1" x="183"/>
        <item m="1" x="184"/>
        <item m="1" x="187"/>
        <item m="1" x="185"/>
        <item m="1" x="186"/>
        <item m="1" x="181"/>
        <item m="1" x="182"/>
        <item m="1" x="180"/>
        <item m="1" x="171"/>
        <item m="1" x="178"/>
        <item m="1" x="179"/>
        <item m="1" x="174"/>
        <item m="1" x="177"/>
        <item m="1" x="170"/>
        <item m="1" x="175"/>
        <item m="1" x="176"/>
        <item m="1" x="172"/>
        <item m="1" x="173"/>
        <item m="1" x="162"/>
        <item m="1" x="167"/>
        <item m="1" x="168"/>
        <item m="1" x="169"/>
        <item m="1" x="163"/>
        <item m="1" x="166"/>
        <item m="1" x="88"/>
        <item m="1" x="113"/>
        <item m="1" x="165"/>
        <item m="1" x="164"/>
        <item m="1" x="154"/>
        <item m="1" x="85"/>
        <item m="1" x="160"/>
        <item m="1" x="161"/>
        <item m="1" x="157"/>
        <item m="1" x="158"/>
        <item m="1" x="118"/>
        <item m="1" x="159"/>
        <item m="1" x="107"/>
        <item m="1" x="141"/>
        <item m="1" x="116"/>
        <item m="1" x="111"/>
        <item m="1" x="152"/>
        <item m="1" x="153"/>
        <item m="1" x="98"/>
        <item m="1" x="49"/>
        <item m="1" x="96"/>
        <item m="1" x="155"/>
        <item m="1" x="138"/>
        <item m="1" x="156"/>
        <item m="1" x="140"/>
        <item m="1" x="102"/>
        <item m="1" x="142"/>
        <item m="1" x="40"/>
        <item m="1" x="149"/>
        <item m="1" x="150"/>
        <item m="1" x="151"/>
        <item m="1" x="143"/>
        <item m="1" x="144"/>
        <item m="1" x="145"/>
        <item m="1" x="146"/>
        <item m="1" x="147"/>
        <item m="1" x="148"/>
        <item m="1" x="129"/>
        <item m="1" x="135"/>
        <item m="1" x="76"/>
        <item m="1" x="112"/>
        <item m="1" x="136"/>
        <item m="1" x="87"/>
        <item m="1" x="137"/>
        <item m="1" x="128"/>
        <item m="1" x="139"/>
        <item m="1" x="94"/>
        <item m="1" x="60"/>
        <item m="1" x="67"/>
        <item m="1" x="101"/>
        <item m="1" x="130"/>
        <item m="1" x="131"/>
        <item m="1" x="132"/>
        <item m="1" x="133"/>
        <item m="1" x="134"/>
        <item m="1" x="44"/>
        <item m="1" x="77"/>
        <item m="1" x="126"/>
        <item m="1" x="124"/>
        <item m="1" x="72"/>
        <item m="1" x="127"/>
        <item m="1" x="123"/>
        <item m="1" x="122"/>
        <item m="1" x="82"/>
        <item m="1" x="73"/>
        <item m="1" x="125"/>
        <item m="1" x="119"/>
        <item m="1" x="120"/>
        <item m="1" x="51"/>
        <item m="1" x="121"/>
        <item m="1" x="114"/>
        <item m="1" x="115"/>
        <item m="1" x="68"/>
        <item m="1" x="117"/>
        <item m="1" x="66"/>
        <item m="1" x="46"/>
        <item m="1" x="53"/>
        <item m="1" x="54"/>
        <item m="1" x="108"/>
        <item m="1" x="109"/>
        <item m="1" x="78"/>
        <item m="1" x="110"/>
        <item m="1" x="103"/>
        <item m="1" x="104"/>
        <item m="1" x="105"/>
        <item m="1" x="106"/>
        <item m="1" x="99"/>
        <item m="1" x="81"/>
        <item m="1" x="100"/>
        <item m="1" x="91"/>
        <item m="1" x="95"/>
        <item m="1" x="97"/>
        <item m="1" x="50"/>
        <item m="1" x="89"/>
        <item m="1" x="92"/>
        <item m="1" x="37"/>
        <item m="1" x="93"/>
        <item m="1" x="38"/>
        <item m="1" x="90"/>
        <item m="1" x="86"/>
        <item m="1" x="79"/>
        <item m="1" x="80"/>
        <item m="1" x="83"/>
        <item m="1" x="84"/>
        <item m="1" x="71"/>
        <item m="1" x="74"/>
        <item m="1" x="75"/>
        <item m="1" x="13"/>
        <item m="1" x="69"/>
        <item m="1" x="70"/>
        <item x="8"/>
        <item m="1" x="45"/>
        <item m="1" x="41"/>
        <item m="1" x="55"/>
        <item m="1" x="56"/>
        <item m="1" x="57"/>
        <item m="1" x="14"/>
        <item m="1" x="58"/>
        <item m="1" x="59"/>
        <item m="1" x="61"/>
        <item m="1" x="62"/>
        <item m="1" x="63"/>
        <item m="1" x="64"/>
        <item m="1" x="65"/>
        <item m="1" x="47"/>
        <item m="1" x="48"/>
        <item m="1" x="52"/>
        <item m="1" x="39"/>
        <item m="1" x="42"/>
        <item m="1" x="43"/>
        <item m="1" x="32"/>
        <item m="1" x="33"/>
        <item m="1" x="34"/>
        <item m="1" x="35"/>
        <item m="1" x="36"/>
        <item m="1" x="22"/>
        <item m="1" x="31"/>
        <item m="1" x="30"/>
        <item m="1" x="24"/>
        <item m="1" x="29"/>
        <item m="1" x="16"/>
        <item m="1" x="27"/>
        <item m="1" x="28"/>
        <item m="1" x="23"/>
        <item m="1" x="25"/>
        <item m="1" x="26"/>
        <item m="1" x="17"/>
        <item m="1" x="18"/>
        <item m="1" x="19"/>
        <item m="1" x="20"/>
        <item m="1" x="21"/>
        <item m="1" x="11"/>
        <item m="1" x="12"/>
        <item x="7"/>
        <item m="1" x="15"/>
        <item x="5"/>
        <item x="4"/>
        <item x="6"/>
        <item x="9"/>
        <item x="10"/>
      </items>
    </pivotField>
    <pivotField name="FIN LS " axis="axisRow" compact="0" outline="0" showAll="0" defaultSubtotal="0">
      <items count="562">
        <item x="1"/>
        <item x="3"/>
        <item x="0"/>
        <item m="1" x="431"/>
        <item m="1" x="510"/>
        <item m="1" x="484"/>
        <item m="1" x="536"/>
        <item m="1" x="442"/>
        <item m="1" x="389"/>
        <item m="1" x="548"/>
        <item m="1" x="428"/>
        <item m="1" x="532"/>
        <item m="1" x="546"/>
        <item m="1" x="409"/>
        <item m="1" x="489"/>
        <item m="1" x="376"/>
        <item m="1" x="479"/>
        <item m="1" x="384"/>
        <item m="1" x="545"/>
        <item m="1" x="432"/>
        <item m="1" x="511"/>
        <item m="1" x="526"/>
        <item m="1" x="418"/>
        <item m="1" x="474"/>
        <item m="1" x="506"/>
        <item m="1" x="463"/>
        <item m="1" x="399"/>
        <item m="1" x="381"/>
        <item m="1" x="543"/>
        <item m="1" x="404"/>
        <item m="1" x="450"/>
        <item m="1" x="533"/>
        <item m="1" x="426"/>
        <item m="1" x="385"/>
        <item m="1" x="486"/>
        <item m="1" x="443"/>
        <item m="1" x="469"/>
        <item m="1" x="549"/>
        <item m="1" x="502"/>
        <item m="1" x="396"/>
        <item m="1" x="416"/>
        <item m="1" x="388"/>
        <item m="1" x="466"/>
        <item m="1" x="447"/>
        <item m="1" x="444"/>
        <item m="1" x="527"/>
        <item m="1" x="500"/>
        <item m="1" x="482"/>
        <item x="2"/>
        <item m="1" x="495"/>
        <item m="1" x="544"/>
        <item m="1" x="372"/>
        <item m="1" x="525"/>
        <item m="1" x="379"/>
        <item m="1" x="508"/>
        <item m="1" x="448"/>
        <item m="1" x="420"/>
        <item m="1" x="552"/>
        <item m="1" x="438"/>
        <item m="1" x="521"/>
        <item m="1" x="462"/>
        <item m="1" x="449"/>
        <item m="1" x="439"/>
        <item m="1" x="553"/>
        <item m="1" x="373"/>
        <item m="1" x="537"/>
        <item m="1" x="492"/>
        <item m="1" x="481"/>
        <item m="1" x="377"/>
        <item m="1" x="522"/>
        <item m="1" x="464"/>
        <item m="1" x="453"/>
        <item m="1" x="499"/>
        <item m="1" x="437"/>
        <item m="1" x="534"/>
        <item m="1" x="524"/>
        <item m="1" x="403"/>
        <item m="1" x="425"/>
        <item m="1" x="505"/>
        <item m="1" x="429"/>
        <item m="1" x="395"/>
        <item m="1" x="554"/>
        <item m="1" x="523"/>
        <item m="1" x="457"/>
        <item m="1" x="415"/>
        <item m="1" x="512"/>
        <item m="1" x="400"/>
        <item m="1" x="391"/>
        <item m="1" x="421"/>
        <item m="1" x="476"/>
        <item m="1" x="496"/>
        <item m="1" x="480"/>
        <item m="1" x="401"/>
        <item m="1" x="509"/>
        <item m="1" x="424"/>
        <item m="1" x="504"/>
        <item m="1" x="398"/>
        <item m="1" x="477"/>
        <item m="1" x="460"/>
        <item m="1" x="456"/>
        <item m="1" x="539"/>
        <item m="1" x="557"/>
        <item m="1" x="446"/>
        <item m="1" x="529"/>
        <item m="1" x="471"/>
        <item m="1" x="498"/>
        <item m="1" x="390"/>
        <item m="1" x="468"/>
        <item m="1" x="519"/>
        <item m="1" x="412"/>
        <item m="1" x="491"/>
        <item m="1" x="402"/>
        <item m="1" x="501"/>
        <item m="1" x="452"/>
        <item m="1" x="475"/>
        <item m="1" x="515"/>
        <item m="1" x="540"/>
        <item m="1" x="516"/>
        <item m="1" x="490"/>
        <item m="1" x="458"/>
        <item m="1" x="507"/>
        <item m="1" x="538"/>
        <item m="1" x="413"/>
        <item m="1" x="493"/>
        <item m="1" x="459"/>
        <item m="1" x="380"/>
        <item m="1" x="394"/>
        <item m="1" x="387"/>
        <item m="1" x="378"/>
        <item m="1" x="405"/>
        <item m="1" x="541"/>
        <item m="1" x="467"/>
        <item m="1" x="436"/>
        <item m="1" x="518"/>
        <item m="1" x="558"/>
        <item m="1" x="393"/>
        <item m="1" x="419"/>
        <item m="1" x="559"/>
        <item m="1" x="440"/>
        <item m="1" x="434"/>
        <item m="1" x="410"/>
        <item m="1" x="454"/>
        <item m="1" x="520"/>
        <item m="1" x="411"/>
        <item m="1" x="386"/>
        <item m="1" x="530"/>
        <item m="1" x="485"/>
        <item m="1" x="461"/>
        <item m="1" x="547"/>
        <item m="1" x="478"/>
        <item m="1" x="408"/>
        <item m="1" x="392"/>
        <item m="1" x="517"/>
        <item m="1" x="488"/>
        <item m="1" x="374"/>
        <item m="1" x="555"/>
        <item m="1" x="473"/>
        <item m="1" x="542"/>
        <item m="1" x="465"/>
        <item m="1" x="472"/>
        <item m="1" x="407"/>
        <item m="1" x="427"/>
        <item m="1" x="433"/>
        <item m="1" x="560"/>
        <item m="1" x="451"/>
        <item m="1" x="535"/>
        <item m="1" x="445"/>
        <item m="1" x="382"/>
        <item m="1" x="406"/>
        <item m="1" x="483"/>
        <item m="1" x="365"/>
        <item m="1" x="363"/>
        <item m="1" x="344"/>
        <item m="1" x="339"/>
        <item m="1" x="346"/>
        <item m="1" x="361"/>
        <item m="1" x="364"/>
        <item m="1" x="332"/>
        <item m="1" x="333"/>
        <item m="1" x="556"/>
        <item m="1" x="347"/>
        <item m="1" x="369"/>
        <item m="1" x="371"/>
        <item m="1" x="326"/>
        <item m="1" x="327"/>
        <item m="1" x="281"/>
        <item m="1" x="291"/>
        <item m="1" x="269"/>
        <item m="1" x="270"/>
        <item m="1" x="315"/>
        <item m="1" x="285"/>
        <item m="1" x="287"/>
        <item m="1" x="272"/>
        <item m="1" x="266"/>
        <item m="1" x="280"/>
        <item m="1" x="435"/>
        <item m="1" x="259"/>
        <item m="1" x="263"/>
        <item m="1" x="261"/>
        <item m="1" x="254"/>
        <item m="1" x="251"/>
        <item m="1" x="264"/>
        <item m="1" x="252"/>
        <item m="1" x="256"/>
        <item m="1" x="253"/>
        <item m="1" x="244"/>
        <item m="1" x="245"/>
        <item m="1" x="318"/>
        <item m="1" x="231"/>
        <item m="1" x="455"/>
        <item m="1" x="232"/>
        <item m="1" x="221"/>
        <item m="1" x="180"/>
        <item m="1" x="422"/>
        <item m="1" x="528"/>
        <item m="1" x="430"/>
        <item m="1" x="561"/>
        <item m="1" x="355"/>
        <item m="1" x="345"/>
        <item m="1" x="423"/>
        <item m="1" x="397"/>
        <item m="1" x="362"/>
        <item m="1" x="357"/>
        <item m="1" x="370"/>
        <item m="1" x="513"/>
        <item m="1" x="375"/>
        <item m="1" x="470"/>
        <item m="1" x="414"/>
        <item m="1" x="342"/>
        <item m="1" x="359"/>
        <item m="1" x="417"/>
        <item m="1" x="349"/>
        <item m="1" x="294"/>
        <item m="1" x="277"/>
        <item m="1" x="487"/>
        <item m="1" x="336"/>
        <item m="1" x="494"/>
        <item m="1" x="368"/>
        <item m="1" x="348"/>
        <item m="1" x="330"/>
        <item m="1" x="353"/>
        <item m="1" x="337"/>
        <item m="1" x="531"/>
        <item m="1" x="550"/>
        <item m="1" x="503"/>
        <item m="1" x="441"/>
        <item m="1" x="497"/>
        <item m="1" x="279"/>
        <item m="1" x="343"/>
        <item m="1" x="360"/>
        <item m="1" x="331"/>
        <item m="1" x="335"/>
        <item m="1" x="298"/>
        <item m="1" x="303"/>
        <item m="1" x="307"/>
        <item m="1" x="296"/>
        <item m="1" x="306"/>
        <item m="1" x="338"/>
        <item m="1" x="383"/>
        <item m="1" x="324"/>
        <item m="1" x="308"/>
        <item m="1" x="514"/>
        <item m="1" x="551"/>
        <item m="1" x="302"/>
        <item m="1" x="367"/>
        <item m="1" x="299"/>
        <item m="1" x="301"/>
        <item m="1" x="328"/>
        <item m="1" x="290"/>
        <item m="1" x="260"/>
        <item m="1" x="312"/>
        <item m="1" x="352"/>
        <item m="1" x="268"/>
        <item m="1" x="314"/>
        <item m="1" x="354"/>
        <item m="1" x="300"/>
        <item m="1" x="283"/>
        <item m="1" x="282"/>
        <item m="1" x="292"/>
        <item m="1" x="276"/>
        <item m="1" x="242"/>
        <item m="1" x="350"/>
        <item m="1" x="351"/>
        <item m="1" x="297"/>
        <item m="1" x="323"/>
        <item m="1" x="295"/>
        <item m="1" x="274"/>
        <item m="1" x="304"/>
        <item m="1" x="289"/>
        <item m="1" x="271"/>
        <item m="1" x="288"/>
        <item m="1" x="341"/>
        <item m="1" x="358"/>
        <item m="1" x="313"/>
        <item m="1" x="356"/>
        <item m="1" x="366"/>
        <item m="1" x="309"/>
        <item m="1" x="340"/>
        <item m="1" x="310"/>
        <item m="1" x="334"/>
        <item m="1" x="284"/>
        <item m="1" x="275"/>
        <item m="1" x="325"/>
        <item m="1" x="278"/>
        <item m="1" x="293"/>
        <item m="1" x="286"/>
        <item m="1" x="329"/>
        <item m="1" x="255"/>
        <item m="1" x="241"/>
        <item m="1" x="248"/>
        <item m="1" x="316"/>
        <item m="1" x="317"/>
        <item m="1" x="319"/>
        <item m="1" x="320"/>
        <item m="1" x="321"/>
        <item m="1" x="157"/>
        <item m="1" x="165"/>
        <item m="1" x="154"/>
        <item m="1" x="322"/>
        <item m="1" x="122"/>
        <item m="1" x="184"/>
        <item m="1" x="84"/>
        <item m="1" x="99"/>
        <item m="1" x="167"/>
        <item m="1" x="81"/>
        <item m="1" x="18"/>
        <item x="17"/>
        <item m="1" x="311"/>
        <item m="1" x="262"/>
        <item m="1" x="305"/>
        <item m="1" x="257"/>
        <item m="1" x="265"/>
        <item m="1" x="267"/>
        <item m="1" x="273"/>
        <item m="1" x="258"/>
        <item m="1" x="243"/>
        <item m="1" x="249"/>
        <item m="1" x="237"/>
        <item m="1" x="250"/>
        <item m="1" x="229"/>
        <item m="1" x="246"/>
        <item m="1" x="247"/>
        <item m="1" x="238"/>
        <item m="1" x="239"/>
        <item m="1" x="240"/>
        <item m="1" x="233"/>
        <item m="1" x="234"/>
        <item m="1" x="235"/>
        <item m="1" x="236"/>
        <item m="1" x="143"/>
        <item m="1" x="230"/>
        <item m="1" x="223"/>
        <item m="1" x="220"/>
        <item m="1" x="113"/>
        <item m="1" x="170"/>
        <item m="1" x="225"/>
        <item m="1" x="226"/>
        <item m="1" x="227"/>
        <item m="1" x="228"/>
        <item m="1" x="219"/>
        <item m="1" x="224"/>
        <item m="1" x="217"/>
        <item m="1" x="100"/>
        <item m="1" x="62"/>
        <item m="1" x="173"/>
        <item m="1" x="124"/>
        <item m="1" x="222"/>
        <item m="1" x="158"/>
        <item m="1" x="176"/>
        <item m="1" x="102"/>
        <item m="1" x="163"/>
        <item m="1" x="105"/>
        <item m="1" x="135"/>
        <item m="1" x="218"/>
        <item m="1" x="153"/>
        <item m="1" x="142"/>
        <item m="1" x="199"/>
        <item m="1" x="85"/>
        <item m="1" x="162"/>
        <item m="1" x="79"/>
        <item m="1" x="63"/>
        <item m="1" x="64"/>
        <item m="1" x="200"/>
        <item m="1" x="201"/>
        <item m="1" x="202"/>
        <item m="1" x="203"/>
        <item m="1" x="160"/>
        <item m="1" x="127"/>
        <item m="1" x="95"/>
        <item m="1" x="152"/>
        <item m="1" x="65"/>
        <item m="1" x="76"/>
        <item m="1" x="77"/>
        <item m="1" x="181"/>
        <item m="1" x="207"/>
        <item m="1" x="204"/>
        <item m="1" x="137"/>
        <item m="1" x="46"/>
        <item m="1" x="39"/>
        <item m="1" x="40"/>
        <item m="1" x="213"/>
        <item m="1" x="214"/>
        <item m="1" x="215"/>
        <item m="1" x="216"/>
        <item m="1" x="198"/>
        <item m="1" x="208"/>
        <item m="1" x="192"/>
        <item m="1" x="209"/>
        <item m="1" x="210"/>
        <item m="1" x="211"/>
        <item m="1" x="212"/>
        <item m="1" x="205"/>
        <item m="1" x="206"/>
        <item m="1" x="78"/>
        <item m="1" x="47"/>
        <item m="1" x="71"/>
        <item m="1" x="57"/>
        <item m="1" x="188"/>
        <item m="1" x="189"/>
        <item m="1" x="190"/>
        <item m="1" x="111"/>
        <item m="1" x="119"/>
        <item m="1" x="129"/>
        <item m="1" x="56"/>
        <item m="1" x="58"/>
        <item m="1" x="60"/>
        <item m="1" x="72"/>
        <item m="1" x="191"/>
        <item m="1" x="50"/>
        <item m="1" x="193"/>
        <item m="1" x="194"/>
        <item m="1" x="195"/>
        <item m="1" x="196"/>
        <item m="1" x="197"/>
        <item m="1" x="187"/>
        <item m="1" x="183"/>
        <item m="1" x="179"/>
        <item m="1" x="116"/>
        <item m="1" x="37"/>
        <item m="1" x="182"/>
        <item m="1" x="175"/>
        <item m="1" x="87"/>
        <item m="1" x="186"/>
        <item m="1" x="185"/>
        <item m="1" x="98"/>
        <item m="1" x="107"/>
        <item m="1" x="115"/>
        <item m="1" x="109"/>
        <item m="1" x="114"/>
        <item m="1" x="128"/>
        <item m="1" x="136"/>
        <item m="1" x="89"/>
        <item m="1" x="178"/>
        <item m="1" x="172"/>
        <item m="1" x="146"/>
        <item m="1" x="130"/>
        <item m="1" x="171"/>
        <item m="1" x="177"/>
        <item m="1" x="92"/>
        <item m="1" x="83"/>
        <item m="1" x="94"/>
        <item m="1" x="90"/>
        <item m="1" x="75"/>
        <item m="1" x="168"/>
        <item m="1" x="159"/>
        <item m="1" x="103"/>
        <item m="1" x="112"/>
        <item m="1" x="140"/>
        <item m="1" x="134"/>
        <item m="1" x="155"/>
        <item m="1" x="174"/>
        <item m="1" x="169"/>
        <item m="1" x="141"/>
        <item m="1" x="166"/>
        <item m="1" x="82"/>
        <item m="1" x="164"/>
        <item m="1" x="150"/>
        <item m="1" x="68"/>
        <item m="1" x="93"/>
        <item m="1" x="138"/>
        <item m="1" x="133"/>
        <item m="1" x="139"/>
        <item m="1" x="161"/>
        <item m="1" x="66"/>
        <item m="1" x="132"/>
        <item m="1" x="156"/>
        <item m="1" x="96"/>
        <item m="1" x="80"/>
        <item m="1" x="149"/>
        <item m="1" x="126"/>
        <item m="1" x="151"/>
        <item m="1" x="144"/>
        <item m="1" x="145"/>
        <item x="9"/>
        <item m="1" x="23"/>
        <item m="1" x="29"/>
        <item m="1" x="147"/>
        <item m="1" x="148"/>
        <item m="1" x="33"/>
        <item m="1" x="54"/>
        <item m="1" x="41"/>
        <item x="15"/>
        <item m="1" x="123"/>
        <item m="1" x="24"/>
        <item x="12"/>
        <item m="1" x="131"/>
        <item m="1" x="25"/>
        <item m="1" x="45"/>
        <item m="1" x="97"/>
        <item m="1" x="91"/>
        <item m="1" x="67"/>
        <item m="1" x="70"/>
        <item m="1" x="35"/>
        <item m="1" x="108"/>
        <item m="1" x="125"/>
        <item m="1" x="69"/>
        <item m="1" x="117"/>
        <item m="1" x="118"/>
        <item m="1" x="120"/>
        <item m="1" x="49"/>
        <item x="6"/>
        <item m="1" x="121"/>
        <item m="1" x="110"/>
        <item m="1" x="86"/>
        <item m="1" x="88"/>
        <item m="1" x="53"/>
        <item m="1" x="101"/>
        <item m="1" x="104"/>
        <item m="1" x="106"/>
        <item m="1" x="74"/>
        <item m="1" x="73"/>
        <item m="1" x="22"/>
        <item m="1" x="51"/>
        <item m="1" x="61"/>
        <item m="1" x="36"/>
        <item x="10"/>
        <item m="1" x="59"/>
        <item x="7"/>
        <item m="1" x="55"/>
        <item x="11"/>
        <item m="1" x="48"/>
        <item m="1" x="52"/>
        <item m="1" x="38"/>
        <item m="1" x="42"/>
        <item m="1" x="43"/>
        <item x="13"/>
        <item m="1" x="44"/>
        <item m="1" x="19"/>
        <item m="1" x="20"/>
        <item m="1" x="21"/>
        <item m="1" x="34"/>
        <item m="1" x="31"/>
        <item m="1" x="32"/>
        <item m="1" x="26"/>
        <item m="1" x="27"/>
        <item m="1" x="28"/>
        <item m="1" x="30"/>
        <item x="4"/>
        <item x="5"/>
        <item x="8"/>
        <item x="14"/>
        <item x="16"/>
      </items>
    </pivotField>
    <pivotField name="FIN MOY LC-LB" axis="axisRow" compact="0" outline="0" showAll="0" defaultSubtotal="0">
      <items count="571">
        <item x="1"/>
        <item x="0"/>
        <item m="1" x="399"/>
        <item m="1" x="485"/>
        <item m="1" x="500"/>
        <item m="1" x="553"/>
        <item m="1" x="548"/>
        <item m="1" x="420"/>
        <item m="1" x="389"/>
        <item m="1" x="436"/>
        <item m="1" x="537"/>
        <item m="1" x="430"/>
        <item m="1" x="521"/>
        <item m="1" x="536"/>
        <item m="1" x="418"/>
        <item m="1" x="385"/>
        <item m="1" x="519"/>
        <item m="1" x="403"/>
        <item m="1" x="488"/>
        <item m="1" x="570"/>
        <item m="1" x="443"/>
        <item m="1" x="538"/>
        <item m="1" x="522"/>
        <item m="1" x="444"/>
        <item m="1" x="532"/>
        <item m="1" x="382"/>
        <item m="1" x="367"/>
        <item m="1" x="452"/>
        <item m="1" x="549"/>
        <item m="1" x="428"/>
        <item m="1" x="406"/>
        <item m="1" x="557"/>
        <item m="1" x="368"/>
        <item m="1" x="508"/>
        <item m="1" x="518"/>
        <item m="1" x="552"/>
        <item m="1" x="407"/>
        <item m="1" x="509"/>
        <item m="1" x="386"/>
        <item m="1" x="540"/>
        <item m="1" x="513"/>
        <item m="1" x="393"/>
        <item m="1" x="439"/>
        <item m="1" x="369"/>
        <item m="1" x="408"/>
        <item m="1" x="492"/>
        <item m="1" x="490"/>
        <item m="1" x="483"/>
        <item x="2"/>
        <item x="3"/>
        <item m="1" x="451"/>
        <item m="1" x="511"/>
        <item m="1" x="442"/>
        <item m="1" x="554"/>
        <item m="1" x="507"/>
        <item m="1" x="454"/>
        <item m="1" x="456"/>
        <item m="1" x="438"/>
        <item m="1" x="525"/>
        <item m="1" x="523"/>
        <item m="1" x="465"/>
        <item m="1" x="419"/>
        <item m="1" x="429"/>
        <item m="1" x="455"/>
        <item m="1" x="446"/>
        <item m="1" x="421"/>
        <item m="1" x="496"/>
        <item m="1" x="555"/>
        <item m="1" x="405"/>
        <item m="1" x="398"/>
        <item m="1" x="531"/>
        <item m="1" x="404"/>
        <item m="1" x="489"/>
        <item m="1" x="461"/>
        <item m="1" x="411"/>
        <item m="1" x="486"/>
        <item m="1" x="527"/>
        <item m="1" x="473"/>
        <item m="1" x="414"/>
        <item m="1" x="379"/>
        <item m="1" x="482"/>
        <item m="1" x="541"/>
        <item m="1" x="422"/>
        <item m="1" x="370"/>
        <item m="1" x="535"/>
        <item m="1" x="544"/>
        <item m="1" x="425"/>
        <item m="1" x="516"/>
        <item m="1" x="545"/>
        <item m="1" x="481"/>
        <item m="1" x="567"/>
        <item m="1" x="375"/>
        <item m="1" x="463"/>
        <item m="1" x="529"/>
        <item m="1" x="412"/>
        <item m="1" x="497"/>
        <item m="1" x="372"/>
        <item m="1" x="476"/>
        <item m="1" x="563"/>
        <item m="1" x="437"/>
        <item m="1" x="504"/>
        <item m="1" x="381"/>
        <item m="1" x="517"/>
        <item m="1" x="376"/>
        <item m="1" x="498"/>
        <item m="1" x="460"/>
        <item m="1" x="377"/>
        <item m="1" x="364"/>
        <item m="1" x="550"/>
        <item m="1" x="568"/>
        <item m="1" x="565"/>
        <item m="1" x="502"/>
        <item m="1" x="434"/>
        <item m="1" x="365"/>
        <item m="1" x="450"/>
        <item m="1" x="397"/>
        <item m="1" x="505"/>
        <item m="1" x="383"/>
        <item m="1" x="462"/>
        <item m="1" x="409"/>
        <item m="1" x="371"/>
        <item m="1" x="373"/>
        <item m="1" x="449"/>
        <item m="1" x="440"/>
        <item m="1" x="378"/>
        <item m="1" x="458"/>
        <item m="1" x="546"/>
        <item m="1" x="493"/>
        <item m="1" x="400"/>
        <item m="1" x="530"/>
        <item m="1" x="362"/>
        <item m="1" x="469"/>
        <item m="1" x="512"/>
        <item m="1" x="392"/>
        <item m="1" x="470"/>
        <item m="1" x="464"/>
        <item m="1" x="564"/>
        <item m="1" x="432"/>
        <item m="1" x="471"/>
        <item m="1" x="413"/>
        <item m="1" x="501"/>
        <item m="1" x="526"/>
        <item m="1" x="401"/>
        <item m="1" x="445"/>
        <item m="1" x="472"/>
        <item m="1" x="533"/>
        <item m="1" x="561"/>
        <item m="1" x="387"/>
        <item m="1" x="478"/>
        <item m="1" x="534"/>
        <item m="1" x="380"/>
        <item m="1" x="435"/>
        <item m="1" x="390"/>
        <item m="1" x="363"/>
        <item m="1" x="477"/>
        <item m="1" x="556"/>
        <item m="1" x="457"/>
        <item m="1" x="433"/>
        <item m="1" x="391"/>
        <item m="1" x="394"/>
        <item m="1" x="503"/>
        <item m="1" x="495"/>
        <item m="1" x="480"/>
        <item m="1" x="475"/>
        <item m="1" x="441"/>
        <item m="1" x="448"/>
        <item m="1" x="559"/>
        <item m="1" x="453"/>
        <item m="1" x="396"/>
        <item m="1" x="539"/>
        <item m="1" x="560"/>
        <item m="1" x="416"/>
        <item m="1" x="466"/>
        <item m="1" x="417"/>
        <item m="1" x="459"/>
        <item m="1" x="528"/>
        <item m="1" x="543"/>
        <item m="1" x="447"/>
        <item m="1" x="542"/>
        <item m="1" x="474"/>
        <item m="1" x="431"/>
        <item m="1" x="494"/>
        <item m="1" x="415"/>
        <item m="1" x="360"/>
        <item m="1" x="484"/>
        <item m="1" x="356"/>
        <item m="1" x="388"/>
        <item m="1" x="515"/>
        <item m="1" x="331"/>
        <item m="1" x="348"/>
        <item m="1" x="342"/>
        <item m="1" x="349"/>
        <item m="1" x="358"/>
        <item m="1" x="309"/>
        <item m="1" x="319"/>
        <item m="1" x="277"/>
        <item m="1" x="274"/>
        <item m="1" x="264"/>
        <item m="1" x="265"/>
        <item m="1" x="301"/>
        <item m="1" x="255"/>
        <item m="1" x="256"/>
        <item m="1" x="402"/>
        <item m="1" x="209"/>
        <item m="1" x="210"/>
        <item m="1" x="204"/>
        <item m="1" x="190"/>
        <item m="1" x="468"/>
        <item m="1" x="96"/>
        <item m="1" x="116"/>
        <item m="1" x="100"/>
        <item m="1" x="86"/>
        <item m="1" x="101"/>
        <item m="1" x="117"/>
        <item m="1" x="126"/>
        <item m="1" x="88"/>
        <item m="1" x="140"/>
        <item m="1" x="134"/>
        <item m="1" x="201"/>
        <item m="1" x="427"/>
        <item m="1" x="487"/>
        <item x="10"/>
        <item m="1" x="423"/>
        <item m="1" x="562"/>
        <item m="1" x="366"/>
        <item m="1" x="341"/>
        <item m="1" x="333"/>
        <item m="1" x="357"/>
        <item m="1" x="510"/>
        <item m="1" x="547"/>
        <item m="1" x="426"/>
        <item m="1" x="569"/>
        <item m="1" x="374"/>
        <item m="1" x="520"/>
        <item m="1" x="491"/>
        <item m="1" x="424"/>
        <item m="1" x="395"/>
        <item m="1" x="338"/>
        <item m="1" x="384"/>
        <item m="1" x="467"/>
        <item m="1" x="514"/>
        <item m="1" x="566"/>
        <item m="1" x="340"/>
        <item m="1" x="345"/>
        <item m="1" x="551"/>
        <item m="1" x="355"/>
        <item m="1" x="410"/>
        <item m="1" x="336"/>
        <item m="1" x="308"/>
        <item m="1" x="328"/>
        <item m="1" x="479"/>
        <item m="1" x="339"/>
        <item m="1" x="324"/>
        <item m="1" x="506"/>
        <item m="1" x="350"/>
        <item m="1" x="361"/>
        <item m="1" x="325"/>
        <item m="1" x="344"/>
        <item m="1" x="354"/>
        <item m="1" x="524"/>
        <item m="1" x="337"/>
        <item m="1" x="334"/>
        <item m="1" x="332"/>
        <item m="1" x="318"/>
        <item m="1" x="347"/>
        <item m="1" x="352"/>
        <item m="1" x="499"/>
        <item m="1" x="359"/>
        <item m="1" x="305"/>
        <item m="1" x="558"/>
        <item m="1" x="343"/>
        <item m="1" x="351"/>
        <item m="1" x="335"/>
        <item m="1" x="303"/>
        <item m="1" x="326"/>
        <item m="1" x="353"/>
        <item m="1" x="329"/>
        <item m="1" x="346"/>
        <item m="1" x="310"/>
        <item m="1" x="304"/>
        <item m="1" x="306"/>
        <item m="1" x="295"/>
        <item m="1" x="297"/>
        <item m="1" x="298"/>
        <item m="1" x="302"/>
        <item m="1" x="330"/>
        <item m="1" x="311"/>
        <item m="1" x="312"/>
        <item m="1" x="296"/>
        <item m="1" x="320"/>
        <item m="1" x="307"/>
        <item m="1" x="315"/>
        <item m="1" x="314"/>
        <item m="1" x="293"/>
        <item m="1" x="313"/>
        <item m="1" x="282"/>
        <item m="1" x="321"/>
        <item m="1" x="317"/>
        <item m="1" x="278"/>
        <item m="1" x="327"/>
        <item m="1" x="287"/>
        <item m="1" x="283"/>
        <item m="1" x="288"/>
        <item m="1" x="279"/>
        <item m="1" x="294"/>
        <item m="1" x="270"/>
        <item m="1" x="322"/>
        <item m="1" x="280"/>
        <item m="1" x="273"/>
        <item m="1" x="268"/>
        <item m="1" x="260"/>
        <item m="1" x="248"/>
        <item m="1" x="263"/>
        <item m="1" x="230"/>
        <item m="1" x="233"/>
        <item m="1" x="250"/>
        <item m="1" x="323"/>
        <item m="1" x="224"/>
        <item m="1" x="217"/>
        <item m="1" x="193"/>
        <item m="1" x="184"/>
        <item m="1" x="159"/>
        <item m="1" x="158"/>
        <item m="1" x="167"/>
        <item m="1" x="150"/>
        <item m="1" x="300"/>
        <item m="1" x="316"/>
        <item m="1" x="299"/>
        <item m="1" x="276"/>
        <item m="1" x="272"/>
        <item m="1" x="292"/>
        <item m="1" x="289"/>
        <item m="1" x="275"/>
        <item m="1" x="290"/>
        <item m="1" x="291"/>
        <item m="1" x="284"/>
        <item m="1" x="259"/>
        <item m="1" x="269"/>
        <item m="1" x="241"/>
        <item m="1" x="242"/>
        <item m="1" x="247"/>
        <item m="1" x="229"/>
        <item m="1" x="251"/>
        <item m="1" x="253"/>
        <item m="1" x="231"/>
        <item m="1" x="285"/>
        <item m="1" x="266"/>
        <item m="1" x="286"/>
        <item m="1" x="281"/>
        <item m="1" x="257"/>
        <item m="1" x="237"/>
        <item m="1" x="262"/>
        <item m="1" x="238"/>
        <item m="1" x="271"/>
        <item m="1" x="261"/>
        <item m="1" x="267"/>
        <item m="1" x="258"/>
        <item m="1" x="254"/>
        <item m="1" x="252"/>
        <item m="1" x="249"/>
        <item m="1" x="234"/>
        <item m="1" x="245"/>
        <item m="1" x="243"/>
        <item m="1" x="244"/>
        <item m="1" x="219"/>
        <item m="1" x="246"/>
        <item m="1" x="239"/>
        <item m="1" x="232"/>
        <item m="1" x="225"/>
        <item m="1" x="240"/>
        <item m="1" x="220"/>
        <item m="1" x="216"/>
        <item m="1" x="222"/>
        <item m="1" x="235"/>
        <item m="1" x="236"/>
        <item m="1" x="223"/>
        <item m="1" x="226"/>
        <item m="1" x="227"/>
        <item m="1" x="187"/>
        <item m="1" x="228"/>
        <item m="1" x="115"/>
        <item m="1" x="133"/>
        <item m="1" x="91"/>
        <item m="1" x="213"/>
        <item m="1" x="221"/>
        <item m="1" x="109"/>
        <item m="1" x="208"/>
        <item m="1" x="218"/>
        <item m="1" x="157"/>
        <item m="1" x="103"/>
        <item m="1" x="214"/>
        <item m="1" x="215"/>
        <item m="1" x="173"/>
        <item m="1" x="147"/>
        <item m="1" x="155"/>
        <item m="1" x="136"/>
        <item m="1" x="138"/>
        <item m="1" x="211"/>
        <item m="1" x="99"/>
        <item m="1" x="212"/>
        <item m="1" x="205"/>
        <item m="1" x="181"/>
        <item m="1" x="206"/>
        <item m="1" x="142"/>
        <item m="1" x="112"/>
        <item m="1" x="87"/>
        <item m="1" x="92"/>
        <item m="1" x="207"/>
        <item m="1" x="129"/>
        <item m="1" x="93"/>
        <item m="1" x="194"/>
        <item m="1" x="195"/>
        <item m="1" x="196"/>
        <item m="1" x="197"/>
        <item m="1" x="171"/>
        <item m="1" x="143"/>
        <item m="1" x="137"/>
        <item m="1" x="113"/>
        <item m="1" x="203"/>
        <item m="1" x="111"/>
        <item m="1" x="121"/>
        <item m="1" x="76"/>
        <item m="1" x="199"/>
        <item m="1" x="202"/>
        <item m="1" x="125"/>
        <item m="1" x="148"/>
        <item m="1" x="83"/>
        <item m="1" x="34"/>
        <item m="1" x="18"/>
        <item m="1" x="141"/>
        <item m="1" x="105"/>
        <item m="1" x="200"/>
        <item m="1" x="71"/>
        <item m="1" x="65"/>
        <item m="1" x="45"/>
        <item m="1" x="168"/>
        <item m="1" x="151"/>
        <item m="1" x="132"/>
        <item m="1" x="127"/>
        <item m="1" x="198"/>
        <item m="1" x="70"/>
        <item m="1" x="185"/>
        <item m="1" x="186"/>
        <item m="1" x="166"/>
        <item m="1" x="191"/>
        <item m="1" x="192"/>
        <item m="1" x="97"/>
        <item m="1" x="90"/>
        <item m="1" x="170"/>
        <item m="1" x="94"/>
        <item x="4"/>
        <item m="1" x="44"/>
        <item m="1" x="118"/>
        <item m="1" x="188"/>
        <item m="1" x="74"/>
        <item x="6"/>
        <item m="1" x="47"/>
        <item m="1" x="50"/>
        <item m="1" x="42"/>
        <item m="1" x="189"/>
        <item m="1" x="183"/>
        <item m="1" x="176"/>
        <item m="1" x="179"/>
        <item m="1" x="106"/>
        <item m="1" x="182"/>
        <item m="1" x="95"/>
        <item m="1" x="85"/>
        <item m="1" x="108"/>
        <item m="1" x="163"/>
        <item m="1" x="149"/>
        <item m="1" x="177"/>
        <item m="1" x="172"/>
        <item m="1" x="180"/>
        <item m="1" x="175"/>
        <item m="1" x="164"/>
        <item m="1" x="169"/>
        <item m="1" x="178"/>
        <item m="1" x="110"/>
        <item m="1" x="120"/>
        <item m="1" x="165"/>
        <item m="1" x="145"/>
        <item m="1" x="174"/>
        <item m="1" x="152"/>
        <item m="1" x="154"/>
        <item m="1" x="114"/>
        <item m="1" x="161"/>
        <item m="1" x="162"/>
        <item m="1" x="160"/>
        <item m="1" x="156"/>
        <item m="1" x="82"/>
        <item m="1" x="107"/>
        <item m="1" x="139"/>
        <item m="1" x="135"/>
        <item m="1" x="153"/>
        <item m="1" x="144"/>
        <item m="1" x="131"/>
        <item m="1" x="104"/>
        <item m="1" x="146"/>
        <item m="1" x="77"/>
        <item m="1" x="78"/>
        <item m="1" x="123"/>
        <item m="1" x="98"/>
        <item m="1" x="89"/>
        <item m="1" x="53"/>
        <item x="8"/>
        <item m="1" x="130"/>
        <item m="1" x="119"/>
        <item m="1" x="122"/>
        <item m="1" x="124"/>
        <item m="1" x="128"/>
        <item m="1" x="102"/>
        <item m="1" x="84"/>
        <item m="1" x="75"/>
        <item m="1" x="79"/>
        <item m="1" x="80"/>
        <item m="1" x="19"/>
        <item m="1" x="54"/>
        <item m="1" x="20"/>
        <item m="1" x="81"/>
        <item m="1" x="62"/>
        <item m="1" x="63"/>
        <item m="1" x="64"/>
        <item m="1" x="17"/>
        <item m="1" x="35"/>
        <item m="1" x="72"/>
        <item m="1" x="73"/>
        <item m="1" x="69"/>
        <item m="1" x="66"/>
        <item m="1" x="67"/>
        <item m="1" x="68"/>
        <item m="1" x="55"/>
        <item m="1" x="56"/>
        <item m="1" x="57"/>
        <item m="1" x="58"/>
        <item m="1" x="59"/>
        <item m="1" x="60"/>
        <item m="1" x="61"/>
        <item m="1" x="46"/>
        <item x="5"/>
        <item m="1" x="48"/>
        <item m="1" x="49"/>
        <item m="1" x="51"/>
        <item m="1" x="52"/>
        <item x="13"/>
        <item m="1" x="36"/>
        <item m="1" x="37"/>
        <item m="1" x="38"/>
        <item m="1" x="39"/>
        <item m="1" x="40"/>
        <item m="1" x="41"/>
        <item m="1" x="43"/>
        <item m="1" x="31"/>
        <item m="1" x="32"/>
        <item m="1" x="33"/>
        <item m="1" x="29"/>
        <item m="1" x="30"/>
        <item m="1" x="25"/>
        <item m="1" x="26"/>
        <item x="14"/>
        <item m="1" x="27"/>
        <item x="7"/>
        <item m="1" x="21"/>
        <item m="1" x="28"/>
        <item m="1" x="22"/>
        <item m="1" x="23"/>
        <item m="1" x="24"/>
        <item x="9"/>
        <item x="11"/>
        <item x="12"/>
        <item x="15"/>
        <item x="16"/>
      </items>
    </pivotField>
    <pivotField name="FIN PL+" axis="axisRow" compact="0" outline="0" showAll="0" defaultSubtotal="0">
      <items count="273">
        <item x="1"/>
        <item x="3"/>
        <item x="0"/>
        <item m="1" x="266"/>
        <item m="1" x="271"/>
        <item m="1" x="272"/>
        <item m="1" x="256"/>
        <item m="1" x="257"/>
        <item m="1" x="253"/>
        <item m="1" x="250"/>
        <item m="1" x="239"/>
        <item x="2"/>
        <item m="1" x="265"/>
        <item m="1" x="267"/>
        <item m="1" x="268"/>
        <item m="1" x="269"/>
        <item m="1" x="270"/>
        <item m="1" x="262"/>
        <item m="1" x="246"/>
        <item m="1" x="261"/>
        <item m="1" x="263"/>
        <item m="1" x="264"/>
        <item m="1" x="245"/>
        <item m="1" x="260"/>
        <item m="1" x="255"/>
        <item m="1" x="243"/>
        <item m="1" x="248"/>
        <item m="1" x="244"/>
        <item m="1" x="254"/>
        <item m="1" x="259"/>
        <item m="1" x="249"/>
        <item m="1" x="258"/>
        <item m="1" x="251"/>
        <item m="1" x="252"/>
        <item m="1" x="247"/>
        <item m="1" x="228"/>
        <item m="1" x="231"/>
        <item m="1" x="238"/>
        <item m="1" x="227"/>
        <item m="1" x="234"/>
        <item m="1" x="235"/>
        <item m="1" x="236"/>
        <item m="1" x="237"/>
        <item m="1" x="230"/>
        <item m="1" x="241"/>
        <item m="1" x="242"/>
        <item m="1" x="240"/>
        <item m="1" x="203"/>
        <item m="1" x="223"/>
        <item m="1" x="224"/>
        <item m="1" x="215"/>
        <item m="1" x="232"/>
        <item m="1" x="210"/>
        <item m="1" x="211"/>
        <item m="1" x="233"/>
        <item m="1" x="229"/>
        <item m="1" x="221"/>
        <item m="1" x="214"/>
        <item m="1" x="225"/>
        <item m="1" x="217"/>
        <item m="1" x="226"/>
        <item m="1" x="222"/>
        <item m="1" x="219"/>
        <item m="1" x="220"/>
        <item m="1" x="218"/>
        <item m="1" x="216"/>
        <item m="1" x="212"/>
        <item m="1" x="209"/>
        <item m="1" x="213"/>
        <item m="1" x="204"/>
        <item m="1" x="205"/>
        <item m="1" x="206"/>
        <item m="1" x="207"/>
        <item m="1" x="208"/>
        <item m="1" x="194"/>
        <item m="1" x="195"/>
        <item m="1" x="196"/>
        <item m="1" x="197"/>
        <item m="1" x="198"/>
        <item m="1" x="199"/>
        <item m="1" x="200"/>
        <item m="1" x="202"/>
        <item m="1" x="149"/>
        <item m="1" x="114"/>
        <item m="1" x="201"/>
        <item m="1" x="161"/>
        <item m="1" x="192"/>
        <item m="1" x="193"/>
        <item m="1" x="185"/>
        <item m="1" x="190"/>
        <item m="1" x="147"/>
        <item m="1" x="186"/>
        <item m="1" x="189"/>
        <item m="1" x="181"/>
        <item m="1" x="144"/>
        <item m="1" x="124"/>
        <item m="1" x="188"/>
        <item m="1" x="191"/>
        <item m="1" x="145"/>
        <item m="1" x="125"/>
        <item m="1" x="103"/>
        <item m="1" x="146"/>
        <item m="1" x="121"/>
        <item m="1" x="77"/>
        <item m="1" x="152"/>
        <item m="1" x="96"/>
        <item m="1" x="108"/>
        <item m="1" x="166"/>
        <item m="1" x="187"/>
        <item m="1" x="162"/>
        <item m="1" x="115"/>
        <item m="1" x="169"/>
        <item m="1" x="155"/>
        <item m="1" x="154"/>
        <item m="1" x="148"/>
        <item m="1" x="136"/>
        <item m="1" x="107"/>
        <item m="1" x="102"/>
        <item m="1" x="182"/>
        <item m="1" x="80"/>
        <item m="1" x="183"/>
        <item m="1" x="184"/>
        <item m="1" x="170"/>
        <item m="1" x="171"/>
        <item m="1" x="172"/>
        <item m="1" x="173"/>
        <item m="1" x="180"/>
        <item m="1" x="156"/>
        <item m="1" x="100"/>
        <item m="1" x="92"/>
        <item m="1" x="178"/>
        <item m="1" x="73"/>
        <item m="1" x="97"/>
        <item m="1" x="179"/>
        <item m="1" x="174"/>
        <item m="1" x="139"/>
        <item m="1" x="175"/>
        <item m="1" x="176"/>
        <item m="1" x="59"/>
        <item m="1" x="177"/>
        <item m="1" x="163"/>
        <item m="1" x="164"/>
        <item m="1" x="165"/>
        <item m="1" x="126"/>
        <item m="1" x="76"/>
        <item m="1" x="104"/>
        <item m="1" x="106"/>
        <item m="1" x="167"/>
        <item m="1" x="168"/>
        <item m="1" x="67"/>
        <item m="1" x="159"/>
        <item m="1" x="118"/>
        <item m="1" x="153"/>
        <item m="1" x="116"/>
        <item m="1" x="110"/>
        <item m="1" x="79"/>
        <item m="1" x="160"/>
        <item m="1" x="119"/>
        <item m="1" x="69"/>
        <item m="1" x="151"/>
        <item m="1" x="127"/>
        <item m="1" x="157"/>
        <item m="1" x="158"/>
        <item m="1" x="85"/>
        <item m="1" x="133"/>
        <item m="1" x="82"/>
        <item m="1" x="70"/>
        <item m="1" x="101"/>
        <item m="1" x="122"/>
        <item m="1" x="71"/>
        <item m="1" x="150"/>
        <item m="1" x="140"/>
        <item m="1" x="130"/>
        <item m="1" x="131"/>
        <item m="1" x="142"/>
        <item m="1" x="72"/>
        <item m="1" x="105"/>
        <item m="1" x="141"/>
        <item m="1" x="123"/>
        <item m="1" x="143"/>
        <item m="1" x="135"/>
        <item m="1" x="137"/>
        <item m="1" x="138"/>
        <item m="1" x="91"/>
        <item m="1" x="93"/>
        <item m="1" x="132"/>
        <item m="1" x="134"/>
        <item m="1" x="78"/>
        <item m="1" x="86"/>
        <item m="1" x="94"/>
        <item m="1" x="129"/>
        <item m="1" x="68"/>
        <item m="1" x="87"/>
        <item m="1" x="95"/>
        <item m="1" x="88"/>
        <item m="1" x="128"/>
        <item m="1" x="120"/>
        <item m="1" x="81"/>
        <item m="1" x="83"/>
        <item m="1" x="111"/>
        <item m="1" x="117"/>
        <item m="1" x="109"/>
        <item m="1" x="112"/>
        <item m="1" x="113"/>
        <item m="1" x="90"/>
        <item m="1" x="84"/>
        <item m="1" x="98"/>
        <item m="1" x="99"/>
        <item m="1" x="27"/>
        <item m="1" x="74"/>
        <item m="1" x="89"/>
        <item m="1" x="75"/>
        <item m="1" x="57"/>
        <item m="1" x="58"/>
        <item m="1" x="50"/>
        <item m="1" x="66"/>
        <item m="1" x="52"/>
        <item m="1" x="53"/>
        <item m="1" x="63"/>
        <item m="1" x="64"/>
        <item m="1" x="46"/>
        <item m="1" x="47"/>
        <item m="1" x="51"/>
        <item m="1" x="54"/>
        <item m="1" x="39"/>
        <item m="1" x="32"/>
        <item m="1" x="55"/>
        <item m="1" x="33"/>
        <item m="1" x="30"/>
        <item m="1" x="56"/>
        <item m="1" x="60"/>
        <item m="1" x="61"/>
        <item m="1" x="62"/>
        <item m="1" x="65"/>
        <item m="1" x="21"/>
        <item m="1" x="22"/>
        <item m="1" x="23"/>
        <item m="1" x="24"/>
        <item m="1" x="43"/>
        <item x="4"/>
        <item x="7"/>
        <item m="1" x="48"/>
        <item m="1" x="49"/>
        <item x="14"/>
        <item m="1" x="45"/>
        <item m="1" x="26"/>
        <item x="5"/>
        <item m="1" x="44"/>
        <item m="1" x="25"/>
        <item m="1" x="37"/>
        <item m="1" x="38"/>
        <item m="1" x="40"/>
        <item m="1" x="34"/>
        <item m="1" x="41"/>
        <item m="1" x="42"/>
        <item m="1" x="28"/>
        <item m="1" x="29"/>
        <item x="11"/>
        <item m="1" x="17"/>
        <item m="1" x="18"/>
        <item m="1" x="35"/>
        <item m="1" x="36"/>
        <item m="1" x="31"/>
        <item m="1" x="16"/>
        <item x="6"/>
        <item m="1" x="19"/>
        <item m="1" x="20"/>
        <item x="8"/>
        <item x="9"/>
        <item x="10"/>
        <item x="12"/>
        <item x="13"/>
        <item x="15"/>
      </items>
    </pivotField>
    <pivotField name="FIN PL- " axis="axisRow" compact="0" outline="0" showAll="0" defaultSubtotal="0">
      <items count="558">
        <item x="1"/>
        <item x="4"/>
        <item x="0"/>
        <item m="1" x="494"/>
        <item m="1" x="376"/>
        <item m="1" x="501"/>
        <item m="1" x="493"/>
        <item m="1" x="456"/>
        <item m="1" x="454"/>
        <item m="1" x="504"/>
        <item m="1" x="495"/>
        <item m="1" x="377"/>
        <item m="1" x="421"/>
        <item m="1" x="393"/>
        <item m="1" x="545"/>
        <item m="1" x="514"/>
        <item m="1" x="365"/>
        <item m="1" x="447"/>
        <item m="1" x="538"/>
        <item m="1" x="412"/>
        <item m="1" x="505"/>
        <item m="1" x="529"/>
        <item m="1" x="536"/>
        <item m="1" x="477"/>
        <item m="1" x="356"/>
        <item m="1" x="437"/>
        <item m="1" x="554"/>
        <item m="1" x="425"/>
        <item m="1" x="396"/>
        <item m="1" x="455"/>
        <item m="1" x="540"/>
        <item m="1" x="350"/>
        <item m="1" x="371"/>
        <item m="1" x="509"/>
        <item m="1" x="366"/>
        <item m="1" x="364"/>
        <item m="1" x="419"/>
        <item m="1" x="530"/>
        <item m="1" x="426"/>
        <item m="1" x="521"/>
        <item m="1" x="489"/>
        <item m="1" x="512"/>
        <item m="1" x="354"/>
        <item m="1" x="487"/>
        <item m="1" x="441"/>
        <item m="1" x="533"/>
        <item m="1" x="439"/>
        <item m="1" x="361"/>
        <item x="2"/>
        <item m="1" x="460"/>
        <item m="1" x="400"/>
        <item m="1" x="375"/>
        <item m="1" x="411"/>
        <item m="1" x="405"/>
        <item m="1" x="516"/>
        <item m="1" x="457"/>
        <item m="1" x="417"/>
        <item m="1" x="436"/>
        <item m="1" x="518"/>
        <item m="1" x="413"/>
        <item m="1" x="464"/>
        <item m="1" x="519"/>
        <item m="1" x="450"/>
        <item m="1" x="469"/>
        <item m="1" x="520"/>
        <item m="1" x="451"/>
        <item m="1" x="483"/>
        <item m="1" x="481"/>
        <item m="1" x="547"/>
        <item m="1" x="357"/>
        <item m="1" x="438"/>
        <item m="1" x="555"/>
        <item m="1" x="397"/>
        <item m="1" x="544"/>
        <item m="1" x="423"/>
        <item m="1" x="479"/>
        <item m="1" x="360"/>
        <item m="1" x="358"/>
        <item m="1" x="480"/>
        <item m="1" x="511"/>
        <item m="1" x="433"/>
        <item m="1" x="406"/>
        <item m="1" x="385"/>
        <item m="1" x="488"/>
        <item m="1" x="434"/>
        <item m="1" x="506"/>
        <item m="1" x="379"/>
        <item m="1" x="552"/>
        <item m="1" x="431"/>
        <item m="1" x="525"/>
        <item m="1" x="401"/>
        <item m="1" x="372"/>
        <item m="1" x="402"/>
        <item m="1" x="468"/>
        <item m="1" x="523"/>
        <item m="1" x="510"/>
        <item m="1" x="443"/>
        <item m="1" x="535"/>
        <item m="1" x="367"/>
        <item m="1" x="508"/>
        <item m="1" x="349"/>
        <item m="1" x="355"/>
        <item m="1" x="407"/>
        <item m="1" x="497"/>
        <item m="1" x="553"/>
        <item m="1" x="424"/>
        <item m="1" x="388"/>
        <item m="1" x="550"/>
        <item m="1" x="391"/>
        <item m="1" x="444"/>
        <item m="1" x="378"/>
        <item m="1" x="368"/>
        <item m="1" x="502"/>
        <item m="1" x="470"/>
        <item m="1" x="351"/>
        <item m="1" x="389"/>
        <item m="1" x="503"/>
        <item m="1" x="462"/>
        <item m="1" x="452"/>
        <item m="1" x="507"/>
        <item m="1" x="465"/>
        <item m="1" x="556"/>
        <item m="1" x="427"/>
        <item m="1" x="476"/>
        <item m="1" x="382"/>
        <item m="1" x="474"/>
        <item m="1" x="422"/>
        <item m="1" x="496"/>
        <item m="1" x="461"/>
        <item m="1" x="448"/>
        <item m="1" x="475"/>
        <item m="1" x="541"/>
        <item m="1" x="409"/>
        <item m="1" x="415"/>
        <item m="1" x="527"/>
        <item m="1" x="485"/>
        <item m="1" x="528"/>
        <item m="1" x="416"/>
        <item m="1" x="551"/>
        <item m="1" x="359"/>
        <item m="1" x="440"/>
        <item m="1" x="418"/>
        <item m="1" x="486"/>
        <item m="1" x="435"/>
        <item m="1" x="381"/>
        <item m="1" x="446"/>
        <item m="1" x="484"/>
        <item m="1" x="432"/>
        <item m="1" x="543"/>
        <item m="1" x="478"/>
        <item m="1" x="546"/>
        <item m="1" x="414"/>
        <item m="1" x="473"/>
        <item m="1" x="394"/>
        <item m="1" x="445"/>
        <item m="1" x="369"/>
        <item m="1" x="537"/>
        <item m="1" x="542"/>
        <item m="1" x="524"/>
        <item m="1" x="430"/>
        <item m="1" x="386"/>
        <item m="1" x="471"/>
        <item m="1" x="390"/>
        <item m="1" x="490"/>
        <item m="1" x="517"/>
        <item m="1" x="428"/>
        <item m="1" x="532"/>
        <item m="1" x="557"/>
        <item m="1" x="429"/>
        <item m="1" x="398"/>
        <item m="1" x="513"/>
        <item m="1" x="392"/>
        <item m="1" x="370"/>
        <item m="1" x="362"/>
        <item m="1" x="534"/>
        <item m="1" x="410"/>
        <item m="1" x="352"/>
        <item m="1" x="498"/>
        <item m="1" x="466"/>
        <item m="1" x="344"/>
        <item m="1" x="333"/>
        <item m="1" x="341"/>
        <item m="1" x="345"/>
        <item m="1" x="342"/>
        <item m="1" x="334"/>
        <item m="1" x="320"/>
        <item m="1" x="531"/>
        <item m="1" x="408"/>
        <item m="1" x="499"/>
        <item m="1" x="384"/>
        <item m="1" x="492"/>
        <item m="1" x="373"/>
        <item m="1" x="274"/>
        <item m="1" x="267"/>
        <item m="1" x="380"/>
        <item m="1" x="261"/>
        <item m="1" x="395"/>
        <item m="1" x="218"/>
        <item m="1" x="500"/>
        <item m="1" x="463"/>
        <item m="1" x="183"/>
        <item m="1" x="459"/>
        <item m="1" x="549"/>
        <item m="1" x="449"/>
        <item m="1" x="539"/>
        <item m="1" x="467"/>
        <item m="1" x="399"/>
        <item m="1" x="374"/>
        <item m="1" x="172"/>
        <item m="1" x="169"/>
        <item m="1" x="156"/>
        <item m="1" x="150"/>
        <item m="1" x="146"/>
        <item m="1" x="108"/>
        <item m="1" x="171"/>
        <item m="1" x="522"/>
        <item m="1" x="491"/>
        <item m="1" x="482"/>
        <item m="1" x="453"/>
        <item m="1" x="442"/>
        <item m="1" x="526"/>
        <item m="1" x="403"/>
        <item m="1" x="458"/>
        <item m="1" x="548"/>
        <item m="1" x="420"/>
        <item m="1" x="383"/>
        <item m="1" x="346"/>
        <item m="1" x="317"/>
        <item m="1" x="335"/>
        <item m="1" x="340"/>
        <item m="1" x="325"/>
        <item m="1" x="328"/>
        <item m="1" x="336"/>
        <item m="1" x="307"/>
        <item m="1" x="318"/>
        <item m="1" x="319"/>
        <item m="1" x="308"/>
        <item m="1" x="331"/>
        <item m="1" x="353"/>
        <item m="1" x="315"/>
        <item m="1" x="348"/>
        <item m="1" x="311"/>
        <item m="1" x="339"/>
        <item m="1" x="387"/>
        <item m="1" x="314"/>
        <item m="1" x="309"/>
        <item m="1" x="515"/>
        <item m="1" x="326"/>
        <item m="1" x="337"/>
        <item m="1" x="321"/>
        <item m="1" x="363"/>
        <item m="1" x="327"/>
        <item m="1" x="472"/>
        <item m="1" x="310"/>
        <item m="1" x="404"/>
        <item m="1" x="329"/>
        <item m="1" x="324"/>
        <item m="1" x="313"/>
        <item m="1" x="347"/>
        <item m="1" x="338"/>
        <item m="1" x="305"/>
        <item m="1" x="301"/>
        <item m="1" x="292"/>
        <item m="1" x="306"/>
        <item m="1" x="287"/>
        <item m="1" x="332"/>
        <item m="1" x="302"/>
        <item m="1" x="312"/>
        <item m="1" x="322"/>
        <item m="1" x="323"/>
        <item m="1" x="330"/>
        <item m="1" x="343"/>
        <item m="1" x="304"/>
        <item m="1" x="294"/>
        <item m="1" x="295"/>
        <item m="1" x="280"/>
        <item m="1" x="316"/>
        <item m="1" x="290"/>
        <item m="1" x="293"/>
        <item m="1" x="303"/>
        <item m="1" x="288"/>
        <item m="1" x="289"/>
        <item m="1" x="281"/>
        <item m="1" x="282"/>
        <item m="1" x="291"/>
        <item m="1" x="283"/>
        <item m="1" x="284"/>
        <item m="1" x="285"/>
        <item m="1" x="270"/>
        <item m="1" x="269"/>
        <item m="1" x="276"/>
        <item m="1" x="277"/>
        <item m="1" x="271"/>
        <item m="1" x="272"/>
        <item m="1" x="273"/>
        <item m="1" x="286"/>
        <item m="1" x="251"/>
        <item m="1" x="252"/>
        <item m="1" x="242"/>
        <item m="1" x="263"/>
        <item m="1" x="296"/>
        <item m="1" x="219"/>
        <item m="1" x="214"/>
        <item m="1" x="220"/>
        <item m="1" x="222"/>
        <item m="1" x="213"/>
        <item m="1" x="207"/>
        <item m="1" x="205"/>
        <item m="1" x="203"/>
        <item m="1" x="297"/>
        <item m="1" x="298"/>
        <item m="1" x="299"/>
        <item m="1" x="300"/>
        <item m="1" x="142"/>
        <item m="1" x="147"/>
        <item m="1" x="101"/>
        <item m="1" x="279"/>
        <item m="1" x="278"/>
        <item m="1" x="275"/>
        <item m="1" x="254"/>
        <item m="1" x="266"/>
        <item m="1" x="268"/>
        <item m="1" x="255"/>
        <item m="1" x="250"/>
        <item m="1" x="245"/>
        <item m="1" x="253"/>
        <item m="1" x="265"/>
        <item m="1" x="249"/>
        <item m="1" x="240"/>
        <item m="1" x="246"/>
        <item m="1" x="247"/>
        <item m="1" x="241"/>
        <item m="1" x="256"/>
        <item m="1" x="235"/>
        <item m="1" x="236"/>
        <item m="1" x="264"/>
        <item m="1" x="260"/>
        <item m="1" x="231"/>
        <item m="1" x="232"/>
        <item m="1" x="262"/>
        <item m="1" x="257"/>
        <item m="1" x="258"/>
        <item m="1" x="259"/>
        <item m="1" x="243"/>
        <item m="1" x="239"/>
        <item m="1" x="244"/>
        <item m="1" x="248"/>
        <item m="1" x="237"/>
        <item m="1" x="238"/>
        <item m="1" x="230"/>
        <item m="1" x="233"/>
        <item m="1" x="225"/>
        <item m="1" x="234"/>
        <item m="1" x="229"/>
        <item m="1" x="210"/>
        <item m="1" x="226"/>
        <item m="1" x="227"/>
        <item m="1" x="228"/>
        <item m="1" x="221"/>
        <item m="1" x="223"/>
        <item m="1" x="224"/>
        <item m="1" x="215"/>
        <item m="1" x="206"/>
        <item m="1" x="216"/>
        <item m="1" x="217"/>
        <item m="1" x="211"/>
        <item m="1" x="212"/>
        <item m="1" x="196"/>
        <item m="1" x="208"/>
        <item m="1" x="209"/>
        <item m="1" x="182"/>
        <item m="1" x="139"/>
        <item m="1" x="116"/>
        <item m="1" x="204"/>
        <item m="1" x="165"/>
        <item m="1" x="200"/>
        <item m="1" x="106"/>
        <item m="1" x="199"/>
        <item m="1" x="178"/>
        <item m="1" x="173"/>
        <item m="1" x="167"/>
        <item m="1" x="163"/>
        <item m="1" x="157"/>
        <item m="1" x="190"/>
        <item m="1" x="102"/>
        <item m="1" x="161"/>
        <item m="1" x="201"/>
        <item m="1" x="152"/>
        <item m="1" x="143"/>
        <item m="1" x="128"/>
        <item m="1" x="202"/>
        <item m="1" x="197"/>
        <item m="1" x="138"/>
        <item m="1" x="123"/>
        <item m="1" x="125"/>
        <item m="1" x="162"/>
        <item m="1" x="69"/>
        <item m="1" x="55"/>
        <item m="1" x="198"/>
        <item m="1" x="193"/>
        <item m="1" x="187"/>
        <item m="1" x="188"/>
        <item m="1" x="189"/>
        <item m="1" x="195"/>
        <item m="1" x="153"/>
        <item m="1" x="115"/>
        <item m="1" x="192"/>
        <item m="1" x="51"/>
        <item m="1" x="87"/>
        <item m="1" x="194"/>
        <item m="1" x="59"/>
        <item m="1" x="16"/>
        <item x="8"/>
        <item m="1" x="191"/>
        <item x="11"/>
        <item m="1" x="180"/>
        <item m="1" x="181"/>
        <item m="1" x="88"/>
        <item m="1" x="95"/>
        <item m="1" x="184"/>
        <item m="1" x="185"/>
        <item m="1" x="21"/>
        <item m="1" x="186"/>
        <item m="1" x="175"/>
        <item m="1" x="179"/>
        <item m="1" x="174"/>
        <item m="1" x="83"/>
        <item m="1" x="132"/>
        <item m="1" x="135"/>
        <item m="1" x="176"/>
        <item m="1" x="166"/>
        <item m="1" x="177"/>
        <item m="1" x="170"/>
        <item m="1" x="164"/>
        <item m="1" x="145"/>
        <item m="1" x="137"/>
        <item m="1" x="133"/>
        <item m="1" x="136"/>
        <item m="1" x="159"/>
        <item m="1" x="160"/>
        <item m="1" x="134"/>
        <item m="1" x="130"/>
        <item m="1" x="124"/>
        <item m="1" x="168"/>
        <item m="1" x="105"/>
        <item m="1" x="151"/>
        <item m="1" x="129"/>
        <item m="1" x="140"/>
        <item m="1" x="158"/>
        <item m="1" x="144"/>
        <item m="1" x="154"/>
        <item m="1" x="107"/>
        <item m="1" x="155"/>
        <item m="1" x="141"/>
        <item m="1" x="117"/>
        <item m="1" x="148"/>
        <item m="1" x="149"/>
        <item m="1" x="131"/>
        <item m="1" x="109"/>
        <item m="1" x="110"/>
        <item m="1" x="120"/>
        <item m="1" x="99"/>
        <item m="1" x="89"/>
        <item m="1" x="72"/>
        <item m="1" x="126"/>
        <item m="1" x="100"/>
        <item m="1" x="91"/>
        <item m="1" x="127"/>
        <item m="1" x="63"/>
        <item m="1" x="93"/>
        <item m="1" x="111"/>
        <item m="1" x="112"/>
        <item m="1" x="80"/>
        <item m="1" x="113"/>
        <item m="1" x="114"/>
        <item x="9"/>
        <item m="1" x="118"/>
        <item m="1" x="90"/>
        <item m="1" x="119"/>
        <item m="1" x="94"/>
        <item m="1" x="121"/>
        <item m="1" x="122"/>
        <item m="1" x="92"/>
        <item m="1" x="96"/>
        <item m="1" x="97"/>
        <item m="1" x="82"/>
        <item m="1" x="98"/>
        <item m="1" x="54"/>
        <item m="1" x="103"/>
        <item m="1" x="104"/>
        <item m="1" x="78"/>
        <item m="1" x="79"/>
        <item m="1" x="81"/>
        <item m="1" x="84"/>
        <item m="1" x="85"/>
        <item m="1" x="86"/>
        <item m="1" x="29"/>
        <item x="3"/>
        <item m="1" x="60"/>
        <item m="1" x="71"/>
        <item m="1" x="75"/>
        <item m="1" x="76"/>
        <item m="1" x="77"/>
        <item m="1" x="61"/>
        <item m="1" x="62"/>
        <item m="1" x="64"/>
        <item m="1" x="65"/>
        <item m="1" x="25"/>
        <item m="1" x="70"/>
        <item m="1" x="73"/>
        <item x="6"/>
        <item m="1" x="74"/>
        <item m="1" x="56"/>
        <item m="1" x="66"/>
        <item m="1" x="67"/>
        <item m="1" x="68"/>
        <item m="1" x="19"/>
        <item m="1" x="57"/>
        <item m="1" x="58"/>
        <item m="1" x="50"/>
        <item m="1" x="45"/>
        <item x="5"/>
        <item m="1" x="52"/>
        <item m="1" x="46"/>
        <item m="1" x="53"/>
        <item m="1" x="39"/>
        <item m="1" x="48"/>
        <item m="1" x="49"/>
        <item m="1" x="17"/>
        <item m="1" x="47"/>
        <item x="10"/>
        <item m="1" x="38"/>
        <item m="1" x="40"/>
        <item m="1" x="41"/>
        <item m="1" x="42"/>
        <item m="1" x="43"/>
        <item m="1" x="44"/>
        <item m="1" x="30"/>
        <item m="1" x="31"/>
        <item m="1" x="32"/>
        <item m="1" x="20"/>
        <item m="1" x="33"/>
        <item m="1" x="34"/>
        <item m="1" x="35"/>
        <item m="1" x="36"/>
        <item m="1" x="37"/>
        <item m="1" x="18"/>
        <item m="1" x="27"/>
        <item m="1" x="28"/>
        <item m="1" x="26"/>
        <item m="1" x="22"/>
        <item m="1" x="23"/>
        <item x="12"/>
        <item m="1" x="24"/>
        <item x="7"/>
        <item x="13"/>
        <item x="14"/>
        <item x="15"/>
      </items>
    </pivotField>
    <pivotField name="FIN 6a15 " axis="axisRow" compact="0" outline="0" showAll="0" defaultSubtotal="0">
      <items count="198">
        <item x="1"/>
        <item x="3"/>
        <item x="0"/>
        <item m="1" x="189"/>
        <item m="1" x="176"/>
        <item m="1" x="182"/>
        <item m="1" x="186"/>
        <item x="2"/>
        <item m="1" x="196"/>
        <item m="1" x="185"/>
        <item m="1" x="194"/>
        <item m="1" x="197"/>
        <item m="1" x="191"/>
        <item m="1" x="181"/>
        <item m="1" x="179"/>
        <item m="1" x="187"/>
        <item m="1" x="188"/>
        <item m="1" x="193"/>
        <item m="1" x="183"/>
        <item m="1" x="192"/>
        <item m="1" x="180"/>
        <item m="1" x="169"/>
        <item m="1" x="177"/>
        <item m="1" x="178"/>
        <item m="1" x="184"/>
        <item m="1" x="195"/>
        <item m="1" x="190"/>
        <item m="1" x="175"/>
        <item m="1" x="174"/>
        <item m="1" x="173"/>
        <item m="1" x="172"/>
        <item m="1" x="171"/>
        <item m="1" x="170"/>
        <item m="1" x="167"/>
        <item m="1" x="168"/>
        <item m="1" x="165"/>
        <item m="1" x="166"/>
        <item m="1" x="163"/>
        <item m="1" x="164"/>
        <item m="1" x="162"/>
        <item m="1" x="159"/>
        <item m="1" x="156"/>
        <item m="1" x="157"/>
        <item m="1" x="160"/>
        <item m="1" x="161"/>
        <item m="1" x="158"/>
        <item m="1" x="150"/>
        <item m="1" x="154"/>
        <item m="1" x="155"/>
        <item m="1" x="152"/>
        <item m="1" x="153"/>
        <item m="1" x="151"/>
        <item m="1" x="149"/>
        <item m="1" x="148"/>
        <item m="1" x="147"/>
        <item m="1" x="139"/>
        <item m="1" x="146"/>
        <item m="1" x="144"/>
        <item m="1" x="145"/>
        <item m="1" x="143"/>
        <item m="1" x="140"/>
        <item m="1" x="141"/>
        <item m="1" x="142"/>
        <item m="1" x="136"/>
        <item m="1" x="137"/>
        <item m="1" x="138"/>
        <item m="1" x="129"/>
        <item m="1" x="130"/>
        <item m="1" x="134"/>
        <item m="1" x="135"/>
        <item m="1" x="117"/>
        <item m="1" x="133"/>
        <item m="1" x="131"/>
        <item m="1" x="132"/>
        <item m="1" x="127"/>
        <item m="1" x="128"/>
        <item m="1" x="125"/>
        <item m="1" x="126"/>
        <item m="1" x="123"/>
        <item m="1" x="121"/>
        <item m="1" x="122"/>
        <item m="1" x="124"/>
        <item m="1" x="101"/>
        <item m="1" x="60"/>
        <item m="1" x="118"/>
        <item m="1" x="119"/>
        <item m="1" x="120"/>
        <item m="1" x="50"/>
        <item m="1" x="89"/>
        <item m="1" x="21"/>
        <item m="1" x="46"/>
        <item m="1" x="40"/>
        <item m="1" x="103"/>
        <item m="1" x="115"/>
        <item m="1" x="116"/>
        <item m="1" x="79"/>
        <item m="1" x="97"/>
        <item m="1" x="102"/>
        <item m="1" x="69"/>
        <item m="1" x="107"/>
        <item m="1" x="112"/>
        <item m="1" x="47"/>
        <item m="1" x="71"/>
        <item m="1" x="42"/>
        <item m="1" x="113"/>
        <item m="1" x="114"/>
        <item m="1" x="77"/>
        <item m="1" x="83"/>
        <item m="1" x="37"/>
        <item m="1" x="108"/>
        <item m="1" x="109"/>
        <item m="1" x="110"/>
        <item m="1" x="111"/>
        <item m="1" x="104"/>
        <item m="1" x="105"/>
        <item m="1" x="106"/>
        <item m="1" x="23"/>
        <item m="1" x="19"/>
        <item m="1" x="55"/>
        <item m="1" x="76"/>
        <item m="1" x="72"/>
        <item m="1" x="96"/>
        <item m="1" x="98"/>
        <item m="1" x="99"/>
        <item m="1" x="100"/>
        <item m="1" x="95"/>
        <item m="1" x="94"/>
        <item m="1" x="91"/>
        <item m="1" x="92"/>
        <item m="1" x="27"/>
        <item m="1" x="93"/>
        <item m="1" x="88"/>
        <item m="1" x="87"/>
        <item m="1" x="90"/>
        <item m="1" x="84"/>
        <item m="1" x="85"/>
        <item m="1" x="86"/>
        <item m="1" x="82"/>
        <item m="1" x="80"/>
        <item m="1" x="54"/>
        <item m="1" x="81"/>
        <item m="1" x="78"/>
        <item m="1" x="53"/>
        <item m="1" x="73"/>
        <item m="1" x="74"/>
        <item m="1" x="75"/>
        <item m="1" x="70"/>
        <item m="1" x="66"/>
        <item m="1" x="67"/>
        <item m="1" x="22"/>
        <item m="1" x="68"/>
        <item m="1" x="24"/>
        <item m="1" x="64"/>
        <item m="1" x="65"/>
        <item m="1" x="61"/>
        <item m="1" x="62"/>
        <item m="1" x="63"/>
        <item m="1" x="56"/>
        <item m="1" x="57"/>
        <item m="1" x="51"/>
        <item m="1" x="58"/>
        <item m="1" x="59"/>
        <item m="1" x="52"/>
        <item m="1" x="20"/>
        <item m="1" x="44"/>
        <item m="1" x="45"/>
        <item m="1" x="48"/>
        <item m="1" x="49"/>
        <item m="1" x="39"/>
        <item m="1" x="18"/>
        <item m="1" x="41"/>
        <item m="1" x="43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8"/>
        <item m="1" x="25"/>
        <item m="1" x="26"/>
        <item m="1" x="16"/>
        <item m="1" x="17"/>
        <item m="1" x="15"/>
        <item m="1" x="11"/>
        <item m="1" x="12"/>
        <item m="1" x="13"/>
        <item m="1" x="14"/>
        <item m="1" x="8"/>
        <item m="1" x="9"/>
        <item m="1" x="10"/>
        <item x="6"/>
        <item x="4"/>
        <item x="5"/>
        <item x="7"/>
      </items>
    </pivotField>
    <pivotField name="FIN DIVERS " axis="axisRow" compact="0" outline="0" showAll="0" defaultSubtotal="0">
      <items count="208">
        <item x="1"/>
        <item x="3"/>
        <item x="0"/>
        <item m="1" x="196"/>
        <item m="1" x="176"/>
        <item m="1" x="188"/>
        <item m="1" x="201"/>
        <item m="1" x="180"/>
        <item m="1" x="197"/>
        <item x="2"/>
        <item m="1" x="192"/>
        <item m="1" x="177"/>
        <item m="1" x="189"/>
        <item m="1" x="200"/>
        <item m="1" x="179"/>
        <item m="1" x="175"/>
        <item m="1" x="187"/>
        <item m="1" x="186"/>
        <item m="1" x="195"/>
        <item m="1" x="191"/>
        <item m="1" x="204"/>
        <item m="1" x="182"/>
        <item m="1" x="198"/>
        <item m="1" x="203"/>
        <item m="1" x="207"/>
        <item m="1" x="184"/>
        <item m="1" x="199"/>
        <item m="1" x="178"/>
        <item m="1" x="194"/>
        <item m="1" x="205"/>
        <item m="1" x="183"/>
        <item m="1" x="185"/>
        <item m="1" x="202"/>
        <item m="1" x="193"/>
        <item m="1" x="181"/>
        <item m="1" x="190"/>
        <item m="1" x="174"/>
        <item m="1" x="170"/>
        <item m="1" x="171"/>
        <item m="1" x="172"/>
        <item m="1" x="173"/>
        <item m="1" x="206"/>
        <item m="1" x="169"/>
        <item m="1" x="163"/>
        <item m="1" x="164"/>
        <item m="1" x="165"/>
        <item m="1" x="168"/>
        <item m="1" x="166"/>
        <item m="1" x="167"/>
        <item m="1" x="158"/>
        <item m="1" x="159"/>
        <item m="1" x="160"/>
        <item m="1" x="161"/>
        <item m="1" x="162"/>
        <item m="1" x="156"/>
        <item m="1" x="152"/>
        <item m="1" x="157"/>
        <item m="1" x="153"/>
        <item m="1" x="154"/>
        <item m="1" x="155"/>
        <item m="1" x="149"/>
        <item m="1" x="147"/>
        <item m="1" x="151"/>
        <item m="1" x="146"/>
        <item m="1" x="150"/>
        <item m="1" x="148"/>
        <item m="1" x="139"/>
        <item m="1" x="140"/>
        <item m="1" x="131"/>
        <item m="1" x="141"/>
        <item m="1" x="142"/>
        <item m="1" x="143"/>
        <item m="1" x="144"/>
        <item m="1" x="145"/>
        <item m="1" x="134"/>
        <item m="1" x="135"/>
        <item m="1" x="138"/>
        <item m="1" x="136"/>
        <item m="1" x="137"/>
        <item m="1" x="130"/>
        <item m="1" x="132"/>
        <item m="1" x="133"/>
        <item m="1" x="125"/>
        <item m="1" x="126"/>
        <item m="1" x="124"/>
        <item m="1" x="129"/>
        <item m="1" x="121"/>
        <item m="1" x="127"/>
        <item m="1" x="128"/>
        <item m="1" x="123"/>
        <item m="1" x="118"/>
        <item m="1" x="122"/>
        <item m="1" x="119"/>
        <item m="1" x="120"/>
        <item m="1" x="116"/>
        <item m="1" x="117"/>
        <item m="1" x="113"/>
        <item m="1" x="114"/>
        <item m="1" x="115"/>
        <item m="1" x="108"/>
        <item m="1" x="109"/>
        <item m="1" x="112"/>
        <item m="1" x="110"/>
        <item m="1" x="111"/>
        <item m="1" x="104"/>
        <item m="1" x="105"/>
        <item m="1" x="106"/>
        <item m="1" x="107"/>
        <item m="1" x="102"/>
        <item m="1" x="103"/>
        <item m="1" x="95"/>
        <item m="1" x="97"/>
        <item m="1" x="101"/>
        <item m="1" x="99"/>
        <item m="1" x="94"/>
        <item m="1" x="100"/>
        <item m="1" x="96"/>
        <item m="1" x="98"/>
        <item m="1" x="89"/>
        <item m="1" x="90"/>
        <item m="1" x="91"/>
        <item m="1" x="92"/>
        <item m="1" x="93"/>
        <item m="1" x="86"/>
        <item m="1" x="87"/>
        <item m="1" x="88"/>
        <item m="1" x="84"/>
        <item m="1" x="79"/>
        <item m="1" x="83"/>
        <item m="1" x="85"/>
        <item m="1" x="80"/>
        <item m="1" x="82"/>
        <item m="1" x="63"/>
        <item m="1" x="64"/>
        <item m="1" x="52"/>
        <item m="1" x="81"/>
        <item m="1" x="71"/>
        <item m="1" x="72"/>
        <item m="1" x="78"/>
        <item m="1" x="48"/>
        <item m="1" x="42"/>
        <item m="1" x="30"/>
        <item m="1" x="28"/>
        <item m="1" x="77"/>
        <item m="1" x="41"/>
        <item m="1" x="75"/>
        <item m="1" x="76"/>
        <item m="1" x="73"/>
        <item m="1" x="46"/>
        <item m="1" x="23"/>
        <item m="1" x="74"/>
        <item m="1" x="67"/>
        <item m="1" x="68"/>
        <item m="1" x="38"/>
        <item m="1" x="54"/>
        <item m="1" x="19"/>
        <item m="1" x="69"/>
        <item m="1" x="70"/>
        <item m="1" x="66"/>
        <item m="1" x="65"/>
        <item m="1" x="34"/>
        <item m="1" x="62"/>
        <item m="1" x="60"/>
        <item m="1" x="57"/>
        <item m="1" x="58"/>
        <item m="1" x="56"/>
        <item m="1" x="33"/>
        <item m="1" x="61"/>
        <item m="1" x="51"/>
        <item m="1" x="59"/>
        <item m="1" x="32"/>
        <item m="1" x="53"/>
        <item m="1" x="55"/>
        <item m="1" x="49"/>
        <item m="1" x="50"/>
        <item m="1" x="44"/>
        <item m="1" x="29"/>
        <item m="1" x="47"/>
        <item m="1" x="43"/>
        <item m="1" x="45"/>
        <item m="1" x="36"/>
        <item m="1" x="39"/>
        <item m="1" x="40"/>
        <item m="1" x="37"/>
        <item m="1" x="22"/>
        <item m="1" x="35"/>
        <item m="1" x="31"/>
        <item m="1" x="27"/>
        <item m="1" x="18"/>
        <item m="1" x="24"/>
        <item m="1" x="25"/>
        <item m="1" x="26"/>
        <item m="1" x="20"/>
        <item m="1" x="21"/>
        <item m="1" x="15"/>
        <item m="1" x="16"/>
        <item m="1" x="17"/>
        <item m="1" x="13"/>
        <item m="1" x="14"/>
        <item m="1" x="11"/>
        <item m="1" x="12"/>
        <item m="1" x="9"/>
        <item m="1" x="10"/>
        <item m="1" x="7"/>
        <item m="1" x="8"/>
        <item m="1" x="6"/>
        <item x="4"/>
        <item x="5"/>
      </items>
    </pivotField>
    <pivotField name="FIN SOUDURE " axis="axisRow" compact="0" outline="0" showAll="0" defaultSubtotal="0">
      <items count="587">
        <item x="1"/>
        <item x="3"/>
        <item x="0"/>
        <item m="1" x="499"/>
        <item m="1" x="516"/>
        <item m="1" x="410"/>
        <item m="1" x="433"/>
        <item m="1" x="529"/>
        <item m="1" x="400"/>
        <item m="1" x="466"/>
        <item m="1" x="546"/>
        <item m="1" x="472"/>
        <item m="1" x="536"/>
        <item m="1" x="503"/>
        <item m="1" x="521"/>
        <item m="1" x="532"/>
        <item m="1" x="404"/>
        <item m="1" x="500"/>
        <item m="1" x="524"/>
        <item m="1" x="394"/>
        <item m="1" x="490"/>
        <item m="1" x="382"/>
        <item m="1" x="476"/>
        <item m="1" x="411"/>
        <item m="1" x="509"/>
        <item m="1" x="376"/>
        <item m="1" x="572"/>
        <item m="1" x="481"/>
        <item m="1" x="580"/>
        <item m="1" x="477"/>
        <item m="1" x="474"/>
        <item m="1" x="453"/>
        <item m="1" x="467"/>
        <item m="1" x="388"/>
        <item m="1" x="468"/>
        <item m="1" x="534"/>
        <item m="1" x="458"/>
        <item m="1" x="526"/>
        <item m="1" x="542"/>
        <item m="1" x="562"/>
        <item m="1" x="434"/>
        <item m="1" x="455"/>
        <item m="1" x="426"/>
        <item m="1" x="523"/>
        <item m="1" x="537"/>
        <item m="1" x="392"/>
        <item x="2"/>
        <item m="1" x="569"/>
        <item m="1" x="508"/>
        <item m="1" x="497"/>
        <item m="1" x="407"/>
        <item m="1" x="583"/>
        <item m="1" x="556"/>
        <item m="1" x="487"/>
        <item m="1" x="446"/>
        <item m="1" x="533"/>
        <item m="1" x="428"/>
        <item m="1" x="405"/>
        <item m="1" x="396"/>
        <item m="1" x="414"/>
        <item m="1" x="530"/>
        <item m="1" x="409"/>
        <item m="1" x="438"/>
        <item m="1" x="383"/>
        <item m="1" x="412"/>
        <item m="1" x="510"/>
        <item m="1" x="567"/>
        <item m="1" x="552"/>
        <item m="1" x="564"/>
        <item m="1" x="483"/>
        <item m="1" x="501"/>
        <item m="1" x="442"/>
        <item m="1" x="464"/>
        <item m="1" x="554"/>
        <item m="1" x="391"/>
        <item m="1" x="488"/>
        <item m="1" x="577"/>
        <item m="1" x="422"/>
        <item m="1" x="480"/>
        <item m="1" x="570"/>
        <item m="1" x="489"/>
        <item m="1" x="494"/>
        <item m="1" x="451"/>
        <item m="1" x="419"/>
        <item m="1" x="381"/>
        <item m="1" x="504"/>
        <item m="1" x="557"/>
        <item m="1" x="551"/>
        <item m="1" x="513"/>
        <item m="1" x="436"/>
        <item m="1" x="413"/>
        <item m="1" x="581"/>
        <item m="1" x="401"/>
        <item m="1" x="547"/>
        <item m="1" x="418"/>
        <item m="1" x="506"/>
        <item m="1" x="484"/>
        <item m="1" x="437"/>
        <item m="1" x="586"/>
        <item m="1" x="517"/>
        <item m="1" x="540"/>
        <item m="1" x="566"/>
        <item m="1" x="460"/>
        <item m="1" x="578"/>
        <item m="1" x="505"/>
        <item m="1" x="585"/>
        <item m="1" x="387"/>
        <item m="1" x="420"/>
        <item m="1" x="463"/>
        <item m="1" x="439"/>
        <item m="1" x="445"/>
        <item m="1" x="545"/>
        <item m="1" x="402"/>
        <item m="1" x="559"/>
        <item m="1" x="561"/>
        <item m="1" x="550"/>
        <item m="1" x="415"/>
        <item m="1" x="548"/>
        <item m="1" x="539"/>
        <item m="1" x="425"/>
        <item m="1" x="486"/>
        <item m="1" x="459"/>
        <item m="1" x="398"/>
        <item m="1" x="386"/>
        <item m="1" x="549"/>
        <item m="1" x="525"/>
        <item m="1" x="491"/>
        <item m="1" x="575"/>
        <item m="1" x="377"/>
        <item m="1" x="461"/>
        <item m="1" x="482"/>
        <item m="1" x="528"/>
        <item m="1" x="544"/>
        <item m="1" x="447"/>
        <item m="1" x="406"/>
        <item m="1" x="450"/>
        <item m="1" x="563"/>
        <item m="1" x="389"/>
        <item m="1" x="427"/>
        <item m="1" x="512"/>
        <item m="1" x="408"/>
        <item m="1" x="444"/>
        <item m="1" x="541"/>
        <item m="1" x="522"/>
        <item m="1" x="514"/>
        <item m="1" x="571"/>
        <item m="1" x="469"/>
        <item m="1" x="535"/>
        <item m="1" x="579"/>
        <item m="1" x="538"/>
        <item m="1" x="519"/>
        <item m="1" x="473"/>
        <item m="1" x="478"/>
        <item m="1" x="454"/>
        <item m="1" x="511"/>
        <item m="1" x="584"/>
        <item m="1" x="423"/>
        <item m="1" x="558"/>
        <item m="1" x="543"/>
        <item m="1" x="390"/>
        <item m="1" x="565"/>
        <item m="1" x="456"/>
        <item m="1" x="573"/>
        <item m="1" x="384"/>
        <item m="1" x="493"/>
        <item m="1" x="465"/>
        <item m="1" x="531"/>
        <item m="1" x="403"/>
        <item m="1" x="457"/>
        <item m="1" x="393"/>
        <item m="1" x="430"/>
        <item m="1" x="452"/>
        <item m="1" x="395"/>
        <item m="1" x="518"/>
        <item m="1" x="495"/>
        <item m="1" x="416"/>
        <item m="1" x="498"/>
        <item m="1" x="555"/>
        <item m="1" x="448"/>
        <item m="1" x="475"/>
        <item m="1" x="379"/>
        <item m="1" x="435"/>
        <item m="1" x="471"/>
        <item m="1" x="462"/>
        <item m="1" x="560"/>
        <item m="1" x="553"/>
        <item m="1" x="502"/>
        <item m="1" x="527"/>
        <item m="1" x="397"/>
        <item m="1" x="492"/>
        <item m="1" x="385"/>
        <item m="1" x="362"/>
        <item m="1" x="335"/>
        <item m="1" x="364"/>
        <item m="1" x="365"/>
        <item m="1" x="368"/>
        <item m="1" x="307"/>
        <item m="1" x="322"/>
        <item m="1" x="333"/>
        <item m="1" x="324"/>
        <item m="1" x="309"/>
        <item m="1" x="317"/>
        <item m="1" x="310"/>
        <item m="1" x="303"/>
        <item m="1" x="568"/>
        <item m="1" x="440"/>
        <item m="1" x="507"/>
        <item m="1" x="432"/>
        <item m="1" x="399"/>
        <item m="1" x="485"/>
        <item m="1" x="280"/>
        <item m="1" x="515"/>
        <item m="1" x="441"/>
        <item m="1" x="268"/>
        <item m="1" x="421"/>
        <item m="1" x="247"/>
        <item m="1" x="230"/>
        <item m="1" x="211"/>
        <item m="1" x="212"/>
        <item m="1" x="236"/>
        <item m="1" x="207"/>
        <item m="1" x="267"/>
        <item m="1" x="197"/>
        <item m="1" x="203"/>
        <item m="1" x="429"/>
        <item m="1" x="199"/>
        <item m="1" x="232"/>
        <item m="1" x="378"/>
        <item m="1" x="186"/>
        <item m="1" x="140"/>
        <item m="1" x="431"/>
        <item m="1" x="424"/>
        <item m="1" x="582"/>
        <item m="1" x="576"/>
        <item m="1" x="479"/>
        <item m="1" x="363"/>
        <item m="1" x="354"/>
        <item m="1" x="355"/>
        <item m="1" x="496"/>
        <item m="1" x="374"/>
        <item m="1" x="520"/>
        <item m="1" x="370"/>
        <item m="1" x="443"/>
        <item m="1" x="367"/>
        <item m="1" x="358"/>
        <item m="1" x="359"/>
        <item m="1" x="346"/>
        <item m="1" x="332"/>
        <item m="1" x="417"/>
        <item m="1" x="291"/>
        <item m="1" x="281"/>
        <item m="1" x="276"/>
        <item m="1" x="380"/>
        <item m="1" x="360"/>
        <item m="1" x="343"/>
        <item m="1" x="350"/>
        <item m="1" x="344"/>
        <item m="1" x="345"/>
        <item m="1" x="351"/>
        <item m="1" x="361"/>
        <item m="1" x="356"/>
        <item m="1" x="321"/>
        <item m="1" x="296"/>
        <item m="1" x="325"/>
        <item m="1" x="293"/>
        <item m="1" x="336"/>
        <item m="1" x="347"/>
        <item m="1" x="470"/>
        <item m="1" x="337"/>
        <item m="1" x="338"/>
        <item m="1" x="574"/>
        <item m="1" x="339"/>
        <item m="1" x="348"/>
        <item m="1" x="341"/>
        <item m="1" x="352"/>
        <item m="1" x="334"/>
        <item m="1" x="353"/>
        <item m="1" x="330"/>
        <item m="1" x="349"/>
        <item m="1" x="449"/>
        <item m="1" x="372"/>
        <item m="1" x="373"/>
        <item m="1" x="286"/>
        <item m="1" x="279"/>
        <item m="1" x="283"/>
        <item m="1" x="375"/>
        <item m="1" x="331"/>
        <item m="1" x="308"/>
        <item m="1" x="342"/>
        <item m="1" x="320"/>
        <item m="1" x="311"/>
        <item m="1" x="304"/>
        <item m="1" x="340"/>
        <item m="1" x="315"/>
        <item m="1" x="357"/>
        <item m="1" x="371"/>
        <item m="1" x="369"/>
        <item m="1" x="366"/>
        <item m="1" x="323"/>
        <item m="1" x="316"/>
        <item m="1" x="318"/>
        <item m="1" x="302"/>
        <item m="1" x="298"/>
        <item m="1" x="289"/>
        <item m="1" x="314"/>
        <item m="1" x="313"/>
        <item m="1" x="297"/>
        <item m="1" x="288"/>
        <item m="1" x="290"/>
        <item m="1" x="326"/>
        <item m="1" x="246"/>
        <item m="1" x="198"/>
        <item m="1" x="191"/>
        <item m="1" x="327"/>
        <item m="1" x="328"/>
        <item m="1" x="329"/>
        <item m="1" x="187"/>
        <item m="1" x="176"/>
        <item m="1" x="139"/>
        <item m="1" x="137"/>
        <item m="1" x="167"/>
        <item m="1" x="119"/>
        <item m="1" x="88"/>
        <item m="1" x="305"/>
        <item m="1" x="306"/>
        <item m="1" x="319"/>
        <item m="1" x="301"/>
        <item m="1" x="312"/>
        <item m="1" x="300"/>
        <item m="1" x="285"/>
        <item m="1" x="299"/>
        <item m="1" x="284"/>
        <item m="1" x="287"/>
        <item m="1" x="294"/>
        <item m="1" x="295"/>
        <item m="1" x="292"/>
        <item m="1" x="278"/>
        <item m="1" x="277"/>
        <item m="1" x="282"/>
        <item m="1" x="275"/>
        <item m="1" x="269"/>
        <item m="1" x="273"/>
        <item m="1" x="263"/>
        <item m="1" x="271"/>
        <item m="1" x="272"/>
        <item m="1" x="257"/>
        <item m="1" x="264"/>
        <item m="1" x="262"/>
        <item m="1" x="274"/>
        <item m="1" x="213"/>
        <item m="1" x="204"/>
        <item m="1" x="270"/>
        <item m="1" x="228"/>
        <item m="1" x="231"/>
        <item m="1" x="222"/>
        <item m="1" x="215"/>
        <item m="1" x="208"/>
        <item m="1" x="266"/>
        <item m="1" x="235"/>
        <item m="1" x="195"/>
        <item m="1" x="220"/>
        <item m="1" x="237"/>
        <item m="1" x="253"/>
        <item m="1" x="265"/>
        <item m="1" x="255"/>
        <item m="1" x="238"/>
        <item m="1" x="248"/>
        <item m="1" x="239"/>
        <item m="1" x="241"/>
        <item m="1" x="256"/>
        <item m="1" x="258"/>
        <item m="1" x="240"/>
        <item m="1" x="254"/>
        <item m="1" x="261"/>
        <item m="1" x="250"/>
        <item m="1" x="227"/>
        <item m="1" x="224"/>
        <item m="1" x="259"/>
        <item m="1" x="260"/>
        <item m="1" x="243"/>
        <item m="1" x="234"/>
        <item m="1" x="219"/>
        <item m="1" x="244"/>
        <item m="1" x="249"/>
        <item m="1" x="251"/>
        <item m="1" x="242"/>
        <item m="1" x="226"/>
        <item m="1" x="252"/>
        <item m="1" x="245"/>
        <item m="1" x="225"/>
        <item m="1" x="229"/>
        <item m="1" x="160"/>
        <item m="1" x="233"/>
        <item m="1" x="216"/>
        <item m="1" x="182"/>
        <item m="1" x="149"/>
        <item m="1" x="113"/>
        <item m="1" x="128"/>
        <item m="1" x="172"/>
        <item m="1" x="142"/>
        <item m="1" x="98"/>
        <item m="1" x="108"/>
        <item m="1" x="153"/>
        <item m="1" x="205"/>
        <item m="1" x="170"/>
        <item m="1" x="223"/>
        <item m="1" x="218"/>
        <item m="1" x="221"/>
        <item m="1" x="143"/>
        <item m="1" x="217"/>
        <item m="1" x="83"/>
        <item m="1" x="126"/>
        <item m="1" x="92"/>
        <item m="1" x="84"/>
        <item m="1" x="159"/>
        <item m="1" x="67"/>
        <item m="1" x="214"/>
        <item m="1" x="155"/>
        <item m="1" x="148"/>
        <item m="1" x="93"/>
        <item m="1" x="76"/>
        <item m="1" x="69"/>
        <item m="1" x="209"/>
        <item m="1" x="66"/>
        <item m="1" x="210"/>
        <item m="1" x="28"/>
        <item m="1" x="196"/>
        <item m="1" x="144"/>
        <item m="1" x="100"/>
        <item m="1" x="87"/>
        <item m="1" x="200"/>
        <item m="1" x="61"/>
        <item m="1" x="201"/>
        <item m="1" x="44"/>
        <item m="1" x="202"/>
        <item m="1" x="96"/>
        <item m="1" x="109"/>
        <item m="1" x="154"/>
        <item x="6"/>
        <item m="1" x="117"/>
        <item x="17"/>
        <item x="18"/>
        <item m="1" x="206"/>
        <item m="1" x="169"/>
        <item m="1" x="173"/>
        <item m="1" x="188"/>
        <item m="1" x="189"/>
        <item m="1" x="190"/>
        <item m="1" x="192"/>
        <item m="1" x="94"/>
        <item m="1" x="77"/>
        <item m="1" x="47"/>
        <item m="1" x="53"/>
        <item m="1" x="24"/>
        <item m="1" x="193"/>
        <item m="1" x="194"/>
        <item m="1" x="71"/>
        <item m="1" x="110"/>
        <item m="1" x="72"/>
        <item m="1" x="179"/>
        <item m="1" x="165"/>
        <item m="1" x="123"/>
        <item m="1" x="101"/>
        <item m="1" x="184"/>
        <item m="1" x="185"/>
        <item m="1" x="141"/>
        <item m="1" x="121"/>
        <item m="1" x="73"/>
        <item m="1" x="74"/>
        <item m="1" x="75"/>
        <item m="1" x="103"/>
        <item m="1" x="178"/>
        <item m="1" x="183"/>
        <item m="1" x="133"/>
        <item m="1" x="104"/>
        <item m="1" x="180"/>
        <item m="1" x="97"/>
        <item m="1" x="181"/>
        <item m="1" x="145"/>
        <item m="1" x="22"/>
        <item m="1" x="174"/>
        <item m="1" x="177"/>
        <item m="1" x="114"/>
        <item m="1" x="162"/>
        <item m="1" x="36"/>
        <item m="1" x="112"/>
        <item m="1" x="64"/>
        <item m="1" x="168"/>
        <item m="1" x="164"/>
        <item m="1" x="127"/>
        <item m="1" x="158"/>
        <item m="1" x="120"/>
        <item m="1" x="34"/>
        <item m="1" x="156"/>
        <item m="1" x="151"/>
        <item m="1" x="157"/>
        <item m="1" x="175"/>
        <item m="1" x="171"/>
        <item m="1" x="86"/>
        <item m="1" x="163"/>
        <item m="1" x="161"/>
        <item m="1" x="166"/>
        <item m="1" x="152"/>
        <item m="1" x="99"/>
        <item m="1" x="134"/>
        <item m="1" x="78"/>
        <item m="1" x="150"/>
        <item m="1" x="81"/>
        <item m="1" x="111"/>
        <item m="1" x="138"/>
        <item m="1" x="125"/>
        <item m="1" x="32"/>
        <item m="1" x="122"/>
        <item m="1" x="85"/>
        <item m="1" x="135"/>
        <item m="1" x="146"/>
        <item m="1" x="147"/>
        <item m="1" x="82"/>
        <item m="1" x="106"/>
        <item m="1" x="136"/>
        <item m="1" x="130"/>
        <item x="13"/>
        <item m="1" x="129"/>
        <item m="1" x="131"/>
        <item m="1" x="132"/>
        <item m="1" x="89"/>
        <item m="1" x="115"/>
        <item m="1" x="116"/>
        <item m="1" x="52"/>
        <item m="1" x="118"/>
        <item m="1" x="102"/>
        <item m="1" x="105"/>
        <item m="1" x="20"/>
        <item m="1" x="51"/>
        <item m="1" x="107"/>
        <item m="1" x="95"/>
        <item m="1" x="124"/>
        <item m="1" x="50"/>
        <item m="1" x="90"/>
        <item m="1" x="91"/>
        <item m="1" x="37"/>
        <item m="1" x="35"/>
        <item m="1" x="79"/>
        <item m="1" x="21"/>
        <item x="8"/>
        <item m="1" x="80"/>
        <item m="1" x="68"/>
        <item m="1" x="70"/>
        <item m="1" x="59"/>
        <item m="1" x="39"/>
        <item m="1" x="62"/>
        <item m="1" x="56"/>
        <item m="1" x="57"/>
        <item m="1" x="58"/>
        <item m="1" x="60"/>
        <item m="1" x="65"/>
        <item m="1" x="63"/>
        <item m="1" x="46"/>
        <item m="1" x="48"/>
        <item m="1" x="49"/>
        <item x="4"/>
        <item x="11"/>
        <item m="1" x="54"/>
        <item m="1" x="55"/>
        <item x="5"/>
        <item m="1" x="38"/>
        <item m="1" x="40"/>
        <item m="1" x="41"/>
        <item m="1" x="42"/>
        <item m="1" x="43"/>
        <item m="1" x="26"/>
        <item x="15"/>
        <item m="1" x="45"/>
        <item m="1" x="19"/>
        <item m="1" x="30"/>
        <item m="1" x="33"/>
        <item m="1" x="25"/>
        <item m="1" x="27"/>
        <item m="1" x="29"/>
        <item m="1" x="31"/>
        <item x="9"/>
        <item m="1" x="23"/>
        <item x="7"/>
        <item x="10"/>
        <item x="12"/>
        <item x="14"/>
        <item x="16"/>
      </items>
    </pivotField>
    <pivotField name="FIN LC " axis="axisRow" compact="0" outline="0" showAll="0" defaultSubtotal="0">
      <items count="598">
        <item x="1"/>
        <item x="3"/>
        <item x="0"/>
        <item m="1" x="518"/>
        <item m="1" x="582"/>
        <item m="1" x="469"/>
        <item m="1" x="439"/>
        <item m="1" x="417"/>
        <item m="1" x="465"/>
        <item m="1" x="595"/>
        <item m="1" x="571"/>
        <item m="1" x="423"/>
        <item m="1" x="452"/>
        <item m="1" x="420"/>
        <item m="1" x="505"/>
        <item m="1" x="561"/>
        <item m="1" x="446"/>
        <item m="1" x="496"/>
        <item m="1" x="525"/>
        <item m="1" x="406"/>
        <item m="1" x="578"/>
        <item m="1" x="466"/>
        <item m="1" x="519"/>
        <item m="1" x="596"/>
        <item m="1" x="484"/>
        <item m="1" x="447"/>
        <item m="1" x="492"/>
        <item m="1" x="552"/>
        <item m="1" x="577"/>
        <item m="1" x="549"/>
        <item m="1" x="591"/>
        <item m="1" x="479"/>
        <item m="1" x="503"/>
        <item m="1" x="540"/>
        <item m="1" x="433"/>
        <item m="1" x="476"/>
        <item m="1" x="462"/>
        <item m="1" x="511"/>
        <item m="1" x="453"/>
        <item m="1" x="506"/>
        <item m="1" x="441"/>
        <item m="1" x="521"/>
        <item m="1" x="516"/>
        <item m="1" x="592"/>
        <item m="1" x="568"/>
        <item m="1" x="554"/>
        <item m="1" x="438"/>
        <item m="1" x="534"/>
        <item m="1" x="434"/>
        <item m="1" x="532"/>
        <item m="1" x="430"/>
        <item m="1" x="472"/>
        <item x="2"/>
        <item m="1" x="529"/>
        <item m="1" x="556"/>
        <item m="1" x="566"/>
        <item m="1" x="483"/>
        <item m="1" x="539"/>
        <item m="1" x="569"/>
        <item m="1" x="537"/>
        <item m="1" x="411"/>
        <item m="1" x="473"/>
        <item m="1" x="491"/>
        <item m="1" x="407"/>
        <item m="1" x="467"/>
        <item m="1" x="515"/>
        <item m="1" x="418"/>
        <item m="1" x="456"/>
        <item m="1" x="489"/>
        <item m="1" x="587"/>
        <item m="1" x="576"/>
        <item m="1" x="424"/>
        <item m="1" x="570"/>
        <item m="1" x="403"/>
        <item m="1" x="583"/>
        <item m="1" x="429"/>
        <item m="1" x="480"/>
        <item m="1" x="504"/>
        <item m="1" x="449"/>
        <item m="1" x="550"/>
        <item m="1" x="545"/>
        <item m="1" x="415"/>
        <item m="1" x="408"/>
        <item m="1" x="445"/>
        <item m="1" x="526"/>
        <item m="1" x="485"/>
        <item m="1" x="558"/>
        <item m="1" x="401"/>
        <item m="1" x="419"/>
        <item m="1" x="457"/>
        <item m="1" x="512"/>
        <item m="1" x="517"/>
        <item m="1" x="527"/>
        <item m="1" x="454"/>
        <item m="1" x="461"/>
        <item m="1" x="427"/>
        <item m="1" x="514"/>
        <item m="1" x="508"/>
        <item m="1" x="490"/>
        <item m="1" x="442"/>
        <item m="1" x="402"/>
        <item m="1" x="487"/>
        <item m="1" x="548"/>
        <item m="1" x="530"/>
        <item m="1" x="557"/>
        <item m="1" x="440"/>
        <item m="1" x="399"/>
        <item m="1" x="502"/>
        <item m="1" x="572"/>
        <item m="1" x="455"/>
        <item m="1" x="509"/>
        <item m="1" x="589"/>
        <item m="1" x="562"/>
        <item m="1" x="448"/>
        <item m="1" x="486"/>
        <item m="1" x="510"/>
        <item m="1" x="488"/>
        <item m="1" x="567"/>
        <item m="1" x="493"/>
        <item m="1" x="553"/>
        <item m="1" x="541"/>
        <item m="1" x="584"/>
        <item m="1" x="470"/>
        <item m="1" x="451"/>
        <item m="1" x="425"/>
        <item m="1" x="499"/>
        <item m="1" x="559"/>
        <item m="1" x="523"/>
        <item m="1" x="475"/>
        <item m="1" x="546"/>
        <item m="1" x="478"/>
        <item m="1" x="498"/>
        <item m="1" x="575"/>
        <item m="1" x="585"/>
        <item m="1" x="597"/>
        <item m="1" x="471"/>
        <item m="1" x="535"/>
        <item m="1" x="443"/>
        <item m="1" x="404"/>
        <item m="1" x="410"/>
        <item m="1" x="431"/>
        <item m="1" x="501"/>
        <item m="1" x="551"/>
        <item m="1" x="412"/>
        <item m="1" x="435"/>
        <item m="1" x="520"/>
        <item m="1" x="432"/>
        <item m="1" x="428"/>
        <item m="1" x="474"/>
        <item m="1" x="468"/>
        <item m="1" x="494"/>
        <item m="1" x="421"/>
        <item m="1" x="400"/>
        <item m="1" x="497"/>
        <item m="1" x="593"/>
        <item m="1" x="481"/>
        <item m="1" x="581"/>
        <item m="1" x="422"/>
        <item m="1" x="579"/>
        <item m="1" x="436"/>
        <item m="1" x="580"/>
        <item m="1" x="409"/>
        <item m="1" x="414"/>
        <item m="1" x="413"/>
        <item m="1" x="495"/>
        <item m="1" x="522"/>
        <item m="1" x="560"/>
        <item m="1" x="437"/>
        <item m="1" x="477"/>
        <item m="1" x="563"/>
        <item m="1" x="536"/>
        <item m="1" x="507"/>
        <item m="1" x="588"/>
        <item m="1" x="531"/>
        <item m="1" x="500"/>
        <item m="1" x="573"/>
        <item m="1" x="458"/>
        <item m="1" x="594"/>
        <item m="1" x="459"/>
        <item m="1" x="543"/>
        <item m="1" x="426"/>
        <item m="1" x="590"/>
        <item m="1" x="374"/>
        <item m="1" x="341"/>
        <item m="1" x="359"/>
        <item m="1" x="342"/>
        <item m="1" x="538"/>
        <item m="1" x="346"/>
        <item m="1" x="333"/>
        <item m="1" x="329"/>
        <item m="1" x="330"/>
        <item m="1" x="360"/>
        <item m="1" x="339"/>
        <item m="1" x="331"/>
        <item m="1" x="318"/>
        <item m="1" x="345"/>
        <item m="1" x="463"/>
        <item m="1" x="248"/>
        <item m="1" x="240"/>
        <item m="1" x="231"/>
        <item m="1" x="218"/>
        <item m="1" x="565"/>
        <item m="1" x="219"/>
        <item m="1" x="220"/>
        <item m="1" x="225"/>
        <item m="1" x="187"/>
        <item m="1" x="196"/>
        <item m="1" x="181"/>
        <item m="1" x="169"/>
        <item m="1" x="151"/>
        <item m="1" x="154"/>
        <item m="1" x="102"/>
        <item m="1" x="93"/>
        <item m="1" x="120"/>
        <item m="1" x="166"/>
        <item m="1" x="145"/>
        <item m="1" x="126"/>
        <item m="1" x="127"/>
        <item m="1" x="156"/>
        <item m="1" x="464"/>
        <item m="1" x="157"/>
        <item m="1" x="194"/>
        <item m="1" x="150"/>
        <item m="1" x="234"/>
        <item m="1" x="31"/>
        <item m="1" x="542"/>
        <item m="1" x="482"/>
        <item m="1" x="513"/>
        <item m="1" x="363"/>
        <item m="1" x="392"/>
        <item m="1" x="356"/>
        <item m="1" x="555"/>
        <item m="1" x="416"/>
        <item m="1" x="524"/>
        <item m="1" x="377"/>
        <item m="1" x="382"/>
        <item m="1" x="395"/>
        <item m="1" x="364"/>
        <item m="1" x="397"/>
        <item m="1" x="379"/>
        <item m="1" x="348"/>
        <item m="1" x="378"/>
        <item m="1" x="383"/>
        <item m="1" x="396"/>
        <item m="1" x="384"/>
        <item m="1" x="389"/>
        <item m="1" x="574"/>
        <item m="1" x="564"/>
        <item m="1" x="385"/>
        <item m="1" x="375"/>
        <item m="1" x="289"/>
        <item m="1" x="320"/>
        <item m="1" x="387"/>
        <item m="1" x="373"/>
        <item m="1" x="297"/>
        <item m="1" x="533"/>
        <item m="1" x="368"/>
        <item m="1" x="528"/>
        <item m="1" x="365"/>
        <item m="1" x="398"/>
        <item m="1" x="336"/>
        <item m="1" x="343"/>
        <item m="1" x="312"/>
        <item m="1" x="586"/>
        <item m="1" x="544"/>
        <item m="1" x="450"/>
        <item m="1" x="444"/>
        <item m="1" x="390"/>
        <item m="1" x="362"/>
        <item m="1" x="337"/>
        <item m="1" x="334"/>
        <item m="1" x="381"/>
        <item m="1" x="324"/>
        <item m="1" x="319"/>
        <item m="1" x="307"/>
        <item m="1" x="460"/>
        <item m="1" x="547"/>
        <item m="1" x="347"/>
        <item m="1" x="335"/>
        <item m="1" x="323"/>
        <item m="1" x="296"/>
        <item m="1" x="405"/>
        <item m="1" x="391"/>
        <item m="1" x="344"/>
        <item m="1" x="292"/>
        <item m="1" x="349"/>
        <item m="1" x="340"/>
        <item m="1" x="386"/>
        <item m="1" x="369"/>
        <item m="1" x="366"/>
        <item m="1" x="325"/>
        <item m="1" x="279"/>
        <item m="1" x="326"/>
        <item m="1" x="332"/>
        <item m="1" x="310"/>
        <item m="1" x="393"/>
        <item m="1" x="388"/>
        <item m="1" x="380"/>
        <item m="1" x="311"/>
        <item m="1" x="328"/>
        <item m="1" x="338"/>
        <item m="1" x="306"/>
        <item m="1" x="394"/>
        <item m="1" x="370"/>
        <item m="1" x="371"/>
        <item m="1" x="372"/>
        <item m="1" x="376"/>
        <item m="1" x="327"/>
        <item m="1" x="367"/>
        <item m="1" x="300"/>
        <item m="1" x="361"/>
        <item m="1" x="298"/>
        <item m="1" x="288"/>
        <item m="1" x="290"/>
        <item m="1" x="291"/>
        <item m="1" x="280"/>
        <item m="1" x="284"/>
        <item m="1" x="303"/>
        <item m="1" x="357"/>
        <item m="1" x="358"/>
        <item m="1" x="281"/>
        <item m="1" x="285"/>
        <item m="1" x="314"/>
        <item m="1" x="286"/>
        <item m="1" x="350"/>
        <item m="1" x="351"/>
        <item m="1" x="282"/>
        <item m="1" x="352"/>
        <item m="1" x="269"/>
        <item m="1" x="295"/>
        <item m="1" x="264"/>
        <item m="1" x="232"/>
        <item m="1" x="224"/>
        <item m="1" x="353"/>
        <item m="1" x="354"/>
        <item m="1" x="355"/>
        <item m="1" x="180"/>
        <item m="1" x="152"/>
        <item m="1" x="179"/>
        <item m="1" x="108"/>
        <item m="1" x="193"/>
        <item m="1" x="84"/>
        <item x="9"/>
        <item m="1" x="268"/>
        <item m="1" x="263"/>
        <item m="1" x="270"/>
        <item m="1" x="299"/>
        <item m="1" x="321"/>
        <item m="1" x="322"/>
        <item m="1" x="308"/>
        <item sd="0" m="1" x="313"/>
        <item m="1" x="250"/>
        <item m="1" x="304"/>
        <item m="1" x="265"/>
        <item m="1" x="258"/>
        <item m="1" x="302"/>
        <item m="1" x="259"/>
        <item m="1" x="253"/>
        <item m="1" x="254"/>
        <item m="1" x="235"/>
        <item m="1" x="245"/>
        <item m="1" x="315"/>
        <item m="1" x="316"/>
        <item m="1" x="317"/>
        <item m="1" x="261"/>
        <item m="1" x="309"/>
        <item m="1" x="301"/>
        <item m="1" x="305"/>
        <item m="1" x="243"/>
        <item m="1" x="293"/>
        <item m="1" x="256"/>
        <item m="1" x="255"/>
        <item m="1" x="294"/>
        <item m="1" x="278"/>
        <item m="1" x="287"/>
        <item m="1" x="257"/>
        <item m="1" x="267"/>
        <item m="1" x="283"/>
        <item m="1" x="275"/>
        <item m="1" x="262"/>
        <item m="1" x="277"/>
        <item m="1" x="273"/>
        <item m="1" x="276"/>
        <item m="1" x="274"/>
        <item m="1" x="251"/>
        <item m="1" x="252"/>
        <item m="1" x="244"/>
        <item m="1" x="221"/>
        <item m="1" x="271"/>
        <item m="1" x="272"/>
        <item m="1" x="213"/>
        <item m="1" x="266"/>
        <item m="1" x="260"/>
        <item m="1" x="129"/>
        <item m="1" x="236"/>
        <item m="1" x="202"/>
        <item m="1" x="172"/>
        <item m="1" x="158"/>
        <item m="1" x="86"/>
        <item m="1" x="246"/>
        <item m="1" x="247"/>
        <item m="1" x="249"/>
        <item m="1" x="237"/>
        <item m="1" x="238"/>
        <item m="1" x="239"/>
        <item m="1" x="217"/>
        <item m="1" x="241"/>
        <item m="1" x="153"/>
        <item m="1" x="130"/>
        <item m="1" x="242"/>
        <item m="1" x="123"/>
        <item m="1" x="124"/>
        <item m="1" x="216"/>
        <item m="1" x="168"/>
        <item m="1" x="155"/>
        <item m="1" x="122"/>
        <item m="1" x="233"/>
        <item m="1" x="88"/>
        <item m="1" x="192"/>
        <item m="1" x="59"/>
        <item m="1" x="22"/>
        <item m="1" x="74"/>
        <item m="1" x="222"/>
        <item m="1" x="230"/>
        <item m="1" x="89"/>
        <item m="1" x="80"/>
        <item m="1" x="96"/>
        <item m="1" x="23"/>
        <item m="1" x="229"/>
        <item m="1" x="112"/>
        <item m="1" x="191"/>
        <item m="1" x="109"/>
        <item m="1" x="140"/>
        <item m="1" x="228"/>
        <item m="1" x="163"/>
        <item x="11"/>
        <item m="1" x="71"/>
        <item m="1" x="54"/>
        <item m="1" x="178"/>
        <item m="1" x="223"/>
        <item m="1" x="70"/>
        <item m="1" x="36"/>
        <item m="1" x="226"/>
        <item m="1" x="227"/>
        <item m="1" x="165"/>
        <item m="1" x="57"/>
        <item x="12"/>
        <item m="1" x="41"/>
        <item m="1" x="203"/>
        <item m="1" x="204"/>
        <item m="1" x="205"/>
        <item m="1" x="98"/>
        <item m="1" x="131"/>
        <item m="1" x="141"/>
        <item m="1" x="146"/>
        <item m="1" x="176"/>
        <item m="1" x="24"/>
        <item m="1" x="214"/>
        <item m="1" x="215"/>
        <item m="1" x="55"/>
        <item m="1" x="206"/>
        <item m="1" x="207"/>
        <item m="1" x="134"/>
        <item m="1" x="87"/>
        <item m="1" x="75"/>
        <item m="1" x="208"/>
        <item m="1" x="209"/>
        <item m="1" x="210"/>
        <item m="1" x="211"/>
        <item m="1" x="212"/>
        <item m="1" x="199"/>
        <item m="1" x="133"/>
        <item m="1" x="83"/>
        <item m="1" x="195"/>
        <item m="1" x="188"/>
        <item m="1" x="90"/>
        <item m="1" x="189"/>
        <item m="1" x="201"/>
        <item m="1" x="185"/>
        <item m="1" x="58"/>
        <item m="1" x="95"/>
        <item m="1" x="200"/>
        <item m="1" x="173"/>
        <item m="1" x="104"/>
        <item m="1" x="107"/>
        <item m="1" x="19"/>
        <item m="1" x="197"/>
        <item m="1" x="161"/>
        <item m="1" x="110"/>
        <item m="1" x="198"/>
        <item m="1" x="113"/>
        <item m="1" x="175"/>
        <item m="1" x="81"/>
        <item m="1" x="111"/>
        <item m="1" x="139"/>
        <item m="1" x="142"/>
        <item m="1" x="73"/>
        <item m="1" x="184"/>
        <item m="1" x="162"/>
        <item m="1" x="20"/>
        <item m="1" x="149"/>
        <item m="1" x="101"/>
        <item m="1" x="190"/>
        <item m="1" x="177"/>
        <item m="1" x="186"/>
        <item m="1" x="182"/>
        <item m="1" x="183"/>
        <item m="1" x="118"/>
        <item m="1" x="143"/>
        <item m="1" x="174"/>
        <item m="1" x="91"/>
        <item m="1" x="105"/>
        <item m="1" x="170"/>
        <item m="1" x="92"/>
        <item m="1" x="171"/>
        <item m="1" x="39"/>
        <item x="7"/>
        <item m="1" x="138"/>
        <item m="1" x="116"/>
        <item m="1" x="132"/>
        <item m="1" x="144"/>
        <item m="1" x="164"/>
        <item m="1" x="147"/>
        <item m="1" x="167"/>
        <item x="6"/>
        <item m="1" x="34"/>
        <item m="1" x="117"/>
        <item m="1" x="159"/>
        <item m="1" x="160"/>
        <item m="1" x="148"/>
        <item m="1" x="106"/>
        <item m="1" x="94"/>
        <item m="1" x="76"/>
        <item m="1" x="77"/>
        <item m="1" x="47"/>
        <item x="8"/>
        <item m="1" x="100"/>
        <item m="1" x="119"/>
        <item m="1" x="115"/>
        <item m="1" x="135"/>
        <item m="1" x="128"/>
        <item m="1" x="136"/>
        <item m="1" x="137"/>
        <item m="1" x="99"/>
        <item x="4"/>
        <item m="1" x="121"/>
        <item m="1" x="125"/>
        <item m="1" x="97"/>
        <item m="1" x="103"/>
        <item m="1" x="114"/>
        <item m="1" x="37"/>
        <item m="1" x="40"/>
        <item m="1" x="78"/>
        <item m="1" x="79"/>
        <item m="1" x="60"/>
        <item m="1" x="82"/>
        <item m="1" x="85"/>
        <item m="1" x="25"/>
        <item m="1" x="61"/>
        <item m="1" x="62"/>
        <item m="1" x="65"/>
        <item m="1" x="66"/>
        <item x="5"/>
        <item m="1" x="21"/>
        <item m="1" x="63"/>
        <item m="1" x="64"/>
        <item m="1" x="72"/>
        <item m="1" x="67"/>
        <item m="1" x="68"/>
        <item m="1" x="69"/>
        <item m="1" x="51"/>
        <item m="1" x="38"/>
        <item m="1" x="48"/>
        <item m="1" x="49"/>
        <item m="1" x="50"/>
        <item m="1" x="52"/>
        <item m="1" x="53"/>
        <item x="13"/>
        <item m="1" x="56"/>
        <item m="1" x="26"/>
        <item m="1" x="42"/>
        <item m="1" x="43"/>
        <item m="1" x="44"/>
        <item m="1" x="45"/>
        <item m="1" x="28"/>
        <item m="1" x="46"/>
        <item m="1" x="35"/>
        <item m="1" x="32"/>
        <item m="1" x="33"/>
        <item m="1" x="27"/>
        <item x="14"/>
        <item m="1" x="29"/>
        <item m="1" x="30"/>
        <item x="10"/>
        <item x="15"/>
        <item x="16"/>
        <item x="17"/>
        <item x="18"/>
      </items>
    </pivotField>
    <pivotField name="FIN LB " axis="axisRow" compact="0" outline="0" showAll="0" defaultSubtotal="0">
      <items count="482">
        <item x="1"/>
        <item x="3"/>
        <item x="0"/>
        <item m="1" x="434"/>
        <item m="1" x="336"/>
        <item m="1" x="439"/>
        <item m="1" x="432"/>
        <item m="1" x="334"/>
        <item m="1" x="398"/>
        <item m="1" x="399"/>
        <item m="1" x="370"/>
        <item m="1" x="442"/>
        <item m="1" x="316"/>
        <item m="1" x="385"/>
        <item m="1" x="461"/>
        <item m="1" x="376"/>
        <item m="1" x="452"/>
        <item m="1" x="355"/>
        <item m="1" x="465"/>
        <item m="1" x="314"/>
        <item m="1" x="328"/>
        <item m="1" x="386"/>
        <item m="1" x="338"/>
        <item m="1" x="407"/>
        <item m="1" x="472"/>
        <item m="1" x="373"/>
        <item m="1" x="420"/>
        <item m="1" x="337"/>
        <item m="1" x="310"/>
        <item m="1" x="354"/>
        <item m="1" x="445"/>
        <item m="1" x="473"/>
        <item m="1" x="413"/>
        <item m="1" x="387"/>
        <item m="1" x="323"/>
        <item m="1" x="466"/>
        <item m="1" x="368"/>
        <item m="1" x="414"/>
        <item m="1" x="451"/>
        <item m="1" x="417"/>
        <item m="1" x="433"/>
        <item m="1" x="335"/>
        <item m="1" x="369"/>
        <item m="1" x="325"/>
        <item x="2"/>
        <item m="1" x="404"/>
        <item m="1" x="449"/>
        <item m="1" x="397"/>
        <item m="1" x="435"/>
        <item m="1" x="477"/>
        <item m="1" x="343"/>
        <item m="1" x="317"/>
        <item m="1" x="421"/>
        <item m="1" x="324"/>
        <item m="1" x="341"/>
        <item m="1" x="311"/>
        <item m="1" x="448"/>
        <item m="1" x="331"/>
        <item m="1" x="359"/>
        <item m="1" x="401"/>
        <item m="1" x="474"/>
        <item m="1" x="352"/>
        <item m="1" x="430"/>
        <item m="1" x="441"/>
        <item m="1" x="344"/>
        <item m="1" x="475"/>
        <item m="1" x="402"/>
        <item m="1" x="409"/>
        <item m="1" x="457"/>
        <item m="1" x="350"/>
        <item m="1" x="390"/>
        <item m="1" x="464"/>
        <item m="1" x="479"/>
        <item m="1" x="459"/>
        <item m="1" x="405"/>
        <item m="1" x="476"/>
        <item m="1" x="462"/>
        <item m="1" x="450"/>
        <item m="1" x="353"/>
        <item m="1" x="426"/>
        <item m="1" x="329"/>
        <item m="1" x="374"/>
        <item m="1" x="424"/>
        <item m="1" x="392"/>
        <item m="1" x="427"/>
        <item m="1" x="362"/>
        <item m="1" x="440"/>
        <item m="1" x="327"/>
        <item m="1" x="437"/>
        <item m="1" x="378"/>
        <item m="1" x="453"/>
        <item m="1" x="356"/>
        <item m="1" x="418"/>
        <item m="1" x="322"/>
        <item m="1" x="408"/>
        <item m="1" x="416"/>
        <item m="1" x="375"/>
        <item m="1" x="342"/>
        <item m="1" x="372"/>
        <item m="1" x="444"/>
        <item m="1" x="391"/>
        <item m="1" x="361"/>
        <item m="1" x="436"/>
        <item m="1" x="382"/>
        <item m="1" x="388"/>
        <item m="1" x="429"/>
        <item m="1" x="406"/>
        <item m="1" x="478"/>
        <item m="1" x="346"/>
        <item m="1" x="365"/>
        <item m="1" x="425"/>
        <item m="1" x="339"/>
        <item m="1" x="347"/>
        <item m="1" x="340"/>
        <item m="1" x="469"/>
        <item m="1" x="412"/>
        <item m="1" x="320"/>
        <item m="1" x="377"/>
        <item m="1" x="333"/>
        <item m="1" x="400"/>
        <item m="1" x="443"/>
        <item m="1" x="321"/>
        <item m="1" x="422"/>
        <item m="1" x="470"/>
        <item m="1" x="438"/>
        <item m="1" x="411"/>
        <item m="1" x="396"/>
        <item m="1" x="367"/>
        <item m="1" x="393"/>
        <item m="1" x="364"/>
        <item m="1" x="394"/>
        <item m="1" x="326"/>
        <item m="1" x="468"/>
        <item m="1" x="330"/>
        <item m="1" x="389"/>
        <item m="1" x="454"/>
        <item m="1" x="318"/>
        <item m="1" x="313"/>
        <item m="1" x="480"/>
        <item m="1" x="379"/>
        <item m="1" x="455"/>
        <item m="1" x="446"/>
        <item m="1" x="351"/>
        <item m="1" x="423"/>
        <item m="1" x="363"/>
        <item m="1" x="305"/>
        <item m="1" x="303"/>
        <item m="1" x="301"/>
        <item m="1" x="302"/>
        <item m="1" x="345"/>
        <item m="1" x="415"/>
        <item m="1" x="315"/>
        <item m="1" x="383"/>
        <item m="1" x="306"/>
        <item m="1" x="298"/>
        <item m="1" x="447"/>
        <item m="1" x="272"/>
        <item m="1" x="266"/>
        <item m="1" x="274"/>
        <item m="1" x="257"/>
        <item m="1" x="275"/>
        <item m="1" x="348"/>
        <item m="1" x="419"/>
        <item m="1" x="199"/>
        <item m="1" x="191"/>
        <item m="1" x="381"/>
        <item m="1" x="115"/>
        <item m="1" x="384"/>
        <item m="1" x="84"/>
        <item m="1" x="86"/>
        <item m="1" x="87"/>
        <item m="1" x="92"/>
        <item m="1" x="73"/>
        <item m="1" x="126"/>
        <item m="1" x="134"/>
        <item m="1" x="460"/>
        <item m="1" x="456"/>
        <item m="1" x="349"/>
        <item m="1" x="357"/>
        <item m="1" x="467"/>
        <item m="1" x="307"/>
        <item m="1" x="428"/>
        <item m="1" x="332"/>
        <item m="1" x="395"/>
        <item m="1" x="471"/>
        <item m="1" x="371"/>
        <item m="1" x="463"/>
        <item m="1" x="410"/>
        <item m="1" x="312"/>
        <item m="1" x="380"/>
        <item m="1" x="458"/>
        <item m="1" x="403"/>
        <item m="1" x="360"/>
        <item m="1" x="309"/>
        <item m="1" x="358"/>
        <item m="1" x="431"/>
        <item m="1" x="308"/>
        <item m="1" x="481"/>
        <item m="1" x="366"/>
        <item m="1" x="319"/>
        <item m="1" x="293"/>
        <item m="1" x="300"/>
        <item m="1" x="294"/>
        <item m="1" x="295"/>
        <item m="1" x="296"/>
        <item m="1" x="297"/>
        <item m="1" x="292"/>
        <item m="1" x="304"/>
        <item m="1" x="291"/>
        <item m="1" x="299"/>
        <item m="1" x="287"/>
        <item m="1" x="288"/>
        <item m="1" x="289"/>
        <item m="1" x="281"/>
        <item m="1" x="282"/>
        <item m="1" x="283"/>
        <item m="1" x="284"/>
        <item m="1" x="290"/>
        <item m="1" x="285"/>
        <item m="1" x="286"/>
        <item m="1" x="277"/>
        <item m="1" x="279"/>
        <item m="1" x="280"/>
        <item m="1" x="278"/>
        <item m="1" x="271"/>
        <item m="1" x="273"/>
        <item m="1" x="262"/>
        <item m="1" x="264"/>
        <item m="1" x="265"/>
        <item m="1" x="276"/>
        <item m="1" x="263"/>
        <item m="1" x="258"/>
        <item m="1" x="259"/>
        <item m="1" x="260"/>
        <item m="1" x="252"/>
        <item m="1" x="267"/>
        <item m="1" x="245"/>
        <item m="1" x="268"/>
        <item m="1" x="269"/>
        <item m="1" x="243"/>
        <item m="1" x="244"/>
        <item m="1" x="230"/>
        <item m="1" x="217"/>
        <item m="1" x="220"/>
        <item m="1" x="223"/>
        <item m="1" x="234"/>
        <item m="1" x="213"/>
        <item m="1" x="207"/>
        <item m="1" x="208"/>
        <item m="1" x="209"/>
        <item m="1" x="270"/>
        <item m="1" x="187"/>
        <item m="1" x="182"/>
        <item m="1" x="201"/>
        <item m="1" x="185"/>
        <item m="1" x="253"/>
        <item m="1" x="254"/>
        <item m="1" x="255"/>
        <item m="1" x="261"/>
        <item m="1" x="256"/>
        <item m="1" x="251"/>
        <item m="1" x="249"/>
        <item m="1" x="246"/>
        <item m="1" x="250"/>
        <item m="1" x="247"/>
        <item m="1" x="248"/>
        <item m="1" x="242"/>
        <item m="1" x="239"/>
        <item m="1" x="228"/>
        <item m="1" x="232"/>
        <item m="1" x="240"/>
        <item m="1" x="241"/>
        <item m="1" x="233"/>
        <item m="1" x="229"/>
        <item m="1" x="226"/>
        <item m="1" x="231"/>
        <item m="1" x="236"/>
        <item m="1" x="219"/>
        <item m="1" x="237"/>
        <item m="1" x="238"/>
        <item m="1" x="224"/>
        <item m="1" x="225"/>
        <item m="1" x="211"/>
        <item m="1" x="235"/>
        <item m="1" x="218"/>
        <item m="1" x="221"/>
        <item m="1" x="222"/>
        <item m="1" x="227"/>
        <item m="1" x="212"/>
        <item m="1" x="214"/>
        <item m="1" x="215"/>
        <item m="1" x="216"/>
        <item m="1" x="204"/>
        <item m="1" x="210"/>
        <item m="1" x="205"/>
        <item m="1" x="206"/>
        <item m="1" x="193"/>
        <item m="1" x="194"/>
        <item m="1" x="202"/>
        <item m="1" x="203"/>
        <item m="1" x="195"/>
        <item m="1" x="200"/>
        <item m="1" x="196"/>
        <item m="1" x="197"/>
        <item m="1" x="184"/>
        <item m="1" x="198"/>
        <item m="1" x="188"/>
        <item m="1" x="189"/>
        <item m="1" x="190"/>
        <item m="1" x="192"/>
        <item m="1" x="183"/>
        <item m="1" x="186"/>
        <item m="1" x="175"/>
        <item m="1" x="174"/>
        <item m="1" x="176"/>
        <item m="1" x="177"/>
        <item m="1" x="178"/>
        <item m="1" x="179"/>
        <item m="1" x="152"/>
        <item m="1" x="180"/>
        <item m="1" x="181"/>
        <item m="1" x="173"/>
        <item m="1" x="171"/>
        <item m="1" x="117"/>
        <item m="1" x="114"/>
        <item m="1" x="172"/>
        <item m="1" x="146"/>
        <item m="1" x="98"/>
        <item m="1" x="100"/>
        <item m="1" x="164"/>
        <item m="1" x="165"/>
        <item m="1" x="138"/>
        <item m="1" x="168"/>
        <item m="1" x="169"/>
        <item m="1" x="170"/>
        <item m="1" x="133"/>
        <item m="1" x="132"/>
        <item m="1" x="167"/>
        <item m="1" x="166"/>
        <item m="1" x="127"/>
        <item m="1" x="159"/>
        <item m="1" x="160"/>
        <item m="1" x="161"/>
        <item m="1" x="162"/>
        <item m="1" x="123"/>
        <item m="1" x="163"/>
        <item m="1" x="118"/>
        <item m="1" x="58"/>
        <item m="1" x="61"/>
        <item m="1" x="149"/>
        <item m="1" x="150"/>
        <item m="1" x="151"/>
        <item m="1" x="158"/>
        <item m="1" x="154"/>
        <item m="1" x="153"/>
        <item m="1" x="81"/>
        <item m="1" x="68"/>
        <item m="1" x="111"/>
        <item m="1" x="102"/>
        <item m="1" x="122"/>
        <item m="1" x="157"/>
        <item m="1" x="120"/>
        <item m="1" x="147"/>
        <item m="1" x="78"/>
        <item m="1" x="75"/>
        <item m="1" x="156"/>
        <item m="1" x="148"/>
        <item m="1" x="106"/>
        <item m="1" x="76"/>
        <item m="1" x="124"/>
        <item m="1" x="65"/>
        <item m="1" x="155"/>
        <item m="1" x="113"/>
        <item m="1" x="72"/>
        <item m="1" x="74"/>
        <item m="1" x="80"/>
        <item m="1" x="95"/>
        <item m="1" x="140"/>
        <item m="1" x="141"/>
        <item m="1" x="116"/>
        <item m="1" x="79"/>
        <item m="1" x="89"/>
        <item m="1" x="142"/>
        <item m="1" x="82"/>
        <item m="1" x="83"/>
        <item m="1" x="62"/>
        <item m="1" x="97"/>
        <item m="1" x="143"/>
        <item m="1" x="144"/>
        <item m="1" x="145"/>
        <item m="1" x="135"/>
        <item m="1" x="107"/>
        <item m="1" x="139"/>
        <item m="1" x="110"/>
        <item m="1" x="137"/>
        <item m="1" x="99"/>
        <item m="1" x="101"/>
        <item m="1" x="136"/>
        <item m="1" x="59"/>
        <item m="1" x="105"/>
        <item m="1" x="60"/>
        <item m="1" x="104"/>
        <item m="1" x="90"/>
        <item m="1" x="130"/>
        <item m="1" x="131"/>
        <item m="1" x="121"/>
        <item m="1" x="128"/>
        <item m="1" x="129"/>
        <item m="1" x="125"/>
        <item m="1" x="94"/>
        <item m="1" x="88"/>
        <item m="1" x="119"/>
        <item m="1" x="63"/>
        <item m="1" x="112"/>
        <item m="1" x="91"/>
        <item m="1" x="108"/>
        <item m="1" x="109"/>
        <item m="1" x="85"/>
        <item m="1" x="103"/>
        <item m="1" x="93"/>
        <item m="1" x="70"/>
        <item m="1" x="96"/>
        <item m="1" x="77"/>
        <item m="1" x="66"/>
        <item m="1" x="69"/>
        <item m="1" x="71"/>
        <item m="1" x="57"/>
        <item m="1" x="64"/>
        <item m="1" x="67"/>
        <item m="1" x="48"/>
        <item m="1" x="49"/>
        <item m="1" x="50"/>
        <item m="1" x="51"/>
        <item m="1" x="46"/>
        <item m="1" x="54"/>
        <item m="1" x="56"/>
        <item m="1" x="43"/>
        <item m="1" x="52"/>
        <item m="1" x="53"/>
        <item m="1" x="55"/>
        <item x="4"/>
        <item m="1" x="36"/>
        <item m="1" x="45"/>
        <item m="1" x="37"/>
        <item m="1" x="44"/>
        <item m="1" x="47"/>
        <item m="1" x="42"/>
        <item m="1" x="38"/>
        <item m="1" x="40"/>
        <item m="1" x="41"/>
        <item m="1" x="39"/>
        <item m="1" x="23"/>
        <item m="1" x="12"/>
        <item m="1" x="32"/>
        <item m="1" x="33"/>
        <item m="1" x="34"/>
        <item m="1" x="21"/>
        <item m="1" x="35"/>
        <item m="1" x="22"/>
        <item m="1" x="24"/>
        <item m="1" x="25"/>
        <item m="1" x="26"/>
        <item m="1" x="27"/>
        <item m="1" x="28"/>
        <item m="1" x="29"/>
        <item m="1" x="30"/>
        <item m="1" x="31"/>
        <item m="1" x="13"/>
        <item m="1" x="20"/>
        <item m="1" x="16"/>
        <item m="1" x="17"/>
        <item m="1" x="18"/>
        <item m="1" x="14"/>
        <item m="1" x="19"/>
        <item x="6"/>
        <item m="1" x="15"/>
        <item x="5"/>
        <item x="7"/>
        <item x="8"/>
        <item x="9"/>
        <item x="10"/>
        <item x="11"/>
      </items>
    </pivotField>
    <pivotField compact="0" outline="0" showAll="0"/>
    <pivotField name="FIN PRODUCTION" axis="axisRow" compact="0" outline="0" showAll="0" defaultSubtotal="0">
      <items count="644">
        <item x="1"/>
        <item m="1" x="495"/>
        <item m="1" x="591"/>
        <item m="1" x="489"/>
        <item m="1" x="504"/>
        <item m="1" x="618"/>
        <item m="1" x="511"/>
        <item m="1" x="444"/>
        <item m="1" x="629"/>
        <item m="1" x="611"/>
        <item m="1" x="496"/>
        <item m="1" x="482"/>
        <item m="1" x="578"/>
        <item m="1" x="526"/>
        <item m="1" x="589"/>
        <item m="1" x="557"/>
        <item m="1" x="586"/>
        <item m="1" x="459"/>
        <item m="1" x="555"/>
        <item m="1" x="449"/>
        <item m="1" x="543"/>
        <item m="1" x="466"/>
        <item m="1" x="614"/>
        <item m="1" x="548"/>
        <item m="1" x="516"/>
        <item m="1" x="604"/>
        <item m="1" x="442"/>
        <item m="1" x="426"/>
        <item m="1" x="522"/>
        <item m="1" x="620"/>
        <item m="1" x="492"/>
        <item m="1" x="467"/>
        <item m="1" x="631"/>
        <item m="1" x="427"/>
        <item m="1" x="579"/>
        <item m="1" x="587"/>
        <item m="1" x="623"/>
        <item m="1" x="468"/>
        <item m="1" x="580"/>
        <item m="1" x="446"/>
        <item m="1" x="616"/>
        <item m="1" x="582"/>
        <item m="1" x="452"/>
        <item m="1" x="510"/>
        <item m="1" x="428"/>
        <item m="1" x="469"/>
        <item m="1" x="563"/>
        <item m="1" x="559"/>
        <item m="1" x="554"/>
        <item x="0"/>
        <item x="16"/>
        <item m="1" x="624"/>
        <item m="1" x="421"/>
        <item m="1" x="608"/>
        <item m="1" x="448"/>
        <item m="1" x="514"/>
        <item m="1" x="625"/>
        <item m="1" x="581"/>
        <item m="1" x="462"/>
        <item m="1" x="641"/>
        <item m="1" x="612"/>
        <item m="1" x="503"/>
        <item m="1" x="527"/>
        <item m="1" x="509"/>
        <item m="1" x="594"/>
        <item m="1" x="593"/>
        <item m="1" x="539"/>
        <item m="1" x="483"/>
        <item m="1" x="493"/>
        <item m="1" x="528"/>
        <item m="1" x="518"/>
        <item m="1" x="485"/>
        <item m="1" x="567"/>
        <item m="1" x="626"/>
        <item m="1" x="464"/>
        <item m="1" x="458"/>
        <item m="1" x="602"/>
        <item m="1" x="463"/>
        <item m="1" x="558"/>
        <item m="1" x="534"/>
        <item m="1" x="471"/>
        <item m="1" x="556"/>
        <item m="1" x="596"/>
        <item m="1" x="546"/>
        <item m="1" x="476"/>
        <item m="1" x="439"/>
        <item m="1" x="553"/>
        <item m="1" x="617"/>
        <item m="1" x="486"/>
        <item m="1" x="429"/>
        <item m="1" x="607"/>
        <item m="1" x="585"/>
        <item m="1" x="455"/>
        <item m="1" x="552"/>
        <item m="1" x="603"/>
        <item m="1" x="432"/>
        <item m="1" x="525"/>
        <item m="1" x="639"/>
        <item m="1" x="435"/>
        <item m="1" x="537"/>
        <item m="1" x="600"/>
        <item m="1" x="529"/>
        <item m="1" x="547"/>
        <item m="1" x="507"/>
        <item m="1" x="574"/>
        <item m="1" x="474"/>
        <item m="1" x="436"/>
        <item m="1" x="562"/>
        <item m="1" x="422"/>
        <item m="1" x="642"/>
        <item m="1" x="484"/>
        <item m="1" x="533"/>
        <item m="1" x="437"/>
        <item m="1" x="423"/>
        <item m="1" x="621"/>
        <item m="1" x="640"/>
        <item m="1" x="637"/>
        <item m="1" x="571"/>
        <item m="1" x="500"/>
        <item m="1" x="424"/>
        <item m="1" x="521"/>
        <item m="1" x="457"/>
        <item m="1" x="575"/>
        <item m="1" x="443"/>
        <item m="1" x="535"/>
        <item m="1" x="470"/>
        <item m="1" x="430"/>
        <item m="1" x="592"/>
        <item m="1" x="538"/>
        <item m="1" x="630"/>
        <item m="1" x="520"/>
        <item m="1" x="512"/>
        <item m="1" x="438"/>
        <item m="1" x="531"/>
        <item m="1" x="619"/>
        <item m="1" x="564"/>
        <item m="1" x="506"/>
        <item m="1" x="536"/>
        <item m="1" x="502"/>
        <item m="1" x="599"/>
        <item m="1" x="542"/>
        <item m="1" x="609"/>
        <item m="1" x="445"/>
        <item m="1" x="568"/>
        <item m="1" x="451"/>
        <item m="1" x="636"/>
        <item m="1" x="498"/>
        <item m="1" x="544"/>
        <item m="1" x="475"/>
        <item m="1" x="570"/>
        <item m="1" x="595"/>
        <item m="1" x="460"/>
        <item m="1" x="517"/>
        <item m="1" x="545"/>
        <item m="1" x="605"/>
        <item m="1" x="634"/>
        <item m="1" x="447"/>
        <item m="1" x="550"/>
        <item m="1" x="606"/>
        <item m="1" x="440"/>
        <item m="1" x="501"/>
        <item m="1" x="515"/>
        <item m="1" x="601"/>
        <item m="1" x="549"/>
        <item m="1" x="628"/>
        <item m="1" x="530"/>
        <item m="1" x="499"/>
        <item m="1" x="450"/>
        <item m="1" x="453"/>
        <item m="1" x="572"/>
        <item m="1" x="566"/>
        <item m="1" x="635"/>
        <item m="1" x="627"/>
        <item m="1" x="622"/>
        <item m="1" x="519"/>
        <item m="1" x="632"/>
        <item m="1" x="569"/>
        <item m="1" x="433"/>
        <item m="1" x="508"/>
        <item m="1" x="523"/>
        <item m="1" x="456"/>
        <item m="1" x="615"/>
        <item m="1" x="633"/>
        <item m="1" x="478"/>
        <item m="1" x="540"/>
        <item m="1" x="479"/>
        <item m="1" x="532"/>
        <item m="1" x="597"/>
        <item m="1" x="441"/>
        <item m="1" x="487"/>
        <item m="1" x="583"/>
        <item m="1" x="480"/>
        <item m="1" x="513"/>
        <item m="1" x="434"/>
        <item m="1" x="465"/>
        <item m="1" x="560"/>
        <item m="1" x="565"/>
        <item m="1" x="477"/>
        <item m="1" x="387"/>
        <item m="1" x="490"/>
        <item m="1" x="409"/>
        <item m="1" x="577"/>
        <item m="1" x="377"/>
        <item m="1" x="381"/>
        <item m="1" x="598"/>
        <item m="1" x="385"/>
        <item m="1" x="419"/>
        <item m="1" x="378"/>
        <item m="1" x="368"/>
        <item m="1" x="386"/>
        <item m="1" x="590"/>
        <item m="1" x="561"/>
        <item m="1" x="354"/>
        <item m="1" x="333"/>
        <item m="1" x="316"/>
        <item m="1" x="322"/>
        <item m="1" x="359"/>
        <item m="1" x="310"/>
        <item m="1" x="312"/>
        <item m="1" x="461"/>
        <item m="1" x="259"/>
        <item m="1" x="265"/>
        <item m="1" x="252"/>
        <item m="1" x="223"/>
        <item m="1" x="541"/>
        <item m="1" x="112"/>
        <item m="1" x="131"/>
        <item m="1" x="163"/>
        <item m="1" x="92"/>
        <item m="1" x="113"/>
        <item m="1" x="135"/>
        <item m="1" x="157"/>
        <item m="1" x="207"/>
        <item m="1" x="137"/>
        <item m="1" x="239"/>
        <item m="1" x="144"/>
        <item m="1" x="491"/>
        <item m="1" x="120"/>
        <item m="1" x="173"/>
        <item m="1" x="638"/>
        <item m="1" x="576"/>
        <item m="1" x="610"/>
        <item m="1" x="494"/>
        <item m="1" x="643"/>
        <item m="1" x="425"/>
        <item m="1" x="573"/>
        <item m="1" x="416"/>
        <item m="1" x="481"/>
        <item m="1" x="397"/>
        <item m="1" x="551"/>
        <item m="1" x="454"/>
        <item m="1" x="411"/>
        <item m="1" x="497"/>
        <item m="1" x="403"/>
        <item sd="0" m="1" x="392"/>
        <item m="1" x="393"/>
        <item m="1" x="406"/>
        <item m="1" x="370"/>
        <item m="1" x="488"/>
        <item m="1" x="371"/>
        <item m="1" x="350"/>
        <item m="1" x="473"/>
        <item m="1" x="431"/>
        <item m="1" x="394"/>
        <item m="1" x="396"/>
        <item m="1" x="399"/>
        <item m="1" x="319"/>
        <item m="1" x="472"/>
        <item m="1" x="364"/>
        <item m="1" x="347"/>
        <item m="1" x="336"/>
        <item m="1" x="343"/>
        <item m="1" x="407"/>
        <item m="1" x="342"/>
        <item m="1" x="412"/>
        <item m="1" x="328"/>
        <item m="1" x="524"/>
        <item m="1" x="408"/>
        <item m="1" x="380"/>
        <item m="1" x="418"/>
        <item m="1" x="389"/>
        <item m="1" x="401"/>
        <item m="1" x="613"/>
        <item m="1" x="382"/>
        <item m="1" x="405"/>
        <item m="1" x="584"/>
        <item m="1" x="413"/>
        <item m="1" x="324"/>
        <item m="1" x="355"/>
        <item m="1" x="360"/>
        <item m="1" x="338"/>
        <item m="1" x="395"/>
        <item m="1" x="398"/>
        <item m="1" x="390"/>
        <item m="1" x="320"/>
        <item m="1" x="383"/>
        <item m="1" x="375"/>
        <item m="1" x="365"/>
        <item m="1" x="363"/>
        <item m="1" x="404"/>
        <item m="1" x="352"/>
        <item m="1" x="325"/>
        <item m="1" x="356"/>
        <item m="1" x="358"/>
        <item m="1" x="376"/>
        <item m="1" x="349"/>
        <item m="1" x="326"/>
        <item m="1" x="588"/>
        <item m="1" x="335"/>
        <item m="1" x="323"/>
        <item m="1" x="417"/>
        <item m="1" x="414"/>
        <item m="1" x="357"/>
        <item m="1" x="341"/>
        <item m="1" x="331"/>
        <item m="1" x="308"/>
        <item m="1" x="388"/>
        <item m="1" x="321"/>
        <item m="1" x="362"/>
        <item m="1" x="505"/>
        <item m="1" x="400"/>
        <item m="1" x="353"/>
        <item m="1" x="334"/>
        <item m="1" x="420"/>
        <item m="1" x="361"/>
        <item m="1" x="348"/>
        <item m="1" x="332"/>
        <item m="1" x="340"/>
        <item m="1" x="384"/>
        <item m="1" x="366"/>
        <item m="1" x="391"/>
        <item m="1" x="415"/>
        <item m="1" x="369"/>
        <item m="1" x="410"/>
        <item m="1" x="402"/>
        <item m="1" x="351"/>
        <item m="1" x="337"/>
        <item m="1" x="339"/>
        <item m="1" x="327"/>
        <item m="1" x="311"/>
        <item m="1" x="313"/>
        <item m="1" x="372"/>
        <item m="1" x="309"/>
        <item m="1" x="291"/>
        <item m="1" x="304"/>
        <item m="1" x="297"/>
        <item m="1" x="379"/>
        <item m="1" x="292"/>
        <item m="1" x="329"/>
        <item m="1" x="345"/>
        <item m="1" x="346"/>
        <item m="1" x="299"/>
        <item m="1" x="300"/>
        <item m="1" x="301"/>
        <item m="1" x="288"/>
        <item m="1" x="306"/>
        <item m="1" x="280"/>
        <item m="1" x="279"/>
        <item m="1" x="284"/>
        <item m="1" x="241"/>
        <item m="1" x="237"/>
        <item m="1" x="373"/>
        <item m="1" x="194"/>
        <item m="1" x="190"/>
        <item m="1" x="168"/>
        <item m="1" x="115"/>
        <item m="1" x="195"/>
        <item m="1" x="150"/>
        <item m="1" x="93"/>
        <item m="1" x="108"/>
        <item m="1" x="192"/>
        <item m="1" x="79"/>
        <item m="1" x="20"/>
        <item m="1" x="374"/>
        <item m="1" x="315"/>
        <item m="1" x="367"/>
        <item m="1" x="318"/>
        <item m="1" x="330"/>
        <item m="1" x="317"/>
        <item m="1" x="278"/>
        <item m="1" x="290"/>
        <item m="1" x="281"/>
        <item m="1" x="307"/>
        <item m="1" x="302"/>
        <item m="1" x="344"/>
        <item m="1" x="305"/>
        <item m="1" x="258"/>
        <item m="1" x="235"/>
        <item m="1" x="242"/>
        <item m="1" x="295"/>
        <item m="1" x="271"/>
        <item m="1" x="273"/>
        <item m="1" x="266"/>
        <item m="1" x="261"/>
        <item m="1" x="233"/>
        <item m="1" x="314"/>
        <item m="1" x="256"/>
        <item m="1" x="232"/>
        <item m="1" x="251"/>
        <item m="1" x="222"/>
        <item m="1" x="274"/>
        <item m="1" x="293"/>
        <item m="1" x="289"/>
        <item m="1" x="282"/>
        <item m="1" x="298"/>
        <item m="1" x="296"/>
        <item m="1" x="294"/>
        <item m="1" x="267"/>
        <item m="1" x="303"/>
        <item m="1" x="285"/>
        <item m="1" x="275"/>
        <item m="1" x="264"/>
        <item m="1" x="286"/>
        <item m="1" x="253"/>
        <item m="1" x="272"/>
        <item m="1" x="283"/>
        <item m="1" x="269"/>
        <item m="1" x="287"/>
        <item m="1" x="213"/>
        <item m="1" x="268"/>
        <item m="1" x="276"/>
        <item m="1" x="260"/>
        <item m="1" x="277"/>
        <item m="1" x="197"/>
        <item m="1" x="107"/>
        <item m="1" x="119"/>
        <item m="1" x="270"/>
        <item m="1" x="151"/>
        <item m="1" x="238"/>
        <item m="1" x="250"/>
        <item m="1" x="257"/>
        <item m="1" x="184"/>
        <item m="1" x="76"/>
        <item m="1" x="262"/>
        <item m="1" x="169"/>
        <item m="1" x="263"/>
        <item m="1" x="143"/>
        <item m="1" x="141"/>
        <item m="1" x="111"/>
        <item m="1" x="205"/>
        <item m="1" x="186"/>
        <item m="1" x="77"/>
        <item m="1" x="128"/>
        <item m="1" x="178"/>
        <item m="1" x="123"/>
        <item m="1" x="85"/>
        <item m="1" x="254"/>
        <item m="1" x="147"/>
        <item m="1" x="255"/>
        <item m="1" x="45"/>
        <item m="1" x="234"/>
        <item m="1" x="236"/>
        <item m="1" x="170"/>
        <item m="1" x="88"/>
        <item m="1" x="90"/>
        <item m="1" x="240"/>
        <item m="1" x="44"/>
        <item m="1" x="83"/>
        <item m="1" x="243"/>
        <item m="1" x="94"/>
        <item m="1" x="68"/>
        <item m="1" x="48"/>
        <item m="1" x="99"/>
        <item x="17"/>
        <item m="1" x="248"/>
        <item x="18"/>
        <item m="1" x="249"/>
        <item m="1" x="189"/>
        <item m="1" x="244"/>
        <item m="1" x="39"/>
        <item m="1" x="31"/>
        <item m="1" x="245"/>
        <item m="1" x="246"/>
        <item m="1" x="247"/>
        <item m="1" x="224"/>
        <item m="1" x="225"/>
        <item m="1" x="226"/>
        <item m="1" x="217"/>
        <item m="1" x="132"/>
        <item m="1" x="140"/>
        <item m="1" x="59"/>
        <item m="1" x="47"/>
        <item m="1" x="231"/>
        <item m="1" x="55"/>
        <item m="1" x="118"/>
        <item m="1" x="63"/>
        <item m="1" x="40"/>
        <item m="1" x="227"/>
        <item m="1" x="228"/>
        <item m="1" x="229"/>
        <item m="1" x="230"/>
        <item m="1" x="214"/>
        <item m="1" x="221"/>
        <item m="1" x="220"/>
        <item m="1" x="211"/>
        <item m="1" x="149"/>
        <item x="2"/>
        <item m="1" x="35"/>
        <item m="1" x="212"/>
        <item x="5"/>
        <item m="1" x="219"/>
        <item m="1" x="138"/>
        <item m="1" x="70"/>
        <item m="1" x="218"/>
        <item m="1" x="215"/>
        <item m="1" x="210"/>
        <item m="1" x="196"/>
        <item m="1" x="22"/>
        <item m="1" x="98"/>
        <item m="1" x="209"/>
        <item m="1" x="216"/>
        <item m="1" x="172"/>
        <item m="1" x="188"/>
        <item m="1" x="199"/>
        <item m="1" x="101"/>
        <item m="1" x="109"/>
        <item x="7"/>
        <item m="1" x="102"/>
        <item m="1" x="204"/>
        <item m="1" x="156"/>
        <item m="1" x="97"/>
        <item m="1" x="106"/>
        <item m="1" x="105"/>
        <item m="1" x="24"/>
        <item m="1" x="200"/>
        <item m="1" x="182"/>
        <item m="1" x="162"/>
        <item m="1" x="179"/>
        <item m="1" x="208"/>
        <item m="1" x="34"/>
        <item m="1" x="167"/>
        <item m="1" x="206"/>
        <item m="1" x="130"/>
        <item m="1" x="159"/>
        <item m="1" x="193"/>
        <item m="1" x="142"/>
        <item m="1" x="203"/>
        <item m="1" x="129"/>
        <item m="1" x="19"/>
        <item m="1" x="185"/>
        <item m="1" x="201"/>
        <item m="1" x="202"/>
        <item m="1" x="161"/>
        <item m="1" x="191"/>
        <item m="1" x="198"/>
        <item m="1" x="164"/>
        <item m="1" x="154"/>
        <item m="1" x="84"/>
        <item m="1" x="145"/>
        <item m="1" x="165"/>
        <item m="1" x="158"/>
        <item m="1" x="166"/>
        <item m="1" x="187"/>
        <item m="1" x="181"/>
        <item m="1" x="87"/>
        <item m="1" x="133"/>
        <item m="1" x="71"/>
        <item m="1" x="125"/>
        <item m="1" x="180"/>
        <item m="1" x="96"/>
        <item m="1" x="86"/>
        <item m="1" x="38"/>
        <item m="1" x="183"/>
        <item m="1" x="116"/>
        <item m="1" x="134"/>
        <item m="1" x="33"/>
        <item m="1" x="95"/>
        <item m="1" x="176"/>
        <item m="1" x="177"/>
        <item m="1" x="155"/>
        <item m="1" x="175"/>
        <item m="1" x="171"/>
        <item x="8"/>
        <item m="1" x="174"/>
        <item m="1" x="82"/>
        <item m="1" x="72"/>
        <item m="1" x="160"/>
        <item m="1" x="153"/>
        <item m="1" x="75"/>
        <item x="10"/>
        <item x="12"/>
        <item m="1" x="103"/>
        <item m="1" x="152"/>
        <item m="1" x="89"/>
        <item m="1" x="100"/>
        <item m="1" x="117"/>
        <item m="1" x="146"/>
        <item m="1" x="60"/>
        <item m="1" x="148"/>
        <item m="1" x="124"/>
        <item m="1" x="139"/>
        <item m="1" x="61"/>
        <item m="1" x="62"/>
        <item m="1" x="80"/>
        <item m="1" x="126"/>
        <item m="1" x="127"/>
        <item m="1" x="114"/>
        <item m="1" x="136"/>
        <item m="1" x="122"/>
        <item m="1" x="91"/>
        <item m="1" x="121"/>
        <item m="1" x="104"/>
        <item m="1" x="110"/>
        <item m="1" x="78"/>
        <item m="1" x="30"/>
        <item m="1" x="81"/>
        <item m="1" x="69"/>
        <item m="1" x="66"/>
        <item m="1" x="74"/>
        <item m="1" x="67"/>
        <item m="1" x="56"/>
        <item m="1" x="73"/>
        <item m="1" x="49"/>
        <item m="1" x="58"/>
        <item x="3"/>
        <item m="1" x="64"/>
        <item m="1" x="37"/>
        <item m="1" x="65"/>
        <item m="1" x="52"/>
        <item m="1" x="53"/>
        <item m="1" x="57"/>
        <item m="1" x="54"/>
        <item m="1" x="50"/>
        <item m="1" x="51"/>
        <item m="1" x="36"/>
        <item m="1" x="42"/>
        <item m="1" x="43"/>
        <item m="1" x="28"/>
        <item m="1" x="46"/>
        <item m="1" x="41"/>
        <item m="1" x="21"/>
        <item m="1" x="23"/>
        <item m="1" x="32"/>
        <item m="1" x="26"/>
        <item m="1" x="27"/>
        <item m="1" x="29"/>
        <item m="1" x="25"/>
        <item x="4"/>
        <item x="6"/>
        <item x="9"/>
        <item x="11"/>
        <item x="13"/>
        <item x="14"/>
        <item x="15"/>
      </items>
    </pivotField>
    <pivotField compact="0" outline="0" showAll="0"/>
    <pivotField compact="0" outline="0" showAll="0"/>
    <pivotField name="DÉBUT MONTAGE" axis="axisRow" compact="0" outline="0" showAll="0" defaultSubtotal="0">
      <items count="313">
        <item x="1"/>
        <item x="4"/>
        <item x="0"/>
        <item m="1" x="264"/>
        <item m="1" x="309"/>
        <item m="1" x="249"/>
        <item m="1" x="250"/>
        <item m="1" x="274"/>
        <item m="1" x="247"/>
        <item m="1" x="201"/>
        <item m="1" x="285"/>
        <item m="1" x="271"/>
        <item x="2"/>
        <item m="1" x="290"/>
        <item m="1" x="297"/>
        <item m="1" x="266"/>
        <item m="1" x="304"/>
        <item m="1" x="295"/>
        <item m="1" x="276"/>
        <item m="1" x="312"/>
        <item m="1" x="277"/>
        <item m="1" x="302"/>
        <item m="1" x="180"/>
        <item m="1" x="188"/>
        <item m="1" x="224"/>
        <item m="1" x="225"/>
        <item m="1" x="223"/>
        <item m="1" x="282"/>
        <item m="1" x="212"/>
        <item m="1" x="251"/>
        <item m="1" x="235"/>
        <item m="1" x="182"/>
        <item m="1" x="222"/>
        <item m="1" x="308"/>
        <item m="1" x="269"/>
        <item m="1" x="177"/>
        <item m="1" x="288"/>
        <item m="1" x="248"/>
        <item m="1" x="291"/>
        <item m="1" x="292"/>
        <item m="1" x="281"/>
        <item m="1" x="286"/>
        <item m="1" x="272"/>
        <item m="1" x="301"/>
        <item m="1" x="270"/>
        <item m="1" x="300"/>
        <item m="1" x="232"/>
        <item m="1" x="279"/>
        <item m="1" x="293"/>
        <item m="1" x="273"/>
        <item m="1" x="303"/>
        <item m="1" x="215"/>
        <item m="1" x="283"/>
        <item m="1" x="202"/>
        <item m="1" x="280"/>
        <item m="1" x="296"/>
        <item m="1" x="284"/>
        <item m="1" x="305"/>
        <item m="1" x="181"/>
        <item m="1" x="306"/>
        <item m="1" x="287"/>
        <item m="1" x="289"/>
        <item m="1" x="299"/>
        <item m="1" x="278"/>
        <item m="1" x="307"/>
        <item m="1" x="294"/>
        <item m="1" x="275"/>
        <item m="1" x="198"/>
        <item m="1" x="200"/>
        <item m="1" x="242"/>
        <item m="1" x="229"/>
        <item m="1" x="310"/>
        <item m="1" x="311"/>
        <item m="1" x="197"/>
        <item m="1" x="176"/>
        <item m="1" x="298"/>
        <item m="1" x="213"/>
        <item m="1" x="214"/>
        <item m="1" x="268"/>
        <item m="1" x="267"/>
        <item m="1" x="265"/>
        <item m="1" x="262"/>
        <item m="1" x="263"/>
        <item m="1" x="258"/>
        <item m="1" x="260"/>
        <item m="1" x="261"/>
        <item m="1" x="259"/>
        <item m="1" x="255"/>
        <item m="1" x="257"/>
        <item m="1" x="178"/>
        <item m="1" x="256"/>
        <item m="1" x="243"/>
        <item m="1" x="244"/>
        <item m="1" x="254"/>
        <item m="1" x="252"/>
        <item m="1" x="253"/>
        <item m="1" x="245"/>
        <item m="1" x="246"/>
        <item m="1" x="217"/>
        <item m="1" x="230"/>
        <item m="1" x="231"/>
        <item m="1" x="241"/>
        <item m="1" x="189"/>
        <item m="1" x="238"/>
        <item m="1" x="239"/>
        <item m="1" x="240"/>
        <item m="1" x="236"/>
        <item m="1" x="237"/>
        <item m="1" x="233"/>
        <item m="1" x="234"/>
        <item m="1" x="203"/>
        <item m="1" x="184"/>
        <item m="1" x="227"/>
        <item m="1" x="228"/>
        <item m="1" x="112"/>
        <item m="1" x="125"/>
        <item m="1" x="226"/>
        <item m="1" x="179"/>
        <item m="1" x="220"/>
        <item m="1" x="221"/>
        <item m="1" x="216"/>
        <item m="1" x="218"/>
        <item m="1" x="219"/>
        <item m="1" x="210"/>
        <item m="1" x="211"/>
        <item m="1" x="209"/>
        <item m="1" x="208"/>
        <item m="1" x="199"/>
        <item m="1" x="204"/>
        <item m="1" x="205"/>
        <item m="1" x="207"/>
        <item m="1" x="171"/>
        <item m="1" x="126"/>
        <item m="1" x="206"/>
        <item m="1" x="190"/>
        <item m="1" x="191"/>
        <item m="1" x="192"/>
        <item m="1" x="193"/>
        <item m="1" x="194"/>
        <item m="1" x="129"/>
        <item m="1" x="195"/>
        <item m="1" x="196"/>
        <item m="1" x="175"/>
        <item m="1" x="183"/>
        <item m="1" x="185"/>
        <item m="1" x="186"/>
        <item m="1" x="124"/>
        <item m="1" x="187"/>
        <item m="1" x="159"/>
        <item m="1" x="144"/>
        <item m="1" x="174"/>
        <item m="1" x="130"/>
        <item m="1" x="172"/>
        <item m="1" x="110"/>
        <item m="1" x="173"/>
        <item m="1" x="169"/>
        <item m="1" x="103"/>
        <item m="1" x="104"/>
        <item m="1" x="170"/>
        <item m="1" x="47"/>
        <item m="1" x="115"/>
        <item m="1" x="71"/>
        <item m="1" x="72"/>
        <item m="1" x="73"/>
        <item m="1" x="165"/>
        <item m="1" x="166"/>
        <item m="1" x="139"/>
        <item m="1" x="167"/>
        <item m="1" x="168"/>
        <item m="1" x="149"/>
        <item m="1" x="160"/>
        <item m="1" x="161"/>
        <item m="1" x="162"/>
        <item m="1" x="163"/>
        <item x="6"/>
        <item m="1" x="25"/>
        <item m="1" x="19"/>
        <item m="1" x="164"/>
        <item m="1" x="75"/>
        <item m="1" x="76"/>
        <item m="1" x="150"/>
        <item x="3"/>
        <item x="7"/>
        <item m="1" x="26"/>
        <item m="1" x="151"/>
        <item m="1" x="147"/>
        <item m="1" x="158"/>
        <item m="1" x="128"/>
        <item m="1" x="152"/>
        <item m="1" x="153"/>
        <item m="1" x="154"/>
        <item m="1" x="155"/>
        <item m="1" x="156"/>
        <item m="1" x="157"/>
        <item m="1" x="102"/>
        <item m="1" x="101"/>
        <item m="1" x="135"/>
        <item m="1" x="136"/>
        <item m="1" x="117"/>
        <item m="1" x="145"/>
        <item m="1" x="78"/>
        <item m="1" x="13"/>
        <item m="1" x="9"/>
        <item m="1" x="146"/>
        <item m="1" x="148"/>
        <item m="1" x="137"/>
        <item m="1" x="59"/>
        <item m="1" x="138"/>
        <item m="1" x="17"/>
        <item m="1" x="140"/>
        <item m="1" x="141"/>
        <item m="1" x="142"/>
        <item m="1" x="143"/>
        <item m="1" x="134"/>
        <item m="1" x="23"/>
        <item m="1" x="132"/>
        <item m="1" x="133"/>
        <item m="1" x="131"/>
        <item m="1" x="127"/>
        <item m="1" x="108"/>
        <item m="1" x="61"/>
        <item m="1" x="87"/>
        <item m="1" x="74"/>
        <item m="1" x="107"/>
        <item m="1" x="80"/>
        <item m="1" x="95"/>
        <item m="1" x="119"/>
        <item m="1" x="120"/>
        <item m="1" x="121"/>
        <item m="1" x="123"/>
        <item m="1" x="53"/>
        <item m="1" x="122"/>
        <item m="1" x="118"/>
        <item m="1" x="98"/>
        <item m="1" x="99"/>
        <item m="1" x="12"/>
        <item m="1" x="114"/>
        <item m="1" x="116"/>
        <item m="1" x="113"/>
        <item m="1" x="111"/>
        <item m="1" x="105"/>
        <item m="1" x="66"/>
        <item m="1" x="109"/>
        <item m="1" x="42"/>
        <item m="1" x="106"/>
        <item m="1" x="88"/>
        <item m="1" x="24"/>
        <item m="1" x="97"/>
        <item m="1" x="100"/>
        <item m="1" x="82"/>
        <item m="1" x="96"/>
        <item m="1" x="89"/>
        <item m="1" x="90"/>
        <item m="1" x="91"/>
        <item m="1" x="92"/>
        <item m="1" x="93"/>
        <item m="1" x="94"/>
        <item m="1" x="67"/>
        <item m="1" x="68"/>
        <item m="1" x="69"/>
        <item m="1" x="57"/>
        <item m="1" x="58"/>
        <item m="1" x="77"/>
        <item m="1" x="79"/>
        <item m="1" x="14"/>
        <item m="1" x="83"/>
        <item m="1" x="84"/>
        <item m="1" x="85"/>
        <item m="1" x="46"/>
        <item m="1" x="86"/>
        <item m="1" x="81"/>
        <item m="1" x="70"/>
        <item m="1" x="52"/>
        <item m="1" x="54"/>
        <item m="1" x="55"/>
        <item m="1" x="62"/>
        <item m="1" x="63"/>
        <item m="1" x="51"/>
        <item m="1" x="64"/>
        <item m="1" x="65"/>
        <item m="1" x="21"/>
        <item m="1" x="60"/>
        <item m="1" x="50"/>
        <item m="1" x="48"/>
        <item x="5"/>
        <item m="1" x="49"/>
        <item m="1" x="56"/>
        <item m="1" x="43"/>
        <item m="1" x="44"/>
        <item m="1" x="45"/>
        <item m="1" x="38"/>
        <item m="1" x="39"/>
        <item m="1" x="40"/>
        <item m="1" x="41"/>
        <item m="1" x="34"/>
        <item m="1" x="35"/>
        <item m="1" x="36"/>
        <item m="1" x="37"/>
        <item m="1" x="31"/>
        <item m="1" x="32"/>
        <item m="1" x="33"/>
        <item m="1" x="28"/>
        <item m="1" x="29"/>
        <item m="1" x="30"/>
        <item m="1" x="27"/>
        <item m="1" x="18"/>
        <item m="1" x="20"/>
        <item m="1" x="22"/>
        <item m="1" x="15"/>
        <item m="1" x="16"/>
        <item m="1" x="10"/>
        <item m="1" x="11"/>
        <item x="8"/>
      </items>
    </pivotField>
    <pivotField name="FIN MONTAGE" axis="axisRow" compact="0" outline="0" showAll="0" defaultSubtotal="0">
      <items count="338">
        <item m="1" x="336"/>
        <item x="2"/>
        <item x="0"/>
        <item m="1" x="331"/>
        <item m="1" x="308"/>
        <item m="1" x="315"/>
        <item m="1" x="318"/>
        <item m="1" x="301"/>
        <item m="1" x="278"/>
        <item m="1" x="283"/>
        <item m="1" x="280"/>
        <item x="1"/>
        <item m="1" x="326"/>
        <item m="1" x="337"/>
        <item m="1" x="333"/>
        <item m="1" x="322"/>
        <item m="1" x="295"/>
        <item m="1" x="305"/>
        <item m="1" x="266"/>
        <item m="1" x="320"/>
        <item m="1" x="262"/>
        <item m="1" x="275"/>
        <item m="1" x="236"/>
        <item m="1" x="319"/>
        <item m="1" x="287"/>
        <item m="1" x="256"/>
        <item x="4"/>
        <item m="1" x="285"/>
        <item m="1" x="312"/>
        <item m="1" x="214"/>
        <item m="1" x="254"/>
        <item m="1" x="200"/>
        <item m="1" x="300"/>
        <item m="1" x="282"/>
        <item m="1" x="324"/>
        <item m="1" x="196"/>
        <item m="1" x="253"/>
        <item m="1" x="251"/>
        <item m="1" x="267"/>
        <item m="1" x="325"/>
        <item m="1" x="268"/>
        <item m="1" x="289"/>
        <item m="1" x="270"/>
        <item m="1" x="290"/>
        <item m="1" x="263"/>
        <item m="1" x="179"/>
        <item m="1" x="226"/>
        <item m="1" x="227"/>
        <item m="1" x="228"/>
        <item m="1" x="224"/>
        <item m="1" x="335"/>
        <item m="1" x="297"/>
        <item m="1" x="316"/>
        <item m="1" x="211"/>
        <item m="1" x="215"/>
        <item m="1" x="182"/>
        <item m="1" x="223"/>
        <item m="1" x="332"/>
        <item m="1" x="317"/>
        <item m="1" x="311"/>
        <item m="1" x="329"/>
        <item m="1" x="306"/>
        <item m="1" x="255"/>
        <item m="1" x="310"/>
        <item m="1" x="313"/>
        <item m="1" x="230"/>
        <item m="1" x="109"/>
        <item m="1" x="286"/>
        <item m="1" x="321"/>
        <item m="1" x="279"/>
        <item m="1" x="323"/>
        <item m="1" x="238"/>
        <item m="1" x="293"/>
        <item m="1" x="277"/>
        <item m="1" x="292"/>
        <item m="1" x="216"/>
        <item m="1" x="298"/>
        <item m="1" x="201"/>
        <item m="1" x="294"/>
        <item m="1" x="284"/>
        <item m="1" x="299"/>
        <item m="1" x="327"/>
        <item m="1" x="181"/>
        <item m="1" x="328"/>
        <item m="1" x="304"/>
        <item m="1" x="307"/>
        <item m="1" x="291"/>
        <item m="1" x="296"/>
        <item m="1" x="330"/>
        <item m="1" x="314"/>
        <item m="1" x="288"/>
        <item m="1" x="198"/>
        <item m="1" x="176"/>
        <item m="1" x="249"/>
        <item m="1" x="334"/>
        <item m="1" x="302"/>
        <item m="1" x="309"/>
        <item m="1" x="281"/>
        <item m="1" x="184"/>
        <item m="1" x="303"/>
        <item m="1" x="276"/>
        <item m="1" x="273"/>
        <item m="1" x="274"/>
        <item m="1" x="271"/>
        <item m="1" x="272"/>
        <item m="1" x="269"/>
        <item m="1" x="265"/>
        <item m="1" x="264"/>
        <item m="1" x="178"/>
        <item m="1" x="252"/>
        <item m="1" x="261"/>
        <item m="1" x="260"/>
        <item m="1" x="257"/>
        <item m="1" x="258"/>
        <item m="1" x="259"/>
        <item m="1" x="218"/>
        <item m="1" x="237"/>
        <item m="1" x="248"/>
        <item m="1" x="190"/>
        <item m="1" x="250"/>
        <item m="1" x="244"/>
        <item m="1" x="245"/>
        <item m="1" x="246"/>
        <item m="1" x="247"/>
        <item m="1" x="241"/>
        <item m="1" x="242"/>
        <item m="1" x="243"/>
        <item m="1" x="239"/>
        <item m="1" x="240"/>
        <item m="1" x="202"/>
        <item m="1" x="231"/>
        <item m="1" x="232"/>
        <item m="1" x="233"/>
        <item m="1" x="234"/>
        <item m="1" x="235"/>
        <item m="1" x="229"/>
        <item m="1" x="221"/>
        <item m="1" x="222"/>
        <item m="1" x="225"/>
        <item m="1" x="217"/>
        <item m="1" x="219"/>
        <item m="1" x="220"/>
        <item m="1" x="134"/>
        <item m="1" x="212"/>
        <item m="1" x="213"/>
        <item m="1" x="210"/>
        <item m="1" x="199"/>
        <item m="1" x="203"/>
        <item m="1" x="204"/>
        <item m="1" x="208"/>
        <item m="1" x="113"/>
        <item m="1" x="209"/>
        <item m="1" x="205"/>
        <item m="1" x="206"/>
        <item m="1" x="207"/>
        <item m="1" x="191"/>
        <item m="1" x="192"/>
        <item m="1" x="193"/>
        <item m="1" x="194"/>
        <item m="1" x="195"/>
        <item m="1" x="197"/>
        <item m="1" x="168"/>
        <item m="1" x="173"/>
        <item m="1" x="180"/>
        <item m="1" x="183"/>
        <item m="1" x="185"/>
        <item m="1" x="186"/>
        <item m="1" x="187"/>
        <item m="1" x="188"/>
        <item m="1" x="189"/>
        <item m="1" x="177"/>
        <item m="1" x="175"/>
        <item m="1" x="174"/>
        <item m="1" x="149"/>
        <item m="1" x="144"/>
        <item m="1" x="129"/>
        <item m="1" x="169"/>
        <item m="1" x="170"/>
        <item m="1" x="172"/>
        <item m="1" x="171"/>
        <item m="1" x="167"/>
        <item m="1" x="100"/>
        <item m="1" x="101"/>
        <item m="1" x="49"/>
        <item m="1" x="44"/>
        <item m="1" x="110"/>
        <item m="1" x="69"/>
        <item m="1" x="70"/>
        <item m="1" x="164"/>
        <item m="1" x="165"/>
        <item m="1" x="138"/>
        <item m="1" x="105"/>
        <item m="1" x="99"/>
        <item m="1" x="166"/>
        <item m="1" x="159"/>
        <item m="1" x="160"/>
        <item m="1" x="161"/>
        <item m="1" x="59"/>
        <item x="5"/>
        <item m="1" x="162"/>
        <item m="1" x="18"/>
        <item m="1" x="163"/>
        <item m="1" x="29"/>
        <item m="1" x="73"/>
        <item m="1" x="150"/>
        <item x="6"/>
        <item m="1" x="27"/>
        <item m="1" x="151"/>
        <item m="1" x="146"/>
        <item m="1" x="37"/>
        <item m="1" x="158"/>
        <item m="1" x="133"/>
        <item m="1" x="152"/>
        <item m="1" x="153"/>
        <item m="1" x="154"/>
        <item m="1" x="155"/>
        <item m="1" x="156"/>
        <item m="1" x="157"/>
        <item m="1" x="98"/>
        <item m="1" x="97"/>
        <item m="1" x="135"/>
        <item m="1" x="132"/>
        <item m="1" x="75"/>
        <item m="1" x="96"/>
        <item m="1" x="9"/>
        <item m="1" x="145"/>
        <item m="1" x="147"/>
        <item m="1" x="148"/>
        <item m="1" x="136"/>
        <item m="1" x="137"/>
        <item m="1" x="16"/>
        <item m="1" x="139"/>
        <item m="1" x="140"/>
        <item m="1" x="141"/>
        <item m="1" x="142"/>
        <item m="1" x="143"/>
        <item m="1" x="130"/>
        <item m="1" x="131"/>
        <item m="1" x="26"/>
        <item m="1" x="128"/>
        <item m="1" x="125"/>
        <item m="1" x="126"/>
        <item m="1" x="104"/>
        <item m="1" x="127"/>
        <item m="1" x="120"/>
        <item m="1" x="123"/>
        <item m="1" x="60"/>
        <item m="1" x="124"/>
        <item m="1" x="72"/>
        <item m="1" x="103"/>
        <item m="1" x="122"/>
        <item m="1" x="121"/>
        <item m="1" x="115"/>
        <item m="1" x="116"/>
        <item m="1" x="117"/>
        <item x="7"/>
        <item m="1" x="119"/>
        <item m="1" x="118"/>
        <item m="1" x="94"/>
        <item m="1" x="95"/>
        <item m="1" x="114"/>
        <item m="1" x="111"/>
        <item m="1" x="112"/>
        <item m="1" x="108"/>
        <item m="1" x="58"/>
        <item m="1" x="107"/>
        <item m="1" x="102"/>
        <item m="1" x="65"/>
        <item m="1" x="77"/>
        <item m="1" x="106"/>
        <item x="8"/>
        <item m="1" x="85"/>
        <item m="1" x="93"/>
        <item m="1" x="78"/>
        <item m="1" x="57"/>
        <item m="1" x="87"/>
        <item m="1" x="88"/>
        <item m="1" x="89"/>
        <item m="1" x="90"/>
        <item m="1" x="91"/>
        <item m="1" x="92"/>
        <item m="1" x="66"/>
        <item m="1" x="67"/>
        <item m="1" x="68"/>
        <item m="1" x="23"/>
        <item m="1" x="45"/>
        <item m="1" x="74"/>
        <item m="1" x="76"/>
        <item m="1" x="14"/>
        <item m="1" x="86"/>
        <item m="1" x="79"/>
        <item m="1" x="80"/>
        <item m="1" x="61"/>
        <item m="1" x="81"/>
        <item m="1" x="82"/>
        <item m="1" x="83"/>
        <item m="1" x="84"/>
        <item m="1" x="11"/>
        <item m="1" x="50"/>
        <item m="1" x="13"/>
        <item m="1" x="54"/>
        <item m="1" x="55"/>
        <item m="1" x="71"/>
        <item m="1" x="62"/>
        <item m="1" x="20"/>
        <item m="1" x="63"/>
        <item m="1" x="64"/>
        <item m="1" x="39"/>
        <item m="1" x="21"/>
        <item m="1" x="30"/>
        <item m="1" x="51"/>
        <item m="1" x="52"/>
        <item m="1" x="53"/>
        <item m="1" x="56"/>
        <item m="1" x="46"/>
        <item m="1" x="47"/>
        <item m="1" x="48"/>
        <item m="1" x="36"/>
        <item m="1" x="40"/>
        <item m="1" x="41"/>
        <item m="1" x="42"/>
        <item m="1" x="43"/>
        <item m="1" x="38"/>
        <item m="1" x="24"/>
        <item m="1" x="25"/>
        <item m="1" x="33"/>
        <item m="1" x="34"/>
        <item m="1" x="35"/>
        <item m="1" x="31"/>
        <item m="1" x="32"/>
        <item m="1" x="28"/>
        <item m="1" x="15"/>
        <item m="1" x="19"/>
        <item m="1" x="22"/>
        <item m="1" x="17"/>
        <item x="3"/>
        <item m="1" x="10"/>
        <item m="1" x="12"/>
      </items>
    </pivotField>
    <pivotField name="FIN EMB. / LIV." axis="axisRow" compact="0" outline="0" showAll="0" defaultSubtotal="0">
      <items count="676">
        <item m="1" x="572"/>
        <item m="1" x="500"/>
        <item m="1" x="591"/>
        <item m="1" x="493"/>
        <item m="1" x="509"/>
        <item m="1" x="617"/>
        <item m="1" x="516"/>
        <item m="1" x="671"/>
        <item m="1" x="631"/>
        <item m="1" x="612"/>
        <item m="1" x="501"/>
        <item m="1" x="483"/>
        <item m="1" x="582"/>
        <item m="1" x="532"/>
        <item m="1" x="590"/>
        <item m="1" x="563"/>
        <item m="1" x="629"/>
        <item m="1" x="502"/>
        <item m="1" x="593"/>
        <item m="1" x="495"/>
        <item m="1" x="588"/>
        <item m="1" x="510"/>
        <item m="1" x="614"/>
        <item m="1" x="553"/>
        <item m="1" x="522"/>
        <item m="1" x="604"/>
        <item m="1" x="669"/>
        <item m="1" x="655"/>
        <item m="1" x="528"/>
        <item m="1" x="620"/>
        <item m="1" x="467"/>
        <item m="1" x="633"/>
        <item m="1" x="656"/>
        <item m="1" x="583"/>
        <item m="1" x="589"/>
        <item m="1" x="623"/>
        <item m="1" x="468"/>
        <item m="1" x="584"/>
        <item m="1" x="673"/>
        <item m="1" x="662"/>
        <item m="1" x="624"/>
        <item m="1" x="498"/>
        <item m="1" x="565"/>
        <item m="1" x="479"/>
        <item m="1" x="469"/>
        <item m="1" x="569"/>
        <item m="1" x="566"/>
        <item m="1" x="560"/>
        <item x="0"/>
        <item x="17"/>
        <item m="1" x="625"/>
        <item m="1" x="650"/>
        <item m="1" x="610"/>
        <item m="1" x="674"/>
        <item m="1" x="519"/>
        <item m="1" x="626"/>
        <item m="1" x="619"/>
        <item m="1" x="463"/>
        <item m="1" x="646"/>
        <item m="1" x="654"/>
        <item m="1" x="508"/>
        <item m="1" x="533"/>
        <item m="1" x="515"/>
        <item m="1" x="594"/>
        <item m="1" x="592"/>
        <item m="1" x="546"/>
        <item m="1" x="484"/>
        <item m="1" x="496"/>
        <item m="1" x="534"/>
        <item m="1" x="575"/>
        <item m="1" x="535"/>
        <item m="1" x="605"/>
        <item m="1" x="627"/>
        <item m="1" x="465"/>
        <item m="1" x="460"/>
        <item m="1" x="602"/>
        <item m="1" x="464"/>
        <item m="1" x="564"/>
        <item m="1" x="541"/>
        <item m="1" x="471"/>
        <item m="1" x="561"/>
        <item m="1" x="642"/>
        <item m="1" x="551"/>
        <item m="1" x="477"/>
        <item m="1" x="667"/>
        <item m="1" x="559"/>
        <item m="1" x="616"/>
        <item m="1" x="488"/>
        <item m="1" x="657"/>
        <item m="1" x="607"/>
        <item m="1" x="587"/>
        <item m="1" x="457"/>
        <item m="1" x="558"/>
        <item m="1" x="603"/>
        <item m="1" x="660"/>
        <item m="1" x="531"/>
        <item m="1" x="643"/>
        <item m="1" x="664"/>
        <item m="1" x="544"/>
        <item m="1" x="599"/>
        <item m="1" x="585"/>
        <item m="1" x="552"/>
        <item m="1" x="513"/>
        <item m="1" x="579"/>
        <item m="1" x="520"/>
        <item m="1" x="486"/>
        <item m="1" x="601"/>
        <item m="1" x="475"/>
        <item m="1" x="647"/>
        <item m="1" x="487"/>
        <item m="1" x="540"/>
        <item m="1" x="665"/>
        <item m="1" x="651"/>
        <item m="1" x="621"/>
        <item m="1" x="644"/>
        <item m="1" x="641"/>
        <item m="1" x="577"/>
        <item m="1" x="555"/>
        <item m="1" x="652"/>
        <item m="1" x="527"/>
        <item m="1" x="459"/>
        <item m="1" x="580"/>
        <item m="1" x="670"/>
        <item m="1" x="542"/>
        <item m="1" x="470"/>
        <item m="1" x="658"/>
        <item m="1" x="636"/>
        <item m="1" x="545"/>
        <item m="1" x="632"/>
        <item m="1" x="526"/>
        <item m="1" x="517"/>
        <item m="1" x="666"/>
        <item m="1" x="537"/>
        <item m="1" x="618"/>
        <item m="1" x="570"/>
        <item m="1" x="512"/>
        <item m="1" x="543"/>
        <item m="1" x="507"/>
        <item m="1" x="598"/>
        <item m="1" x="548"/>
        <item m="1" x="611"/>
        <item m="1" x="672"/>
        <item m="1" x="573"/>
        <item m="1" x="454"/>
        <item m="1" x="640"/>
        <item m="1" x="503"/>
        <item m="1" x="549"/>
        <item m="1" x="476"/>
        <item m="1" x="576"/>
        <item m="1" x="595"/>
        <item m="1" x="462"/>
        <item m="1" x="523"/>
        <item m="1" x="550"/>
        <item m="1" x="648"/>
        <item m="1" x="638"/>
        <item m="1" x="485"/>
        <item m="1" x="556"/>
        <item m="1" x="606"/>
        <item m="1" x="668"/>
        <item m="1" x="505"/>
        <item m="1" x="521"/>
        <item m="1" x="645"/>
        <item m="1" x="554"/>
        <item m="1" x="630"/>
        <item m="1" x="536"/>
        <item m="1" x="504"/>
        <item m="1" x="675"/>
        <item m="1" x="455"/>
        <item m="1" x="578"/>
        <item m="1" x="639"/>
        <item m="1" x="628"/>
        <item m="1" x="622"/>
        <item m="1" x="525"/>
        <item m="1" x="635"/>
        <item m="1" x="574"/>
        <item m="1" x="661"/>
        <item m="1" x="514"/>
        <item m="1" x="529"/>
        <item m="1" x="458"/>
        <item m="1" x="615"/>
        <item m="1" x="637"/>
        <item m="1" x="524"/>
        <item m="1" x="480"/>
        <item m="1" x="538"/>
        <item m="1" x="596"/>
        <item x="1"/>
        <item m="1" x="489"/>
        <item m="1" x="586"/>
        <item m="1" x="481"/>
        <item m="1" x="518"/>
        <item m="1" x="663"/>
        <item m="1" x="466"/>
        <item m="1" x="567"/>
        <item m="1" x="571"/>
        <item m="1" x="478"/>
        <item m="1" x="419"/>
        <item m="1" x="539"/>
        <item m="1" x="443"/>
        <item m="1" x="420"/>
        <item m="1" x="408"/>
        <item m="1" x="422"/>
        <item m="1" x="597"/>
        <item m="1" x="414"/>
        <item m="1" x="447"/>
        <item m="1" x="409"/>
        <item m="1" x="398"/>
        <item m="1" x="415"/>
        <item m="1" x="634"/>
        <item m="1" x="600"/>
        <item m="1" x="384"/>
        <item m="1" x="359"/>
        <item m="1" x="344"/>
        <item m="1" x="349"/>
        <item m="1" x="391"/>
        <item m="1" x="339"/>
        <item m="1" x="341"/>
        <item m="1" x="417"/>
        <item m="1" x="286"/>
        <item m="1" x="295"/>
        <item m="1" x="279"/>
        <item m="1" x="249"/>
        <item m="1" x="547"/>
        <item m="1" x="151"/>
        <item m="1" x="229"/>
        <item m="1" x="187"/>
        <item m="1" x="144"/>
        <item m="1" x="142"/>
        <item m="1" x="202"/>
        <item m="1" x="182"/>
        <item m="1" x="200"/>
        <item m="1" x="167"/>
        <item m="1" x="246"/>
        <item m="1" x="175"/>
        <item m="1" x="494"/>
        <item m="1" x="152"/>
        <item m="1" x="153"/>
        <item m="1" x="608"/>
        <item m="1" x="562"/>
        <item m="1" x="581"/>
        <item m="1" x="649"/>
        <item m="1" x="499"/>
        <item m="1" x="653"/>
        <item m="1" x="423"/>
        <item m="1" x="461"/>
        <item m="1" x="482"/>
        <item m="1" x="490"/>
        <item m="1" x="413"/>
        <item m="1" x="438"/>
        <item m="1" x="557"/>
        <item m="1" x="456"/>
        <item m="1" x="473"/>
        <item m="1" x="427"/>
        <item m="1" x="448"/>
        <item m="1" x="439"/>
        <item m="1" x="433"/>
        <item m="1" x="361"/>
        <item m="1" x="430"/>
        <item m="1" x="400"/>
        <item m="1" x="491"/>
        <item m="1" x="401"/>
        <item m="1" x="375"/>
        <item m="1" x="389"/>
        <item m="1" x="659"/>
        <item m="1" x="428"/>
        <item m="1" x="393"/>
        <item m="1" x="346"/>
        <item m="1" x="323"/>
        <item m="1" x="331"/>
        <item m="1" x="284"/>
        <item m="1" x="269"/>
        <item m="1" x="371"/>
        <item m="1" x="472"/>
        <item m="1" x="395"/>
        <item m="1" x="372"/>
        <item m="1" x="362"/>
        <item m="1" x="383"/>
        <item m="1" x="347"/>
        <item m="1" x="453"/>
        <item m="1" x="394"/>
        <item m="1" x="367"/>
        <item m="1" x="429"/>
        <item m="1" x="354"/>
        <item m="1" x="530"/>
        <item m="1" x="451"/>
        <item m="1" x="410"/>
        <item m="1" x="432"/>
        <item m="1" x="363"/>
        <item m="1" x="366"/>
        <item m="1" x="405"/>
        <item m="1" x="402"/>
        <item m="1" x="407"/>
        <item m="1" x="285"/>
        <item m="1" x="337"/>
        <item m="1" x="365"/>
        <item m="1" x="342"/>
        <item m="1" x="324"/>
        <item m="1" x="326"/>
        <item m="1" x="568"/>
        <item m="1" x="351"/>
        <item m="1" x="390"/>
        <item m="1" x="497"/>
        <item m="1" x="308"/>
        <item m="1" x="311"/>
        <item m="1" x="270"/>
        <item m="1" x="219"/>
        <item m="1" x="431"/>
        <item m="1" x="406"/>
        <item m="1" x="424"/>
        <item m="1" x="397"/>
        <item m="1" x="307"/>
        <item m="1" x="291"/>
        <item m="1" x="368"/>
        <item m="1" x="386"/>
        <item m="1" x="404"/>
        <item m="1" x="396"/>
        <item m="1" x="356"/>
        <item m="1" x="316"/>
        <item m="1" x="377"/>
        <item m="1" x="474"/>
        <item m="1" x="250"/>
        <item m="1" x="388"/>
        <item m="1" x="329"/>
        <item m="1" x="609"/>
        <item m="1" x="303"/>
        <item m="1" x="506"/>
        <item m="1" x="241"/>
        <item m="1" x="352"/>
        <item m="1" x="353"/>
        <item m="1" x="245"/>
        <item m="1" x="336"/>
        <item m="1" x="421"/>
        <item m="1" x="411"/>
        <item m="1" x="613"/>
        <item m="1" x="392"/>
        <item m="1" x="350"/>
        <item m="1" x="374"/>
        <item m="1" x="310"/>
        <item m="1" x="268"/>
        <item m="1" x="492"/>
        <item m="1" x="511"/>
        <item m="1" x="440"/>
        <item m="1" x="315"/>
        <item m="1" x="452"/>
        <item m="1" x="357"/>
        <item m="1" x="358"/>
        <item m="1" x="381"/>
        <item m="1" x="348"/>
        <item m="1" x="449"/>
        <item m="1" x="360"/>
        <item m="1" x="387"/>
        <item m="1" x="364"/>
        <item m="1" x="425"/>
        <item m="1" x="426"/>
        <item m="1" x="437"/>
        <item m="1" x="399"/>
        <item m="1" x="442"/>
        <item m="1" x="382"/>
        <item m="1" x="450"/>
        <item m="1" x="444"/>
        <item m="1" x="445"/>
        <item m="1" x="435"/>
        <item m="1" x="446"/>
        <item m="1" x="434"/>
        <item m="1" x="385"/>
        <item m="1" x="436"/>
        <item m="1" x="441"/>
        <item m="1" x="380"/>
        <item m="1" x="373"/>
        <item m="1" x="340"/>
        <item m="1" x="416"/>
        <item m="1" x="370"/>
        <item m="1" x="333"/>
        <item m="1" x="330"/>
        <item m="1" x="412"/>
        <item m="1" x="318"/>
        <item m="1" x="314"/>
        <item m="1" x="335"/>
        <item m="1" x="312"/>
        <item m="1" x="297"/>
        <item m="1" x="299"/>
        <item m="1" x="265"/>
        <item m="1" x="418"/>
        <item m="1" x="306"/>
        <item m="1" x="325"/>
        <item m="1" x="302"/>
        <item m="1" x="264"/>
        <item m="1" x="338"/>
        <item m="1" x="319"/>
        <item m="1" x="332"/>
        <item m="1" x="252"/>
        <item m="1" x="218"/>
        <item m="1" x="244"/>
        <item m="1" x="293"/>
        <item m="1" x="328"/>
        <item m="1" x="334"/>
        <item m="1" x="301"/>
        <item m="1" x="288"/>
        <item m="1" x="248"/>
        <item m="1" x="267"/>
        <item m="1" x="403"/>
        <item m="1" x="215"/>
        <item m="1" x="191"/>
        <item m="1" x="146"/>
        <item m="1" x="220"/>
        <item m="1" x="179"/>
        <item m="1" x="123"/>
        <item m="1" x="128"/>
        <item m="1" x="217"/>
        <item m="1" x="106"/>
        <item m="1" x="25"/>
        <item m="1" x="247"/>
        <item m="1" x="369"/>
        <item m="1" x="355"/>
        <item m="1" x="327"/>
        <item m="1" x="345"/>
        <item m="1" x="376"/>
        <item m="1" x="280"/>
        <item m="1" x="378"/>
        <item m="1" x="379"/>
        <item m="1" x="211"/>
        <item m="1" x="172"/>
        <item m="1" x="243"/>
        <item m="1" x="199"/>
        <item m="1" x="313"/>
        <item m="1" x="296"/>
        <item m="1" x="278"/>
        <item m="1" x="251"/>
        <item m="1" x="204"/>
        <item m="1" x="292"/>
        <item m="1" x="320"/>
        <item m="1" x="262"/>
        <item m="1" x="235"/>
        <item m="1" x="227"/>
        <item m="1" x="309"/>
        <item m="1" x="263"/>
        <item m="1" x="343"/>
        <item m="1" x="283"/>
        <item m="1" x="304"/>
        <item m="1" x="321"/>
        <item m="1" x="317"/>
        <item m="1" x="322"/>
        <item m="1" x="294"/>
        <item m="1" x="298"/>
        <item m="1" x="305"/>
        <item m="1" x="232"/>
        <item m="1" x="222"/>
        <item m="1" x="138"/>
        <item m="1" x="155"/>
        <item m="1" x="300"/>
        <item m="1" x="208"/>
        <item m="1" x="148"/>
        <item m="1" x="206"/>
        <item m="1" x="122"/>
        <item m="1" x="192"/>
        <item m="1" x="143"/>
        <item m="1" x="131"/>
        <item m="1" x="105"/>
        <item m="1" x="145"/>
        <item m="1" x="140"/>
        <item m="1" x="139"/>
        <item m="1" x="87"/>
        <item m="1" x="290"/>
        <item m="1" x="289"/>
        <item m="1" x="287"/>
        <item m="1" x="201"/>
        <item m="1" x="104"/>
        <item m="1" x="233"/>
        <item m="1" x="90"/>
        <item m="1" x="226"/>
        <item m="1" x="157"/>
        <item m="1" x="137"/>
        <item m="1" x="141"/>
        <item m="1" x="281"/>
        <item m="1" x="177"/>
        <item m="1" x="35"/>
        <item m="1" x="197"/>
        <item m="1" x="282"/>
        <item m="1" x="266"/>
        <item m="1" x="193"/>
        <item m="1" x="150"/>
        <item m="1" x="116"/>
        <item x="6"/>
        <item m="1" x="54"/>
        <item m="1" x="41"/>
        <item m="1" x="277"/>
        <item m="1" x="57"/>
        <item m="1" x="149"/>
        <item m="1" x="47"/>
        <item x="9"/>
        <item m="1" x="55"/>
        <item m="1" x="69"/>
        <item m="1" x="260"/>
        <item m="1" x="83"/>
        <item m="1" x="276"/>
        <item m="1" x="124"/>
        <item m="1" x="86"/>
        <item x="18"/>
        <item m="1" x="271"/>
        <item m="1" x="272"/>
        <item m="1" x="273"/>
        <item m="1" x="274"/>
        <item m="1" x="275"/>
        <item m="1" x="214"/>
        <item m="1" x="194"/>
        <item m="1" x="254"/>
        <item m="1" x="225"/>
        <item m="1" x="242"/>
        <item m="1" x="209"/>
        <item m="1" x="162"/>
        <item m="1" x="77"/>
        <item m="1" x="190"/>
        <item m="1" x="20"/>
        <item m="1" x="92"/>
        <item m="1" x="38"/>
        <item m="1" x="261"/>
        <item m="1" x="213"/>
        <item m="1" x="80"/>
        <item m="1" x="52"/>
        <item m="1" x="30"/>
        <item m="1" x="255"/>
        <item m="1" x="256"/>
        <item m="1" x="257"/>
        <item m="1" x="258"/>
        <item m="1" x="259"/>
        <item m="1" x="253"/>
        <item m="1" x="239"/>
        <item m="1" x="178"/>
        <item m="1" x="240"/>
        <item m="1" x="49"/>
        <item m="1" x="132"/>
        <item m="1" x="88"/>
        <item m="1" x="236"/>
        <item m="1" x="221"/>
        <item m="1" x="224"/>
        <item m="1" x="195"/>
        <item m="1" x="133"/>
        <item m="1" x="198"/>
        <item m="1" x="231"/>
        <item m="1" x="171"/>
        <item m="1" x="121"/>
        <item x="15"/>
        <item m="1" x="181"/>
        <item m="1" x="127"/>
        <item m="1" x="238"/>
        <item m="1" x="156"/>
        <item m="1" x="237"/>
        <item m="1" x="174"/>
        <item m="1" x="203"/>
        <item x="10"/>
        <item x="14"/>
        <item m="1" x="234"/>
        <item m="1" x="163"/>
        <item m="1" x="184"/>
        <item m="1" x="228"/>
        <item m="1" x="186"/>
        <item m="1" x="230"/>
        <item m="1" x="78"/>
        <item m="1" x="185"/>
        <item m="1" x="120"/>
        <item m="1" x="223"/>
        <item m="1" x="188"/>
        <item m="1" x="176"/>
        <item m="1" x="189"/>
        <item m="1" x="183"/>
        <item m="1" x="169"/>
        <item m="1" x="216"/>
        <item m="1" x="212"/>
        <item m="1" x="161"/>
        <item m="1" x="114"/>
        <item m="1" x="207"/>
        <item x="13"/>
        <item m="1" x="210"/>
        <item m="1" x="126"/>
        <item m="1" x="113"/>
        <item x="11"/>
        <item m="1" x="205"/>
        <item m="1" x="166"/>
        <item m="1" x="40"/>
        <item m="1" x="125"/>
        <item m="1" x="154"/>
        <item m="1" x="170"/>
        <item m="1" x="136"/>
        <item x="8"/>
        <item m="1" x="196"/>
        <item m="1" x="110"/>
        <item m="1" x="91"/>
        <item m="1" x="111"/>
        <item m="1" x="173"/>
        <item m="1" x="100"/>
        <item m="1" x="48"/>
        <item m="1" x="61"/>
        <item m="1" x="134"/>
        <item m="1" x="115"/>
        <item m="1" x="180"/>
        <item m="1" x="119"/>
        <item m="1" x="164"/>
        <item x="4"/>
        <item m="1" x="29"/>
        <item m="1" x="168"/>
        <item m="1" x="79"/>
        <item m="1" x="107"/>
        <item m="1" x="159"/>
        <item m="1" x="160"/>
        <item m="1" x="76"/>
        <item m="1" x="26"/>
        <item m="1" x="97"/>
        <item m="1" x="158"/>
        <item m="1" x="147"/>
        <item x="3"/>
        <item m="1" x="27"/>
        <item m="1" x="81"/>
        <item m="1" x="21"/>
        <item m="1" x="46"/>
        <item x="7"/>
        <item m="1" x="165"/>
        <item m="1" x="22"/>
        <item m="1" x="135"/>
        <item m="1" x="75"/>
        <item m="1" x="24"/>
        <item m="1" x="117"/>
        <item m="1" x="82"/>
        <item m="1" x="129"/>
        <item m="1" x="43"/>
        <item m="1" x="66"/>
        <item m="1" x="130"/>
        <item m="1" x="85"/>
        <item m="1" x="44"/>
        <item m="1" x="112"/>
        <item m="1" x="58"/>
        <item m="1" x="51"/>
        <item m="1" x="37"/>
        <item m="1" x="63"/>
        <item m="1" x="108"/>
        <item m="1" x="109"/>
        <item m="1" x="118"/>
        <item m="1" x="89"/>
        <item m="1" x="98"/>
        <item m="1" x="99"/>
        <item m="1" x="102"/>
        <item m="1" x="101"/>
        <item m="1" x="103"/>
        <item m="1" x="23"/>
        <item m="1" x="74"/>
        <item m="1" x="93"/>
        <item m="1" x="94"/>
        <item m="1" x="95"/>
        <item m="1" x="96"/>
        <item m="1" x="50"/>
        <item m="1" x="84"/>
        <item m="1" x="45"/>
        <item m="1" x="68"/>
        <item x="19"/>
        <item m="1" x="70"/>
        <item m="1" x="71"/>
        <item m="1" x="72"/>
        <item m="1" x="73"/>
        <item m="1" x="67"/>
        <item m="1" x="62"/>
        <item m="1" x="64"/>
        <item m="1" x="65"/>
        <item m="1" x="60"/>
        <item m="1" x="53"/>
        <item m="1" x="56"/>
        <item m="1" x="59"/>
        <item m="1" x="28"/>
        <item m="1" x="39"/>
        <item m="1" x="33"/>
        <item m="1" x="34"/>
        <item m="1" x="42"/>
        <item m="1" x="36"/>
        <item m="1" x="31"/>
        <item m="1" x="32"/>
        <item x="2"/>
        <item x="5"/>
        <item x="12"/>
        <item x="16"/>
      </items>
    </pivotField>
    <pivotField compact="0" outline="0" showAll="0"/>
  </pivotFields>
  <rowFields count="20">
    <field x="0"/>
    <field x="2"/>
    <field x="1"/>
    <field x="14"/>
    <field x="24"/>
    <field x="3"/>
    <field x="43"/>
    <field x="44"/>
    <field x="51"/>
    <field x="52"/>
    <field x="45"/>
    <field x="46"/>
    <field x="47"/>
    <field x="48"/>
    <field x="49"/>
    <field x="50"/>
    <field x="54"/>
    <field x="57"/>
    <field x="58"/>
    <field x="59"/>
  </rowFields>
  <rowItems count="19">
    <i>
      <x/>
      <x v="3"/>
      <x v="58"/>
      <x v="1"/>
      <x v="478"/>
      <x v="113"/>
      <x v="1"/>
      <x v="1"/>
      <x v="1"/>
      <x v="1"/>
      <x v="49"/>
      <x v="1"/>
      <x v="497"/>
      <x v="1"/>
      <x v="1"/>
      <x v="1"/>
      <x v="496"/>
      <x v="181"/>
      <x v="335"/>
      <x v="672"/>
    </i>
    <i>
      <x v="1"/>
      <x v="6"/>
      <x v="42"/>
      <x v="75"/>
      <x v="454"/>
      <x v="134"/>
      <x v="1"/>
      <x v="1"/>
      <x v="1"/>
      <x v="1"/>
      <x v="49"/>
      <x v="1"/>
      <x v="1"/>
      <x v="1"/>
      <x v="1"/>
      <x v="560"/>
      <x v="614"/>
      <x v="1"/>
      <x v="26"/>
      <x v="608"/>
    </i>
    <i>
      <x v="2"/>
      <x v="3"/>
      <x v="64"/>
      <x v="269"/>
      <x v="466"/>
      <x v="130"/>
      <x v="1"/>
      <x v="557"/>
      <x v="544"/>
      <x v="1"/>
      <x v="450"/>
      <x v="239"/>
      <x v="497"/>
      <x v="1"/>
      <x v="1"/>
      <x v="564"/>
      <x v="637"/>
      <x v="1"/>
      <x v="26"/>
      <x v="596"/>
    </i>
    <i>
      <x v="3"/>
      <x v="3"/>
      <x v="43"/>
      <x v="270"/>
      <x v="467"/>
      <x v="130"/>
      <x v="1"/>
      <x v="558"/>
      <x v="562"/>
      <x v="440"/>
      <x v="450"/>
      <x v="239"/>
      <x v="497"/>
      <x v="1"/>
      <x v="1"/>
      <x v="438"/>
      <x v="499"/>
      <x v="1"/>
      <x v="26"/>
      <x v="673"/>
    </i>
    <i>
      <x v="4"/>
      <x v="2"/>
      <x v="59"/>
      <x v="271"/>
      <x v="468"/>
      <x v="132"/>
      <x v="1"/>
      <x v="520"/>
      <x v="524"/>
      <x v="440"/>
      <x v="538"/>
      <x v="246"/>
      <x v="521"/>
      <x v="1"/>
      <x v="1"/>
      <x v="582"/>
      <x v="638"/>
      <x v="284"/>
      <x v="198"/>
      <x v="481"/>
    </i>
    <i>
      <x v="5"/>
      <x v="3"/>
      <x v="65"/>
      <x v="264"/>
      <x v="450"/>
      <x v="113"/>
      <x v="269"/>
      <x v="537"/>
      <x v="516"/>
      <x v="476"/>
      <x v="455"/>
      <x v="264"/>
      <x v="510"/>
      <x v="1"/>
      <x v="206"/>
      <x v="544"/>
      <x v="516"/>
      <x v="1"/>
      <x v="26"/>
      <x v="613"/>
    </i>
    <i>
      <x v="6"/>
      <x v="3"/>
      <x v="41"/>
      <x v="211"/>
      <x v="469"/>
      <x v="110"/>
      <x v="268"/>
      <x v="559"/>
      <x v="1"/>
      <x v="1"/>
      <x v="49"/>
      <x v="1"/>
      <x v="1"/>
      <x v="1"/>
      <x v="1"/>
      <x v="580"/>
      <x v="572"/>
      <x v="1"/>
      <x v="26"/>
      <x v="582"/>
    </i>
    <i>
      <x v="7"/>
      <x v="5"/>
      <x v="60"/>
      <x v="125"/>
      <x v="162"/>
      <x v="139"/>
      <x v="268"/>
      <x v="559"/>
      <x v="535"/>
      <x v="474"/>
      <x v="560"/>
      <x v="264"/>
      <x v="554"/>
      <x v="1"/>
      <x v="206"/>
      <x v="580"/>
      <x v="572"/>
      <x v="174"/>
      <x v="205"/>
      <x v="488"/>
    </i>
    <i>
      <x v="8"/>
      <x v="5"/>
      <x v="61"/>
      <x v="127"/>
      <x v="164"/>
      <x v="139"/>
      <x v="270"/>
      <x v="493"/>
      <x v="342"/>
      <x v="474"/>
      <x v="504"/>
      <x v="240"/>
      <x v="412"/>
      <x v="1"/>
      <x v="206"/>
      <x v="583"/>
      <x v="639"/>
      <x v="182"/>
      <x v="255"/>
      <x v="548"/>
    </i>
    <i>
      <x v="9"/>
      <x v="5"/>
      <x v="62"/>
      <x v="128"/>
      <x v="165"/>
      <x v="139"/>
      <x v="270"/>
      <x v="535"/>
      <x v="593"/>
      <x v="477"/>
      <x v="566"/>
      <x v="267"/>
      <x v="475"/>
      <x v="1"/>
      <x v="1"/>
      <x v="583"/>
      <x v="639"/>
      <x v="312"/>
      <x v="270"/>
      <x v="574"/>
    </i>
    <i>
      <x v="10"/>
      <x v="3"/>
      <x v="48"/>
      <x v="155"/>
      <x v="465"/>
      <x v="135"/>
      <x v="1"/>
      <x v="535"/>
      <x v="593"/>
      <x v="1"/>
      <x v="566"/>
      <x v="268"/>
      <x v="1"/>
      <x v="1"/>
      <x v="206"/>
      <x v="583"/>
      <x v="639"/>
      <x v="1"/>
      <x v="26"/>
      <x v="674"/>
    </i>
    <i>
      <x v="11"/>
      <x v="2"/>
      <x v="46"/>
      <x v="272"/>
      <x v="470"/>
      <x v="132"/>
      <x v="1"/>
      <x v="539"/>
      <x v="435"/>
      <x v="477"/>
      <x v="221"/>
      <x v="269"/>
      <x v="530"/>
      <x v="1"/>
      <x v="207"/>
      <x v="561"/>
      <x v="579"/>
      <x v="1"/>
      <x v="26"/>
      <x v="570"/>
    </i>
    <i>
      <x v="12"/>
      <x v="3"/>
      <x v="44"/>
      <x v="273"/>
      <x v="471"/>
      <x v="113"/>
      <x v="266"/>
      <x v="504"/>
      <x v="446"/>
      <x v="477"/>
      <x v="567"/>
      <x v="269"/>
      <x v="530"/>
      <x v="195"/>
      <x v="1"/>
      <x v="584"/>
      <x v="640"/>
      <x v="1"/>
      <x v="26"/>
      <x v="549"/>
    </i>
    <i>
      <x v="13"/>
      <x v="3"/>
      <x v="47"/>
      <x v="263"/>
      <x v="449"/>
      <x v="113"/>
      <x v="223"/>
      <x v="1"/>
      <x v="577"/>
      <x v="478"/>
      <x v="568"/>
      <x v="257"/>
      <x v="414"/>
      <x v="1"/>
      <x v="1"/>
      <x v="521"/>
      <x v="580"/>
      <x v="1"/>
      <x v="26"/>
      <x v="540"/>
    </i>
    <i>
      <x v="14"/>
      <x v="2"/>
      <x v="45"/>
      <x v="254"/>
      <x v="477"/>
      <x v="121"/>
      <x v="1"/>
      <x v="545"/>
      <x v="590"/>
      <x v="479"/>
      <x v="543"/>
      <x v="270"/>
      <x v="552"/>
      <x v="1"/>
      <x v="1"/>
      <x v="585"/>
      <x v="641"/>
      <x v="1"/>
      <x v="26"/>
      <x v="548"/>
    </i>
    <i>
      <x v="15"/>
      <x v="3"/>
      <x v="49"/>
      <x v="274"/>
      <x v="473"/>
      <x v="136"/>
      <x v="271"/>
      <x v="560"/>
      <x v="594"/>
      <x v="1"/>
      <x v="543"/>
      <x v="271"/>
      <x v="555"/>
      <x v="196"/>
      <x v="207"/>
      <x v="571"/>
      <x v="642"/>
      <x v="1"/>
      <x v="26"/>
      <x v="574"/>
    </i>
    <i>
      <x v="16"/>
      <x v="3"/>
      <x v="49"/>
      <x v="275"/>
      <x v="474"/>
      <x v="136"/>
      <x v="271"/>
      <x v="501"/>
      <x v="595"/>
      <x v="480"/>
      <x v="558"/>
      <x v="243"/>
      <x v="556"/>
      <x v="1"/>
      <x v="207"/>
      <x v="586"/>
      <x v="643"/>
      <x v="1"/>
      <x v="26"/>
      <x v="675"/>
    </i>
    <i>
      <x v="18"/>
      <x v="3"/>
      <x v="63"/>
      <x v="191"/>
      <x v="475"/>
      <x v="137"/>
      <x v="272"/>
      <x v="561"/>
      <x v="596"/>
      <x v="480"/>
      <x v="569"/>
      <x v="243"/>
      <x v="556"/>
      <x v="194"/>
      <x v="1"/>
      <x v="440"/>
      <x v="463"/>
      <x v="1"/>
      <x v="26"/>
      <x v="496"/>
    </i>
    <i>
      <x v="19"/>
      <x v="3"/>
      <x v="63"/>
      <x v="276"/>
      <x v="476"/>
      <x v="137"/>
      <x v="272"/>
      <x v="326"/>
      <x v="597"/>
      <x v="481"/>
      <x v="570"/>
      <x v="272"/>
      <x v="557"/>
      <x v="197"/>
      <x v="207"/>
      <x v="441"/>
      <x v="465"/>
      <x v="1"/>
      <x v="26"/>
      <x v="651"/>
    </i>
  </rowItems>
  <colItems count="1">
    <i/>
  </colItems>
  <pageFields count="1">
    <pageField fld="4" hier="-1"/>
  </pageFields>
  <formats count="81">
    <format dxfId="164">
      <pivotArea dataOnly="0" labelOnly="1" outline="0" fieldPosition="0">
        <references count="1">
          <reference field="24" count="0"/>
        </references>
      </pivotArea>
    </format>
    <format dxfId="163">
      <pivotArea dataOnly="0" labelOnly="1" outline="0" fieldPosition="0">
        <references count="1">
          <reference field="14" count="0"/>
        </references>
      </pivotArea>
    </format>
    <format dxfId="162">
      <pivotArea dataOnly="0" labelOnly="1" outline="0" fieldPosition="0">
        <references count="1">
          <reference field="3" count="0"/>
        </references>
      </pivotArea>
    </format>
    <format dxfId="161">
      <pivotArea dataOnly="0" labelOnly="1" outline="0" fieldPosition="0">
        <references count="1">
          <reference field="43" count="0"/>
        </references>
      </pivotArea>
    </format>
    <format dxfId="160">
      <pivotArea dataOnly="0" labelOnly="1" outline="0" fieldPosition="0">
        <references count="1">
          <reference field="44" count="0"/>
        </references>
      </pivotArea>
    </format>
    <format dxfId="159">
      <pivotArea type="all" dataOnly="0" outline="0" fieldPosition="0"/>
    </format>
    <format dxfId="158">
      <pivotArea outline="0" collapsedLevelsAreSubtotals="1" fieldPosition="0"/>
    </format>
    <format dxfId="157">
      <pivotArea type="origin" dataOnly="0" labelOnly="1" outline="0" fieldPosition="0"/>
    </format>
    <format dxfId="156">
      <pivotArea field="0" type="button" dataOnly="0" labelOnly="1" outline="0" axis="axisRow" fieldPosition="0"/>
    </format>
    <format dxfId="155">
      <pivotArea field="2" type="button" dataOnly="0" labelOnly="1" outline="0" axis="axisRow" fieldPosition="1"/>
    </format>
    <format dxfId="154">
      <pivotArea field="1" type="button" dataOnly="0" labelOnly="1" outline="0" axis="axisRow" fieldPosition="2"/>
    </format>
    <format dxfId="153">
      <pivotArea field="14" type="button" dataOnly="0" labelOnly="1" outline="0" axis="axisRow" fieldPosition="3"/>
    </format>
    <format dxfId="152">
      <pivotArea field="24" type="button" dataOnly="0" labelOnly="1" outline="0" axis="axisRow" fieldPosition="4"/>
    </format>
    <format dxfId="151">
      <pivotArea field="3" type="button" dataOnly="0" labelOnly="1" outline="0" axis="axisRow" fieldPosition="5"/>
    </format>
    <format dxfId="150">
      <pivotArea field="43" type="button" dataOnly="0" labelOnly="1" outline="0" axis="axisRow" fieldPosition="6"/>
    </format>
    <format dxfId="149">
      <pivotArea field="44" type="button" dataOnly="0" labelOnly="1" outline="0" axis="axisRow" fieldPosition="7"/>
    </format>
    <format dxfId="148">
      <pivotArea field="51" type="button" dataOnly="0" labelOnly="1" outline="0" axis="axisRow" fieldPosition="8"/>
    </format>
    <format dxfId="147">
      <pivotArea field="52" type="button" dataOnly="0" labelOnly="1" outline="0" axis="axisRow" fieldPosition="9"/>
    </format>
    <format dxfId="146">
      <pivotArea field="45" type="button" dataOnly="0" labelOnly="1" outline="0" axis="axisRow" fieldPosition="10"/>
    </format>
    <format dxfId="145">
      <pivotArea field="38" type="button" dataOnly="0" labelOnly="1" outline="0"/>
    </format>
    <format dxfId="144">
      <pivotArea field="47" type="button" dataOnly="0" labelOnly="1" outline="0" axis="axisRow" fieldPosition="12"/>
    </format>
    <format dxfId="143">
      <pivotArea field="48" type="button" dataOnly="0" labelOnly="1" outline="0" axis="axisRow" fieldPosition="13"/>
    </format>
    <format dxfId="142">
      <pivotArea field="49" type="button" dataOnly="0" labelOnly="1" outline="0" axis="axisRow" fieldPosition="14"/>
    </format>
    <format dxfId="141">
      <pivotArea field="50" type="button" dataOnly="0" labelOnly="1" outline="0" axis="axisRow" fieldPosition="15"/>
    </format>
    <format dxfId="140">
      <pivotArea field="54" type="button" dataOnly="0" labelOnly="1" outline="0" axis="axisRow" fieldPosition="16"/>
    </format>
    <format dxfId="139">
      <pivotArea field="59" type="button" dataOnly="0" labelOnly="1" outline="0" axis="axisRow" fieldPosition="19"/>
    </format>
    <format dxfId="138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137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136">
      <pivotArea dataOnly="0" labelOnly="1" outline="0" fieldPosition="0">
        <references count="1">
          <reference field="0" count="2">
            <x v="100"/>
            <x v="101"/>
          </reference>
        </references>
      </pivotArea>
    </format>
    <format dxfId="135">
      <pivotArea dataOnly="0" labelOnly="1" grandRow="1" outline="0" fieldPosition="0"/>
    </format>
    <format dxfId="134">
      <pivotArea dataOnly="0" labelOnly="1" outline="0" fieldPosition="0">
        <references count="2">
          <reference field="0" count="1" selected="0">
            <x v="0"/>
          </reference>
          <reference field="2" count="1">
            <x v="3"/>
          </reference>
        </references>
      </pivotArea>
    </format>
    <format dxfId="133">
      <pivotArea dataOnly="0" labelOnly="1" outline="0" fieldPosition="0">
        <references count="2">
          <reference field="0" count="1" selected="0">
            <x v="2"/>
          </reference>
          <reference field="2" count="1">
            <x v="2"/>
          </reference>
        </references>
      </pivotArea>
    </format>
    <format dxfId="132">
      <pivotArea dataOnly="0" labelOnly="1" outline="0" fieldPosition="0">
        <references count="2">
          <reference field="0" count="1" selected="0">
            <x v="3"/>
          </reference>
          <reference field="2" count="1">
            <x v="3"/>
          </reference>
        </references>
      </pivotArea>
    </format>
    <format dxfId="131">
      <pivotArea dataOnly="0" labelOnly="1" outline="0" fieldPosition="0">
        <references count="2">
          <reference field="0" count="1" selected="0">
            <x v="7"/>
          </reference>
          <reference field="2" count="1">
            <x v="2"/>
          </reference>
        </references>
      </pivotArea>
    </format>
    <format dxfId="130">
      <pivotArea dataOnly="0" labelOnly="1" outline="0" fieldPosition="0">
        <references count="2">
          <reference field="0" count="1" selected="0">
            <x v="10"/>
          </reference>
          <reference field="2" count="1">
            <x v="3"/>
          </reference>
        </references>
      </pivotArea>
    </format>
    <format dxfId="129">
      <pivotArea dataOnly="0" labelOnly="1" outline="0" fieldPosition="0">
        <references count="2">
          <reference field="0" count="1" selected="0">
            <x v="14"/>
          </reference>
          <reference field="2" count="1">
            <x v="2"/>
          </reference>
        </references>
      </pivotArea>
    </format>
    <format dxfId="128">
      <pivotArea dataOnly="0" labelOnly="1" outline="0" fieldPosition="0">
        <references count="2">
          <reference field="0" count="1" selected="0">
            <x v="27"/>
          </reference>
          <reference field="2" count="1">
            <x v="3"/>
          </reference>
        </references>
      </pivotArea>
    </format>
    <format dxfId="127">
      <pivotArea dataOnly="0" labelOnly="1" outline="0" fieldPosition="0">
        <references count="2">
          <reference field="0" count="1" selected="0">
            <x v="31"/>
          </reference>
          <reference field="2" count="1">
            <x v="2"/>
          </reference>
        </references>
      </pivotArea>
    </format>
    <format dxfId="126">
      <pivotArea dataOnly="0" labelOnly="1" outline="0" fieldPosition="0">
        <references count="2">
          <reference field="0" count="1" selected="0">
            <x v="74"/>
          </reference>
          <reference field="2" count="1">
            <x v="0"/>
          </reference>
        </references>
      </pivotArea>
    </format>
    <format dxfId="125">
      <pivotArea dataOnly="0" labelOnly="1" outline="0" fieldPosition="0">
        <references count="2">
          <reference field="0" count="1" selected="0">
            <x v="99"/>
          </reference>
          <reference field="2" count="1">
            <x v="1"/>
          </reference>
        </references>
      </pivotArea>
    </format>
    <format dxfId="124">
      <pivotArea dataOnly="0" labelOnly="1" outline="0" fieldPosition="0">
        <references count="2">
          <reference field="0" count="1" selected="0">
            <x v="100"/>
          </reference>
          <reference field="2" count="1">
            <x v="4"/>
          </reference>
        </references>
      </pivotArea>
    </format>
    <format dxfId="123">
      <pivotArea dataOnly="0" labelOnly="1" outline="0" fieldPosition="0">
        <references count="3">
          <reference field="0" count="1" selected="0">
            <x v="74"/>
          </reference>
          <reference field="1" count="1">
            <x v="0"/>
          </reference>
          <reference field="2" count="1" selected="0">
            <x v="0"/>
          </reference>
        </references>
      </pivotArea>
    </format>
    <format dxfId="122">
      <pivotArea dataOnly="0" labelOnly="1" outline="0" fieldPosition="0">
        <references count="3">
          <reference field="0" count="1" selected="0">
            <x v="99"/>
          </reference>
          <reference field="1" count="1">
            <x v="1"/>
          </reference>
          <reference field="2" count="1" selected="0">
            <x v="1"/>
          </reference>
        </references>
      </pivotArea>
    </format>
    <format dxfId="121">
      <pivotArea dataOnly="0" labelOnly="1" outline="0" fieldPosition="0">
        <references count="3">
          <reference field="0" count="1" selected="0">
            <x v="100"/>
          </reference>
          <reference field="1" count="1">
            <x v="0"/>
          </reference>
          <reference field="2" count="1" selected="0">
            <x v="4"/>
          </reference>
        </references>
      </pivotArea>
    </format>
    <format dxfId="120">
      <pivotArea dataOnly="0" labelOnly="1" outline="0" fieldPosition="0">
        <references count="4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14" count="1">
            <x v="2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14" count="1">
            <x v="51"/>
          </reference>
        </references>
      </pivotArea>
    </format>
    <format dxfId="118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14" count="1" selected="0">
            <x v="2"/>
          </reference>
          <reference field="24" count="1">
            <x v="1"/>
          </reference>
        </references>
      </pivotArea>
    </format>
    <format dxfId="117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14" count="1" selected="0">
            <x v="51"/>
          </reference>
          <reference field="24" count="1">
            <x v="57"/>
          </reference>
        </references>
      </pivotArea>
    </format>
    <format dxfId="116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2"/>
          </reference>
          <reference field="14" count="1" selected="0">
            <x v="0"/>
          </reference>
          <reference field="24" count="1" selected="0">
            <x v="0"/>
          </reference>
        </references>
      </pivotArea>
    </format>
    <format dxfId="115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0"/>
          </reference>
          <reference field="14" count="1" selected="0">
            <x v="2"/>
          </reference>
          <reference field="24" count="1" selected="0">
            <x v="1"/>
          </reference>
        </references>
      </pivotArea>
    </format>
    <format dxfId="114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35"/>
          </reference>
          <reference field="14" count="1" selected="0">
            <x v="51"/>
          </reference>
          <reference field="24" count="1" selected="0">
            <x v="57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>
            <x v="0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>
            <x v="10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>
            <x v="2"/>
          </reference>
        </references>
      </pivotArea>
    </format>
    <format dxfId="110">
      <pivotArea dataOnly="0" labelOnly="1" outline="0" fieldPosition="0">
        <references count="8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>
            <x v="0"/>
          </reference>
        </references>
      </pivotArea>
    </format>
    <format dxfId="109">
      <pivotArea dataOnly="0" labelOnly="1" outline="0" fieldPosition="0">
        <references count="8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>
            <x v="48"/>
          </reference>
        </references>
      </pivotArea>
    </format>
    <format dxfId="108">
      <pivotArea dataOnly="0" labelOnly="1" outline="0" fieldPosition="0">
        <references count="8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>
            <x v="2"/>
          </reference>
        </references>
      </pivotArea>
    </format>
    <format dxfId="107">
      <pivotArea dataOnly="0" labelOnly="1" outline="0" fieldPosition="0">
        <references count="9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51" count="1">
            <x v="0"/>
          </reference>
        </references>
      </pivotArea>
    </format>
    <format dxfId="106">
      <pivotArea dataOnly="0" labelOnly="1" outline="0" fieldPosition="0">
        <references count="9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51" count="1">
            <x v="52"/>
          </reference>
        </references>
      </pivotArea>
    </format>
    <format dxfId="105">
      <pivotArea dataOnly="0" labelOnly="1" outline="0" fieldPosition="0">
        <references count="9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51" count="1">
            <x v="2"/>
          </reference>
        </references>
      </pivotArea>
    </format>
    <format dxfId="104">
      <pivotArea dataOnly="0" labelOnly="1" outline="0" fieldPosition="0">
        <references count="10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51" count="1" selected="0">
            <x v="0"/>
          </reference>
          <reference field="52" count="1">
            <x v="0"/>
          </reference>
        </references>
      </pivotArea>
    </format>
    <format dxfId="103">
      <pivotArea dataOnly="0" labelOnly="1" outline="0" fieldPosition="0">
        <references count="10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51" count="1" selected="0">
            <x v="52"/>
          </reference>
          <reference field="52" count="1">
            <x v="44"/>
          </reference>
        </references>
      </pivotArea>
    </format>
    <format dxfId="102">
      <pivotArea dataOnly="0" labelOnly="1" outline="0" fieldPosition="0">
        <references count="10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51" count="1" selected="0">
            <x v="2"/>
          </reference>
          <reference field="52" count="1">
            <x v="2"/>
          </reference>
        </references>
      </pivotArea>
    </format>
    <format dxfId="101">
      <pivotArea dataOnly="0" labelOnly="1" outline="0" fieldPosition="0">
        <references count="11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45" count="1">
            <x v="0"/>
          </reference>
          <reference field="51" count="1" selected="0">
            <x v="0"/>
          </reference>
          <reference field="52" count="1" selected="0">
            <x v="0"/>
          </reference>
        </references>
      </pivotArea>
    </format>
    <format dxfId="100">
      <pivotArea dataOnly="0" labelOnly="1" outline="0" fieldPosition="0">
        <references count="11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45" count="1">
            <x v="48"/>
          </reference>
          <reference field="51" count="1" selected="0">
            <x v="52"/>
          </reference>
          <reference field="52" count="1" selected="0">
            <x v="44"/>
          </reference>
        </references>
      </pivotArea>
    </format>
    <format dxfId="99">
      <pivotArea dataOnly="0" labelOnly="1" outline="0" fieldPosition="0">
        <references count="11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45" count="1">
            <x v="1"/>
          </reference>
          <reference field="51" count="1" selected="0">
            <x v="2"/>
          </reference>
          <reference field="52" count="1" selected="0">
            <x v="2"/>
          </reference>
        </references>
      </pivotArea>
    </format>
    <format dxfId="98">
      <pivotArea type="topRight" dataOnly="0" labelOnly="1" outline="0" fieldPosition="0"/>
    </format>
    <format dxfId="97">
      <pivotArea dataOnly="0" labelOnly="1" outline="0" fieldPosition="0">
        <references count="1">
          <reference field="51" count="0"/>
        </references>
      </pivotArea>
    </format>
    <format dxfId="96">
      <pivotArea dataOnly="0" labelOnly="1" outline="0" fieldPosition="0">
        <references count="1">
          <reference field="52" count="0"/>
        </references>
      </pivotArea>
    </format>
    <format dxfId="95">
      <pivotArea dataOnly="0" labelOnly="1" outline="0" fieldPosition="0">
        <references count="1">
          <reference field="45" count="0"/>
        </references>
      </pivotArea>
    </format>
    <format dxfId="94">
      <pivotArea dataOnly="0" labelOnly="1" outline="0" fieldPosition="0">
        <references count="1">
          <reference field="51" count="0"/>
        </references>
      </pivotArea>
    </format>
    <format dxfId="93">
      <pivotArea dataOnly="0" labelOnly="1" outline="0" fieldPosition="0">
        <references count="1">
          <reference field="52" count="0"/>
        </references>
      </pivotArea>
    </format>
    <format dxfId="92">
      <pivotArea dataOnly="0" labelOnly="1" outline="0" fieldPosition="0">
        <references count="1">
          <reference field="45" count="0"/>
        </references>
      </pivotArea>
    </format>
    <format dxfId="91">
      <pivotArea dataOnly="0" labelOnly="1" outline="0" fieldPosition="0">
        <references count="1">
          <reference field="47" count="0"/>
        </references>
      </pivotArea>
    </format>
    <format dxfId="90">
      <pivotArea dataOnly="0" labelOnly="1" outline="0" fieldPosition="0">
        <references count="1">
          <reference field="48" count="0"/>
        </references>
      </pivotArea>
    </format>
    <format dxfId="89">
      <pivotArea dataOnly="0" labelOnly="1" outline="0" fieldPosition="0">
        <references count="1">
          <reference field="49" count="0"/>
        </references>
      </pivotArea>
    </format>
    <format dxfId="88">
      <pivotArea dataOnly="0" labelOnly="1" outline="0" fieldPosition="0">
        <references count="1">
          <reference field="50" count="0"/>
        </references>
      </pivotArea>
    </format>
    <format dxfId="87">
      <pivotArea dataOnly="0" labelOnly="1" outline="0" fieldPosition="0">
        <references count="1">
          <reference field="54" count="0"/>
        </references>
      </pivotArea>
    </format>
    <format dxfId="86">
      <pivotArea dataOnly="0" labelOnly="1" outline="0" fieldPosition="0">
        <references count="1">
          <reference field="59" count="0"/>
        </references>
      </pivotArea>
    </format>
    <format dxfId="85">
      <pivotArea dataOnly="0" labelOnly="1" outline="0" fieldPosition="0">
        <references count="1">
          <reference field="51" count="0"/>
        </references>
      </pivotArea>
    </format>
    <format dxfId="84">
      <pivotArea dataOnly="0" labelOnly="1" outline="0" fieldPosition="0">
        <references count="1">
          <reference field="52" count="0"/>
        </references>
      </pivotArea>
    </format>
  </formats>
  <pivotTableStyleInfo name="Forecast 4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B193F9-1106-42BC-9B2F-450B00D38868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7" indent="0" compact="0" compactData="0" gridDropZones="1" multipleFieldFilters="0">
  <location ref="B10:AA30" firstHeaderRow="2" firstDataRow="2" firstDataCol="20" rowPageCount="1" colPageCount="1"/>
  <pivotFields count="61">
    <pivotField name="PRIO" axis="axisRow" compact="0" outline="0" showAll="0" defaultSubtotal="0">
      <items count="102"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"/>
        <item x="2"/>
        <item x="0"/>
      </items>
    </pivotField>
    <pivotField name="TRAVAIL" axis="axisRow" compact="0" outline="0" showAll="0" defaultSubtotal="0">
      <items count="66">
        <item x="0"/>
        <item x="1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27"/>
        <item x="28"/>
        <item x="29"/>
        <item x="30"/>
        <item x="31"/>
        <item x="32"/>
        <item x="33"/>
        <item x="34"/>
        <item x="35"/>
        <item x="36"/>
        <item x="8"/>
        <item x="3"/>
        <item x="5"/>
        <item x="14"/>
        <item x="16"/>
        <item x="13"/>
        <item x="15"/>
        <item x="12"/>
        <item x="17"/>
        <item x="19"/>
        <item x="20"/>
        <item x="21"/>
        <item x="22"/>
        <item x="23"/>
        <item x="24"/>
        <item x="25"/>
        <item x="26"/>
        <item x="2"/>
        <item x="6"/>
        <item x="9"/>
        <item x="10"/>
        <item x="11"/>
        <item x="18"/>
        <item x="4"/>
        <item x="7"/>
      </items>
    </pivotField>
    <pivotField axis="axisRow" compact="0" outline="0" showAll="0" defaultSubtotal="0">
      <items count="7">
        <item x="6"/>
        <item x="1"/>
        <item x="4"/>
        <item x="2"/>
        <item x="0"/>
        <item x="5"/>
        <item x="3"/>
      </items>
    </pivotField>
    <pivotField name="COMM. CLIENT" axis="axisRow" compact="0" outline="0" showAll="0" defaultSubtotal="0">
      <items count="140">
        <item x="1"/>
        <item m="1" x="115"/>
        <item x="11"/>
        <item m="1" x="112"/>
        <item m="1" x="118"/>
        <item m="1" x="91"/>
        <item m="1" x="102"/>
        <item m="1" x="99"/>
        <item m="1" x="128"/>
        <item m="1" x="94"/>
        <item m="1" x="133"/>
        <item m="1" x="88"/>
        <item m="1" x="109"/>
        <item m="1" x="85"/>
        <item m="1" x="134"/>
        <item m="1" x="90"/>
        <item m="1" x="104"/>
        <item m="1" x="98"/>
        <item m="1" x="124"/>
        <item m="1" x="123"/>
        <item m="1" x="116"/>
        <item m="1" x="125"/>
        <item m="1" x="129"/>
        <item m="1" x="95"/>
        <item m="1" x="110"/>
        <item m="1" x="106"/>
        <item m="1" x="96"/>
        <item m="1" x="107"/>
        <item m="1" x="120"/>
        <item m="1" x="87"/>
        <item m="1" x="114"/>
        <item m="1" x="111"/>
        <item m="1" x="86"/>
        <item m="1" x="135"/>
        <item m="1" x="119"/>
        <item x="0"/>
        <item m="1" x="92"/>
        <item m="1" x="122"/>
        <item m="1" x="84"/>
        <item m="1" x="139"/>
        <item m="1" x="131"/>
        <item m="1" x="117"/>
        <item m="1" x="82"/>
        <item m="1" x="103"/>
        <item m="1" x="105"/>
        <item m="1" x="108"/>
        <item m="1" x="89"/>
        <item m="1" x="138"/>
        <item m="1" x="35"/>
        <item m="1" x="113"/>
        <item m="1" x="100"/>
        <item m="1" x="130"/>
        <item m="1" x="24"/>
        <item m="1" x="136"/>
        <item m="1" x="93"/>
        <item m="1" x="127"/>
        <item m="1" x="26"/>
        <item m="1" x="38"/>
        <item m="1" x="132"/>
        <item m="1" x="121"/>
        <item m="1" x="83"/>
        <item m="1" x="65"/>
        <item m="1" x="97"/>
        <item m="1" x="62"/>
        <item m="1" x="56"/>
        <item m="1" x="67"/>
        <item m="1" x="69"/>
        <item m="1" x="58"/>
        <item m="1" x="57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61"/>
        <item m="1" x="55"/>
        <item m="1" x="66"/>
        <item m="1" x="137"/>
        <item m="1" x="101"/>
        <item m="1" x="126"/>
        <item x="15"/>
        <item m="1" x="60"/>
        <item m="1" x="68"/>
        <item m="1" x="64"/>
        <item m="1" x="63"/>
        <item m="1" x="45"/>
        <item x="16"/>
        <item m="1" x="37"/>
        <item m="1" x="50"/>
        <item m="1" x="54"/>
        <item x="14"/>
        <item m="1" x="52"/>
        <item m="1" x="49"/>
        <item m="1" x="46"/>
        <item m="1" x="59"/>
        <item m="1" x="39"/>
        <item m="1" x="40"/>
        <item m="1" x="53"/>
        <item m="1" x="48"/>
        <item m="1" x="47"/>
        <item m="1" x="43"/>
        <item m="1" x="51"/>
        <item m="1" x="29"/>
        <item x="6"/>
        <item m="1" x="44"/>
        <item m="1" x="41"/>
        <item x="2"/>
        <item m="1" x="42"/>
        <item m="1" x="32"/>
        <item m="1" x="22"/>
        <item m="1" x="19"/>
        <item m="1" x="28"/>
        <item m="1" x="20"/>
        <item m="1" x="34"/>
        <item x="9"/>
        <item m="1" x="36"/>
        <item m="1" x="30"/>
        <item m="1" x="33"/>
        <item m="1" x="23"/>
        <item m="1" x="31"/>
        <item m="1" x="27"/>
        <item m="1" x="25"/>
        <item m="1" x="18"/>
        <item x="4"/>
        <item m="1" x="21"/>
        <item x="5"/>
        <item m="1" x="17"/>
        <item x="3"/>
        <item x="8"/>
        <item x="10"/>
        <item x="12"/>
        <item x="13"/>
        <item x="7"/>
      </items>
    </pivotField>
    <pivotField axis="axisPage" compact="0" outline="0" multipleItemSelectionAllowed="1" showAll="0">
      <items count="6">
        <item h="1" x="3"/>
        <item h="1" x="1"/>
        <item x="2"/>
        <item h="1" x="0"/>
        <item h="1"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277">
        <item x="19"/>
        <item x="2"/>
        <item x="1"/>
        <item m="1" x="40"/>
        <item m="1" x="94"/>
        <item m="1" x="120"/>
        <item m="1" x="163"/>
        <item m="1" x="226"/>
        <item m="1" x="233"/>
        <item m="1" x="198"/>
        <item m="1" x="230"/>
        <item m="1" x="234"/>
        <item m="1" x="174"/>
        <item m="1" x="272"/>
        <item m="1" x="215"/>
        <item m="1" x="257"/>
        <item m="1" x="227"/>
        <item m="1" x="213"/>
        <item m="1" x="271"/>
        <item m="1" x="235"/>
        <item m="1" x="261"/>
        <item m="1" x="258"/>
        <item m="1" x="185"/>
        <item m="1" x="242"/>
        <item m="1" x="131"/>
        <item m="1" x="159"/>
        <item m="1" x="274"/>
        <item m="1" x="160"/>
        <item m="1" x="186"/>
        <item m="1" x="243"/>
        <item m="1" x="229"/>
        <item m="1" x="95"/>
        <item m="1" x="246"/>
        <item m="1" x="250"/>
        <item m="1" x="236"/>
        <item m="1" x="57"/>
        <item m="1" x="218"/>
        <item m="1" x="217"/>
        <item m="1" x="232"/>
        <item m="1" x="259"/>
        <item m="1" x="221"/>
        <item m="1" x="270"/>
        <item m="1" x="244"/>
        <item m="1" x="265"/>
        <item m="1" x="275"/>
        <item m="1" x="214"/>
        <item m="1" x="276"/>
        <item m="1" x="267"/>
        <item m="1" x="248"/>
        <item m="1" x="269"/>
        <item m="1" x="238"/>
        <item x="0"/>
        <item m="1" x="210"/>
        <item m="1" x="148"/>
        <item m="1" x="84"/>
        <item m="1" x="72"/>
        <item m="1" x="237"/>
        <item m="1" x="252"/>
        <item m="1" x="241"/>
        <item m="1" x="231"/>
        <item m="1" x="251"/>
        <item m="1" x="223"/>
        <item m="1" x="111"/>
        <item m="1" x="37"/>
        <item m="1" x="260"/>
        <item m="1" x="249"/>
        <item m="1" x="97"/>
        <item m="1" x="225"/>
        <item m="1" x="220"/>
        <item m="1" x="212"/>
        <item m="1" x="193"/>
        <item m="1" x="253"/>
        <item m="1" x="142"/>
        <item m="1" x="177"/>
        <item m="1" x="263"/>
        <item x="3"/>
        <item m="1" x="240"/>
        <item m="1" x="256"/>
        <item m="1" x="273"/>
        <item m="1" x="247"/>
        <item m="1" x="38"/>
        <item m="1" x="179"/>
        <item m="1" x="228"/>
        <item m="1" x="268"/>
        <item m="1" x="239"/>
        <item m="1" x="219"/>
        <item m="1" x="209"/>
        <item m="1" x="164"/>
        <item m="1" x="262"/>
        <item m="1" x="222"/>
        <item m="1" x="201"/>
        <item m="1" x="200"/>
        <item m="1" x="224"/>
        <item m="1" x="245"/>
        <item m="1" x="168"/>
        <item m="1" x="264"/>
        <item m="1" x="216"/>
        <item m="1" x="130"/>
        <item m="1" x="254"/>
        <item m="1" x="202"/>
        <item m="1" x="266"/>
        <item m="1" x="197"/>
        <item m="1" x="255"/>
        <item m="1" x="175"/>
        <item m="1" x="116"/>
        <item m="1" x="178"/>
        <item m="1" x="211"/>
        <item m="1" x="207"/>
        <item m="1" x="208"/>
        <item m="1" x="195"/>
        <item m="1" x="206"/>
        <item m="1" x="170"/>
        <item m="1" x="77"/>
        <item m="1" x="205"/>
        <item m="1" x="203"/>
        <item m="1" x="204"/>
        <item m="1" x="56"/>
        <item m="1" x="39"/>
        <item m="1" x="199"/>
        <item m="1" x="23"/>
        <item m="1" x="115"/>
        <item m="1" x="194"/>
        <item m="1" x="196"/>
        <item m="1" x="80"/>
        <item m="1" x="51"/>
        <item x="9"/>
        <item m="1" x="52"/>
        <item x="10"/>
        <item x="11"/>
        <item m="1" x="50"/>
        <item m="1" x="22"/>
        <item m="1" x="189"/>
        <item m="1" x="190"/>
        <item m="1" x="191"/>
        <item m="1" x="192"/>
        <item m="1" x="181"/>
        <item m="1" x="187"/>
        <item m="1" x="188"/>
        <item m="1" x="183"/>
        <item m="1" x="182"/>
        <item m="1" x="180"/>
        <item m="1" x="43"/>
        <item m="1" x="107"/>
        <item m="1" x="184"/>
        <item m="1" x="99"/>
        <item m="1" x="58"/>
        <item m="1" x="31"/>
        <item m="1" x="135"/>
        <item m="1" x="176"/>
        <item m="1" x="119"/>
        <item m="1" x="88"/>
        <item m="1" x="171"/>
        <item m="1" x="172"/>
        <item m="1" x="173"/>
        <item m="1" x="28"/>
        <item x="12"/>
        <item m="1" x="165"/>
        <item m="1" x="169"/>
        <item m="1" x="166"/>
        <item m="1" x="167"/>
        <item m="1" x="151"/>
        <item m="1" x="133"/>
        <item m="1" x="152"/>
        <item m="1" x="53"/>
        <item m="1" x="153"/>
        <item m="1" x="140"/>
        <item m="1" x="146"/>
        <item m="1" x="154"/>
        <item m="1" x="155"/>
        <item m="1" x="156"/>
        <item m="1" x="157"/>
        <item m="1" x="36"/>
        <item m="1" x="158"/>
        <item m="1" x="161"/>
        <item m="1" x="162"/>
        <item m="1" x="150"/>
        <item m="1" x="82"/>
        <item m="1" x="41"/>
        <item m="1" x="149"/>
        <item m="1" x="85"/>
        <item m="1" x="55"/>
        <item m="1" x="138"/>
        <item m="1" x="141"/>
        <item m="1" x="127"/>
        <item m="1" x="147"/>
        <item m="1" x="143"/>
        <item m="1" x="144"/>
        <item m="1" x="145"/>
        <item m="1" x="74"/>
        <item m="1" x="62"/>
        <item m="1" x="139"/>
        <item x="20"/>
        <item m="1" x="75"/>
        <item m="1" x="137"/>
        <item m="1" x="89"/>
        <item m="1" x="136"/>
        <item m="1" x="132"/>
        <item m="1" x="121"/>
        <item m="1" x="134"/>
        <item m="1" x="125"/>
        <item m="1" x="126"/>
        <item m="1" x="128"/>
        <item m="1" x="118"/>
        <item m="1" x="122"/>
        <item m="1" x="129"/>
        <item m="1" x="101"/>
        <item m="1" x="117"/>
        <item m="1" x="123"/>
        <item m="1" x="124"/>
        <item m="1" x="47"/>
        <item m="1" x="112"/>
        <item x="8"/>
        <item m="1" x="113"/>
        <item m="1" x="114"/>
        <item m="1" x="98"/>
        <item m="1" x="110"/>
        <item m="1" x="100"/>
        <item m="1" x="102"/>
        <item m="1" x="48"/>
        <item m="1" x="104"/>
        <item m="1" x="105"/>
        <item m="1" x="106"/>
        <item m="1" x="108"/>
        <item m="1" x="109"/>
        <item m="1" x="103"/>
        <item m="1" x="93"/>
        <item m="1" x="87"/>
        <item m="1" x="96"/>
        <item m="1" x="46"/>
        <item m="1" x="90"/>
        <item m="1" x="91"/>
        <item m="1" x="42"/>
        <item m="1" x="92"/>
        <item m="1" x="76"/>
        <item m="1" x="67"/>
        <item m="1" x="45"/>
        <item m="1" x="86"/>
        <item m="1" x="83"/>
        <item m="1" x="59"/>
        <item m="1" x="81"/>
        <item m="1" x="78"/>
        <item m="1" x="79"/>
        <item m="1" x="73"/>
        <item m="1" x="69"/>
        <item m="1" x="70"/>
        <item m="1" x="71"/>
        <item m="1" x="27"/>
        <item m="1" x="66"/>
        <item m="1" x="63"/>
        <item m="1" x="68"/>
        <item m="1" x="61"/>
        <item m="1" x="64"/>
        <item m="1" x="65"/>
        <item m="1" x="54"/>
        <item x="16"/>
        <item m="1" x="60"/>
        <item m="1" x="49"/>
        <item m="1" x="44"/>
        <item m="1" x="32"/>
        <item m="1" x="33"/>
        <item m="1" x="34"/>
        <item m="1" x="35"/>
        <item m="1" x="30"/>
        <item x="15"/>
        <item x="7"/>
        <item m="1" x="29"/>
        <item m="1" x="24"/>
        <item m="1" x="25"/>
        <item m="1" x="26"/>
        <item x="4"/>
        <item x="5"/>
        <item x="6"/>
        <item x="13"/>
        <item x="14"/>
        <item x="17"/>
        <item x="18"/>
        <item x="21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479">
        <item x="19"/>
        <item x="1"/>
        <item m="1" x="439"/>
        <item m="1" x="443"/>
        <item m="1" x="371"/>
        <item m="1" x="441"/>
        <item m="1" x="403"/>
        <item m="1" x="402"/>
        <item m="1" x="396"/>
        <item m="1" x="376"/>
        <item m="1" x="391"/>
        <item m="1" x="384"/>
        <item m="1" x="426"/>
        <item m="1" x="359"/>
        <item m="1" x="476"/>
        <item m="1" x="410"/>
        <item m="1" x="378"/>
        <item m="1" x="404"/>
        <item m="1" x="477"/>
        <item m="1" x="412"/>
        <item m="1" x="400"/>
        <item m="1" x="449"/>
        <item m="1" x="419"/>
        <item m="1" x="392"/>
        <item m="1" x="469"/>
        <item m="1" x="385"/>
        <item m="1" x="435"/>
        <item m="1" x="465"/>
        <item m="1" x="432"/>
        <item m="1" x="442"/>
        <item m="1" x="453"/>
        <item m="1" x="444"/>
        <item m="1" x="445"/>
        <item m="1" x="427"/>
        <item m="1" x="437"/>
        <item m="1" x="383"/>
        <item m="1" x="405"/>
        <item m="1" x="471"/>
        <item m="1" x="417"/>
        <item m="1" x="398"/>
        <item m="1" x="456"/>
        <item m="1" x="459"/>
        <item m="1" x="460"/>
        <item m="1" x="473"/>
        <item m="1" x="401"/>
        <item m="1" x="399"/>
        <item m="1" x="394"/>
        <item m="1" x="424"/>
        <item m="1" x="428"/>
        <item m="1" x="451"/>
        <item m="1" x="379"/>
        <item m="1" x="381"/>
        <item m="1" x="452"/>
        <item m="1" x="375"/>
        <item m="1" x="457"/>
        <item m="1" x="406"/>
        <item m="1" x="395"/>
        <item x="0"/>
        <item m="1" x="450"/>
        <item m="1" x="423"/>
        <item m="1" x="462"/>
        <item m="1" x="455"/>
        <item m="1" x="421"/>
        <item m="1" x="475"/>
        <item m="1" x="436"/>
        <item m="1" x="368"/>
        <item m="1" x="458"/>
        <item m="1" x="389"/>
        <item m="1" x="388"/>
        <item m="1" x="438"/>
        <item m="1" x="370"/>
        <item m="1" x="387"/>
        <item m="1" x="409"/>
        <item m="1" x="422"/>
        <item m="1" x="420"/>
        <item m="1" x="431"/>
        <item m="1" x="382"/>
        <item m="1" x="416"/>
        <item m="1" x="463"/>
        <item m="1" x="393"/>
        <item m="1" x="433"/>
        <item m="1" x="474"/>
        <item m="1" x="440"/>
        <item m="1" x="411"/>
        <item m="1" x="461"/>
        <item m="1" x="374"/>
        <item m="1" x="414"/>
        <item m="1" x="408"/>
        <item m="1" x="464"/>
        <item m="1" x="397"/>
        <item m="1" x="425"/>
        <item m="1" x="380"/>
        <item m="1" x="434"/>
        <item m="1" x="418"/>
        <item m="1" x="468"/>
        <item m="1" x="430"/>
        <item m="1" x="386"/>
        <item m="1" x="373"/>
        <item m="1" x="377"/>
        <item m="1" x="280"/>
        <item m="1" x="467"/>
        <item m="1" x="478"/>
        <item m="1" x="407"/>
        <item m="1" x="429"/>
        <item m="1" x="363"/>
        <item m="1" x="364"/>
        <item m="1" x="472"/>
        <item m="1" x="447"/>
        <item m="1" x="347"/>
        <item m="1" x="346"/>
        <item m="1" x="369"/>
        <item m="1" x="415"/>
        <item m="1" x="362"/>
        <item m="1" x="413"/>
        <item m="1" x="470"/>
        <item m="1" x="390"/>
        <item m="1" x="349"/>
        <item m="1" x="446"/>
        <item m="1" x="348"/>
        <item m="1" x="454"/>
        <item m="1" x="448"/>
        <item m="1" x="341"/>
        <item m="1" x="466"/>
        <item m="1" x="372"/>
        <item m="1" x="287"/>
        <item m="1" x="286"/>
        <item m="1" x="285"/>
        <item m="1" x="361"/>
        <item m="1" x="365"/>
        <item m="1" x="366"/>
        <item m="1" x="367"/>
        <item m="1" x="357"/>
        <item m="1" x="358"/>
        <item m="1" x="360"/>
        <item m="1" x="356"/>
        <item m="1" x="355"/>
        <item m="1" x="353"/>
        <item m="1" x="354"/>
        <item m="1" x="350"/>
        <item m="1" x="351"/>
        <item m="1" x="352"/>
        <item m="1" x="88"/>
        <item m="1" x="342"/>
        <item m="1" x="343"/>
        <item m="1" x="344"/>
        <item m="1" x="345"/>
        <item m="1" x="335"/>
        <item m="1" x="336"/>
        <item m="1" x="330"/>
        <item m="1" x="337"/>
        <item m="1" x="338"/>
        <item m="1" x="339"/>
        <item m="1" x="340"/>
        <item m="1" x="327"/>
        <item m="1" x="328"/>
        <item m="1" x="329"/>
        <item m="1" x="322"/>
        <item m="1" x="331"/>
        <item m="1" x="332"/>
        <item m="1" x="333"/>
        <item m="1" x="334"/>
        <item m="1" x="58"/>
        <item x="9"/>
        <item m="1" x="59"/>
        <item x="10"/>
        <item x="11"/>
        <item m="1" x="319"/>
        <item m="1" x="320"/>
        <item m="1" x="321"/>
        <item m="1" x="323"/>
        <item m="1" x="324"/>
        <item m="1" x="325"/>
        <item m="1" x="326"/>
        <item m="1" x="312"/>
        <item m="1" x="318"/>
        <item m="1" x="317"/>
        <item m="1" x="313"/>
        <item m="1" x="314"/>
        <item m="1" x="316"/>
        <item m="1" x="283"/>
        <item m="1" x="311"/>
        <item m="1" x="315"/>
        <item m="1" x="264"/>
        <item m="1" x="288"/>
        <item m="1" x="281"/>
        <item m="1" x="282"/>
        <item m="1" x="284"/>
        <item m="1" x="272"/>
        <item m="1" x="289"/>
        <item m="1" x="290"/>
        <item m="1" x="291"/>
        <item m="1" x="292"/>
        <item m="1" x="129"/>
        <item m="1" x="293"/>
        <item m="1" x="294"/>
        <item m="1" x="295"/>
        <item m="1" x="296"/>
        <item m="1" x="297"/>
        <item m="1" x="298"/>
        <item m="1" x="299"/>
        <item m="1" x="124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190"/>
        <item m="1" x="275"/>
        <item m="1" x="276"/>
        <item m="1" x="277"/>
        <item m="1" x="278"/>
        <item m="1" x="279"/>
        <item m="1" x="273"/>
        <item m="1" x="274"/>
        <item m="1" x="266"/>
        <item m="1" x="267"/>
        <item m="1" x="268"/>
        <item m="1" x="269"/>
        <item m="1" x="270"/>
        <item m="1" x="271"/>
        <item m="1" x="256"/>
        <item m="1" x="257"/>
        <item m="1" x="258"/>
        <item m="1" x="259"/>
        <item m="1" x="260"/>
        <item m="1" x="261"/>
        <item m="1" x="265"/>
        <item m="1" x="262"/>
        <item m="1" x="263"/>
        <item m="1" x="255"/>
        <item m="1" x="236"/>
        <item m="1" x="237"/>
        <item m="1" x="238"/>
        <item m="1" x="239"/>
        <item m="1" x="240"/>
        <item m="1" x="241"/>
        <item m="1" x="225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33"/>
        <item m="1" x="222"/>
        <item m="1" x="234"/>
        <item m="1" x="235"/>
        <item m="1" x="230"/>
        <item m="1" x="231"/>
        <item m="1" x="232"/>
        <item m="1" x="221"/>
        <item m="1" x="223"/>
        <item m="1" x="224"/>
        <item m="1" x="226"/>
        <item m="1" x="204"/>
        <item m="1" x="213"/>
        <item m="1" x="214"/>
        <item m="1" x="227"/>
        <item m="1" x="228"/>
        <item m="1" x="229"/>
        <item m="1" x="215"/>
        <item m="1" x="216"/>
        <item m="1" x="217"/>
        <item m="1" x="218"/>
        <item m="1" x="219"/>
        <item m="1" x="220"/>
        <item m="1" x="212"/>
        <item m="1" x="209"/>
        <item m="1" x="210"/>
        <item m="1" x="211"/>
        <item m="1" x="192"/>
        <item m="1" x="206"/>
        <item m="1" x="207"/>
        <item m="1" x="208"/>
        <item m="1" x="205"/>
        <item m="1" x="193"/>
        <item m="1" x="179"/>
        <item m="1" x="203"/>
        <item m="1" x="195"/>
        <item m="1" x="196"/>
        <item m="1" x="197"/>
        <item m="1" x="200"/>
        <item m="1" x="201"/>
        <item m="1" x="202"/>
        <item m="1" x="198"/>
        <item m="1" x="199"/>
        <item m="1" x="189"/>
        <item m="1" x="194"/>
        <item m="1" x="159"/>
        <item m="1" x="191"/>
        <item m="1" x="186"/>
        <item m="1" x="187"/>
        <item m="1" x="188"/>
        <item m="1" x="168"/>
        <item m="1" x="169"/>
        <item m="1" x="170"/>
        <item m="1" x="171"/>
        <item m="1" x="180"/>
        <item m="1" x="182"/>
        <item m="1" x="183"/>
        <item m="1" x="185"/>
        <item m="1" x="165"/>
        <item m="1" x="166"/>
        <item m="1" x="167"/>
        <item m="1" x="181"/>
        <item m="1" x="184"/>
        <item m="1" x="178"/>
        <item m="1" x="172"/>
        <item m="1" x="173"/>
        <item m="1" x="174"/>
        <item m="1" x="175"/>
        <item m="1" x="155"/>
        <item m="1" x="176"/>
        <item m="1" x="160"/>
        <item m="1" x="177"/>
        <item m="1" x="131"/>
        <item m="1" x="153"/>
        <item m="1" x="154"/>
        <item m="1" x="156"/>
        <item m="1" x="157"/>
        <item m="1" x="158"/>
        <item m="1" x="161"/>
        <item m="1" x="162"/>
        <item m="1" x="54"/>
        <item m="1" x="163"/>
        <item m="1" x="164"/>
        <item m="1" x="145"/>
        <item m="1" x="146"/>
        <item m="1" x="147"/>
        <item m="1" x="148"/>
        <item m="1" x="152"/>
        <item m="1" x="149"/>
        <item m="1" x="150"/>
        <item m="1" x="151"/>
        <item m="1" x="128"/>
        <item m="1" x="143"/>
        <item m="1" x="130"/>
        <item m="1" x="144"/>
        <item m="1" x="55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32"/>
        <item m="1" x="133"/>
        <item m="1" x="125"/>
        <item m="1" x="126"/>
        <item m="1" x="127"/>
        <item m="1" x="119"/>
        <item m="1" x="120"/>
        <item m="1" x="121"/>
        <item m="1" x="122"/>
        <item m="1" x="123"/>
        <item m="1" x="110"/>
        <item m="1" x="53"/>
        <item m="1" x="112"/>
        <item m="1" x="113"/>
        <item m="1" x="114"/>
        <item m="1" x="115"/>
        <item m="1" x="65"/>
        <item m="1" x="116"/>
        <item m="1" x="117"/>
        <item m="1" x="118"/>
        <item m="1" x="89"/>
        <item m="1" x="79"/>
        <item m="1" x="111"/>
        <item m="1" x="52"/>
        <item m="1" x="93"/>
        <item m="1" x="105"/>
        <item m="1" x="106"/>
        <item m="1" x="107"/>
        <item m="1" x="108"/>
        <item m="1" x="104"/>
        <item m="1" x="109"/>
        <item m="1" x="98"/>
        <item m="1" x="100"/>
        <item m="1" x="101"/>
        <item m="1" x="102"/>
        <item m="1" x="103"/>
        <item m="1" x="99"/>
        <item m="1" x="69"/>
        <item m="1" x="94"/>
        <item m="1" x="95"/>
        <item m="1" x="96"/>
        <item m="1" x="97"/>
        <item m="1" x="68"/>
        <item m="1" x="71"/>
        <item m="1" x="90"/>
        <item m="1" x="91"/>
        <item m="1" x="86"/>
        <item m="1" x="92"/>
        <item m="1" x="84"/>
        <item m="1" x="85"/>
        <item m="1" x="87"/>
        <item m="1" x="81"/>
        <item m="1" x="82"/>
        <item m="1" x="66"/>
        <item m="1" x="83"/>
        <item m="1" x="57"/>
        <item m="1" x="51"/>
        <item m="1" x="77"/>
        <item m="1" x="78"/>
        <item m="1" x="74"/>
        <item m="1" x="80"/>
        <item m="1" x="72"/>
        <item m="1" x="73"/>
        <item m="1" x="75"/>
        <item m="1" x="76"/>
        <item m="1" x="62"/>
        <item m="1" x="63"/>
        <item m="1" x="64"/>
        <item m="1" x="67"/>
        <item m="1" x="70"/>
        <item m="1" x="60"/>
        <item m="1" x="47"/>
        <item m="1" x="48"/>
        <item m="1" x="61"/>
        <item m="1" x="56"/>
        <item m="1" x="50"/>
        <item m="1" x="49"/>
        <item m="1" x="40"/>
        <item m="1" x="41"/>
        <item m="1" x="42"/>
        <item m="1" x="43"/>
        <item m="1" x="44"/>
        <item m="1" x="34"/>
        <item m="1" x="35"/>
        <item m="1" x="36"/>
        <item m="1" x="45"/>
        <item m="1" x="46"/>
        <item m="1" x="31"/>
        <item x="15"/>
        <item x="7"/>
        <item m="1" x="39"/>
        <item m="1" x="30"/>
        <item m="1" x="32"/>
        <item x="3"/>
        <item m="1" x="23"/>
        <item m="1" x="24"/>
        <item m="1" x="33"/>
        <item m="1" x="37"/>
        <item m="1" x="38"/>
        <item m="1" x="25"/>
        <item m="1" x="26"/>
        <item m="1" x="27"/>
        <item m="1" x="28"/>
        <item m="1" x="29"/>
        <item x="12"/>
        <item x="4"/>
        <item x="5"/>
        <item x="6"/>
        <item x="8"/>
        <item x="13"/>
        <item x="14"/>
        <item m="1" x="22"/>
        <item x="17"/>
        <item x="18"/>
        <item x="20"/>
        <item x="21"/>
        <item x="16"/>
        <item x="2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name="FIN PL+ " compact="0" outline="0" showAll="0" defaultSubtotal="0">
      <items count="501">
        <item x="1"/>
        <item x="3"/>
        <item x="0"/>
        <item m="1" x="457"/>
        <item m="1" x="483"/>
        <item m="1" x="391"/>
        <item m="1" x="386"/>
        <item m="1" x="473"/>
        <item m="1" x="382"/>
        <item m="1" x="358"/>
        <item m="1" x="396"/>
        <item m="1" x="407"/>
        <item m="1" x="419"/>
        <item m="1" x="410"/>
        <item m="1" x="489"/>
        <item m="1" x="397"/>
        <item m="1" x="466"/>
        <item m="1" x="351"/>
        <item m="1" x="447"/>
        <item m="1" x="357"/>
        <item m="1" x="420"/>
        <item m="1" x="464"/>
        <item m="1" x="375"/>
        <item m="1" x="400"/>
        <item m="1" x="355"/>
        <item m="1" x="383"/>
        <item m="1" x="424"/>
        <item m="1" x="467"/>
        <item m="1" x="443"/>
        <item m="1" x="415"/>
        <item m="1" x="389"/>
        <item m="1" x="475"/>
        <item m="1" x="426"/>
        <item m="1" x="378"/>
        <item m="1" x="368"/>
        <item m="1" x="451"/>
        <item m="1" x="361"/>
        <item m="1" x="490"/>
        <item m="1" x="377"/>
        <item m="1" x="444"/>
        <item m="1" x="485"/>
        <item m="1" x="345"/>
        <item m="1" x="408"/>
        <item m="1" x="479"/>
        <item x="2"/>
        <item m="1" x="366"/>
        <item m="1" x="461"/>
        <item m="1" x="402"/>
        <item m="1" x="449"/>
        <item m="1" x="356"/>
        <item m="1" x="347"/>
        <item m="1" x="423"/>
        <item m="1" x="380"/>
        <item m="1" x="492"/>
        <item m="1" x="474"/>
        <item m="1" x="360"/>
        <item m="1" x="376"/>
        <item m="1" x="352"/>
        <item m="1" x="404"/>
        <item m="1" x="384"/>
        <item m="1" x="470"/>
        <item m="1" x="459"/>
        <item m="1" x="425"/>
        <item m="1" x="416"/>
        <item m="1" x="436"/>
        <item m="1" x="435"/>
        <item m="1" x="421"/>
        <item m="1" x="488"/>
        <item m="1" x="434"/>
        <item m="1" x="455"/>
        <item m="1" x="364"/>
        <item m="1" x="427"/>
        <item m="1" x="469"/>
        <item m="1" x="343"/>
        <item m="1" x="478"/>
        <item m="1" x="428"/>
        <item m="1" x="494"/>
        <item m="1" x="480"/>
        <item m="1" x="359"/>
        <item m="1" x="392"/>
        <item m="1" x="471"/>
        <item m="1" x="411"/>
        <item m="1" x="460"/>
        <item m="1" x="369"/>
        <item m="1" x="431"/>
        <item m="1" x="497"/>
        <item m="1" x="403"/>
        <item m="1" x="372"/>
        <item m="1" x="344"/>
        <item m="1" x="395"/>
        <item m="1" x="481"/>
        <item m="1" x="432"/>
        <item m="1" x="498"/>
        <item m="1" x="401"/>
        <item m="1" x="418"/>
        <item m="1" x="430"/>
        <item m="1" x="373"/>
        <item m="1" x="350"/>
        <item m="1" x="482"/>
        <item m="1" x="370"/>
        <item m="1" x="499"/>
        <item m="1" x="450"/>
        <item m="1" x="441"/>
        <item m="1" x="433"/>
        <item m="1" x="399"/>
        <item m="1" x="465"/>
        <item m="1" x="394"/>
        <item m="1" x="414"/>
        <item m="1" x="484"/>
        <item m="1" x="462"/>
        <item m="1" x="440"/>
        <item m="1" x="348"/>
        <item m="1" x="367"/>
        <item m="1" x="412"/>
        <item m="1" x="353"/>
        <item m="1" x="442"/>
        <item m="1" x="458"/>
        <item m="1" x="463"/>
        <item m="1" x="349"/>
        <item m="1" x="413"/>
        <item m="1" x="439"/>
        <item m="1" x="496"/>
        <item m="1" x="491"/>
        <item m="1" x="487"/>
        <item m="1" x="365"/>
        <item m="1" x="405"/>
        <item m="1" x="453"/>
        <item m="1" x="500"/>
        <item m="1" x="385"/>
        <item m="1" x="454"/>
        <item m="1" x="379"/>
        <item m="1" x="437"/>
        <item m="1" x="346"/>
        <item m="1" x="409"/>
        <item m="1" x="338"/>
        <item m="1" x="340"/>
        <item m="1" x="333"/>
        <item m="1" x="438"/>
        <item m="1" x="305"/>
        <item m="1" x="456"/>
        <item m="1" x="300"/>
        <item m="1" x="325"/>
        <item m="1" x="335"/>
        <item m="1" x="312"/>
        <item m="1" x="326"/>
        <item m="1" x="337"/>
        <item m="1" x="302"/>
        <item m="1" x="293"/>
        <item m="1" x="267"/>
        <item m="1" x="261"/>
        <item m="1" x="262"/>
        <item m="1" x="264"/>
        <item m="1" x="388"/>
        <item m="1" x="269"/>
        <item m="1" x="251"/>
        <item m="1" x="252"/>
        <item m="1" x="254"/>
        <item m="1" x="257"/>
        <item m="1" x="477"/>
        <item m="1" x="363"/>
        <item m="1" x="327"/>
        <item m="1" x="247"/>
        <item m="1" x="246"/>
        <item m="1" x="250"/>
        <item m="1" x="260"/>
        <item m="1" x="237"/>
        <item m="1" x="242"/>
        <item m="1" x="243"/>
        <item m="1" x="238"/>
        <item m="1" x="230"/>
        <item m="1" x="231"/>
        <item m="1" x="233"/>
        <item m="1" x="235"/>
        <item m="1" x="406"/>
        <item m="1" x="493"/>
        <item m="1" x="446"/>
        <item m="1" x="387"/>
        <item m="1" x="472"/>
        <item m="1" x="329"/>
        <item m="1" x="317"/>
        <item m="1" x="362"/>
        <item m="1" x="398"/>
        <item m="1" x="417"/>
        <item m="1" x="393"/>
        <item m="1" x="339"/>
        <item m="1" x="390"/>
        <item m="1" x="445"/>
        <item m="1" x="314"/>
        <item m="1" x="308"/>
        <item m="1" x="316"/>
        <item m="1" x="448"/>
        <item m="1" x="284"/>
        <item m="1" x="273"/>
        <item m="1" x="286"/>
        <item m="1" x="354"/>
        <item m="1" x="334"/>
        <item m="1" x="476"/>
        <item m="1" x="381"/>
        <item m="1" x="371"/>
        <item m="1" x="322"/>
        <item m="1" x="315"/>
        <item m="1" x="331"/>
        <item m="1" x="324"/>
        <item m="1" x="310"/>
        <item m="1" x="301"/>
        <item m="1" x="263"/>
        <item m="1" x="330"/>
        <item m="1" x="320"/>
        <item m="1" x="486"/>
        <item m="1" x="319"/>
        <item m="1" x="306"/>
        <item m="1" x="374"/>
        <item m="1" x="468"/>
        <item m="1" x="342"/>
        <item m="1" x="422"/>
        <item m="1" x="275"/>
        <item m="1" x="272"/>
        <item m="1" x="303"/>
        <item m="1" x="259"/>
        <item m="1" x="307"/>
        <item m="1" x="291"/>
        <item m="1" x="287"/>
        <item m="1" x="332"/>
        <item m="1" x="268"/>
        <item m="1" x="328"/>
        <item m="1" x="292"/>
        <item m="1" x="452"/>
        <item m="1" x="495"/>
        <item m="1" x="321"/>
        <item m="1" x="429"/>
        <item m="1" x="341"/>
        <item m="1" x="311"/>
        <item m="1" x="271"/>
        <item m="1" x="266"/>
        <item m="1" x="323"/>
        <item m="1" x="309"/>
        <item m="1" x="318"/>
        <item m="1" x="285"/>
        <item m="1" x="313"/>
        <item m="1" x="253"/>
        <item m="1" x="336"/>
        <item m="1" x="256"/>
        <item m="1" x="304"/>
        <item m="1" x="296"/>
        <item m="1" x="276"/>
        <item m="1" x="249"/>
        <item m="1" x="228"/>
        <item m="1" x="239"/>
        <item m="1" x="232"/>
        <item m="1" x="244"/>
        <item m="1" x="288"/>
        <item m="1" x="295"/>
        <item m="1" x="215"/>
        <item m="1" x="297"/>
        <item m="1" x="216"/>
        <item m="1" x="226"/>
        <item m="1" x="213"/>
        <item m="1" x="194"/>
        <item m="1" x="298"/>
        <item m="1" x="210"/>
        <item m="1" x="197"/>
        <item m="1" x="299"/>
        <item m="1" x="294"/>
        <item m="1" x="240"/>
        <item m="1" x="248"/>
        <item m="1" x="236"/>
        <item m="1" x="289"/>
        <item m="1" x="290"/>
        <item m="1" x="274"/>
        <item m="1" x="255"/>
        <item m="1" x="220"/>
        <item m="1" x="221"/>
        <item m="1" x="277"/>
        <item m="1" x="222"/>
        <item m="1" x="265"/>
        <item m="1" x="278"/>
        <item m="1" x="193"/>
        <item m="1" x="279"/>
        <item m="1" x="280"/>
        <item m="1" x="169"/>
        <item m="1" x="158"/>
        <item m="1" x="162"/>
        <item m="1" x="154"/>
        <item m="1" x="281"/>
        <item m="1" x="282"/>
        <item m="1" x="283"/>
        <item m="1" x="79"/>
        <item m="1" x="97"/>
        <item m="1" x="82"/>
        <item m="1" x="84"/>
        <item m="1" x="270"/>
        <item m="1" x="241"/>
        <item m="1" x="258"/>
        <item m="1" x="229"/>
        <item m="1" x="245"/>
        <item m="1" x="234"/>
        <item m="1" x="225"/>
        <item m="1" x="224"/>
        <item m="1" x="214"/>
        <item m="1" x="223"/>
        <item m="1" x="217"/>
        <item m="1" x="227"/>
        <item m="1" x="211"/>
        <item m="1" x="218"/>
        <item m="1" x="205"/>
        <item m="1" x="219"/>
        <item m="1" x="200"/>
        <item m="1" x="201"/>
        <item m="1" x="203"/>
        <item m="1" x="204"/>
        <item m="1" x="212"/>
        <item m="1" x="207"/>
        <item m="1" x="192"/>
        <item m="1" x="209"/>
        <item m="1" x="206"/>
        <item m="1" x="208"/>
        <item m="1" x="198"/>
        <item m="1" x="199"/>
        <item m="1" x="202"/>
        <item m="1" x="195"/>
        <item m="1" x="196"/>
        <item m="1" x="182"/>
        <item m="1" x="183"/>
        <item m="1" x="184"/>
        <item m="1" x="185"/>
        <item m="1" x="186"/>
        <item m="1" x="187"/>
        <item m="1" x="188"/>
        <item m="1" x="189"/>
        <item m="1" x="191"/>
        <item m="1" x="138"/>
        <item m="1" x="107"/>
        <item m="1" x="190"/>
        <item m="1" x="150"/>
        <item m="1" x="180"/>
        <item m="1" x="181"/>
        <item m="1" x="179"/>
        <item m="1" x="172"/>
        <item m="1" x="177"/>
        <item m="1" x="173"/>
        <item m="1" x="176"/>
        <item m="1" x="133"/>
        <item m="1" x="175"/>
        <item m="1" x="178"/>
        <item m="1" x="134"/>
        <item m="1" x="117"/>
        <item m="1" x="135"/>
        <item m="1" x="113"/>
        <item m="1" x="141"/>
        <item m="1" x="64"/>
        <item m="1" x="103"/>
        <item m="1" x="155"/>
        <item m="1" x="174"/>
        <item m="1" x="151"/>
        <item m="1" x="108"/>
        <item m="1" x="144"/>
        <item m="1" x="143"/>
        <item m="1" x="137"/>
        <item m="1" x="127"/>
        <item m="1" x="86"/>
        <item m="1" x="98"/>
        <item m="1" x="170"/>
        <item m="1" x="77"/>
        <item m="1" x="171"/>
        <item m="1" x="159"/>
        <item m="1" x="160"/>
        <item m="1" x="161"/>
        <item m="1" x="168"/>
        <item m="1" x="145"/>
        <item m="1" x="96"/>
        <item m="1" x="89"/>
        <item m="1" x="167"/>
        <item m="1" x="70"/>
        <item m="1" x="94"/>
        <item m="1" x="163"/>
        <item m="1" x="164"/>
        <item m="1" x="165"/>
        <item m="1" x="166"/>
        <item m="1" x="57"/>
        <item m="1" x="152"/>
        <item m="1" x="153"/>
        <item m="1" x="118"/>
        <item m="1" x="74"/>
        <item m="1" x="100"/>
        <item m="1" x="102"/>
        <item m="1" x="156"/>
        <item m="1" x="157"/>
        <item m="1" x="148"/>
        <item m="1" x="110"/>
        <item m="1" x="142"/>
        <item m="1" x="109"/>
        <item m="1" x="73"/>
        <item m="1" x="76"/>
        <item m="1" x="149"/>
        <item m="1" x="111"/>
        <item m="1" x="140"/>
        <item m="1" x="119"/>
        <item m="1" x="146"/>
        <item m="1" x="147"/>
        <item m="1" x="136"/>
        <item m="1" x="124"/>
        <item m="1" x="139"/>
        <item m="1" x="130"/>
        <item m="1" x="121"/>
        <item m="1" x="122"/>
        <item m="1" x="116"/>
        <item m="1" x="132"/>
        <item m="1" x="69"/>
        <item m="1" x="131"/>
        <item m="1" x="99"/>
        <item m="1" x="115"/>
        <item m="1" x="126"/>
        <item m="1" x="128"/>
        <item m="1" x="129"/>
        <item m="1" x="88"/>
        <item m="1" x="90"/>
        <item m="1" x="101"/>
        <item m="1" x="123"/>
        <item m="1" x="125"/>
        <item m="1" x="75"/>
        <item m="1" x="83"/>
        <item m="1" x="120"/>
        <item m="1" x="65"/>
        <item m="1" x="85"/>
        <item m="1" x="112"/>
        <item m="1" x="114"/>
        <item m="1" x="68"/>
        <item m="1" x="93"/>
        <item m="1" x="80"/>
        <item m="1" x="78"/>
        <item m="1" x="104"/>
        <item m="1" x="105"/>
        <item m="1" x="106"/>
        <item m="1" x="87"/>
        <item m="1" x="81"/>
        <item m="1" x="91"/>
        <item m="1" x="92"/>
        <item m="1" x="95"/>
        <item m="1" x="66"/>
        <item m="1" x="67"/>
        <item m="1" x="71"/>
        <item m="1" x="72"/>
        <item m="1" x="55"/>
        <item m="1" x="56"/>
        <item m="1" x="50"/>
        <item m="1" x="62"/>
        <item m="1" x="52"/>
        <item m="1" x="41"/>
        <item m="1" x="35"/>
        <item m="1" x="63"/>
        <item m="1" x="61"/>
        <item m="1" x="46"/>
        <item m="1" x="51"/>
        <item m="1" x="53"/>
        <item m="1" x="37"/>
        <item m="1" x="30"/>
        <item m="1" x="54"/>
        <item m="1" x="31"/>
        <item m="1" x="28"/>
        <item m="1" x="58"/>
        <item m="1" x="59"/>
        <item m="1" x="60"/>
        <item m="1" x="20"/>
        <item m="1" x="21"/>
        <item m="1" x="22"/>
        <item m="1" x="42"/>
        <item x="4"/>
        <item m="1" x="47"/>
        <item x="7"/>
        <item m="1" x="48"/>
        <item m="1" x="49"/>
        <item x="14"/>
        <item m="1" x="45"/>
        <item x="5"/>
        <item m="1" x="43"/>
        <item m="1" x="23"/>
        <item m="1" x="24"/>
        <item m="1" x="44"/>
        <item m="1" x="36"/>
        <item m="1" x="38"/>
        <item m="1" x="32"/>
        <item m="1" x="39"/>
        <item m="1" x="40"/>
        <item m="1" x="26"/>
        <item m="1" x="27"/>
        <item m="1" x="16"/>
        <item m="1" x="17"/>
        <item m="1" x="33"/>
        <item m="1" x="34"/>
        <item m="1" x="29"/>
        <item x="11"/>
        <item m="1" x="15"/>
        <item m="1" x="25"/>
        <item x="6"/>
        <item m="1" x="18"/>
        <item m="1" x="19"/>
        <item x="8"/>
        <item x="9"/>
        <item x="10"/>
        <item x="12"/>
        <item x="13"/>
      </items>
    </pivotField>
    <pivotField compact="0" outline="0" showAll="0"/>
    <pivotField compact="0" outline="0" showAll="0"/>
    <pivotField compact="0" outline="0" showAll="0"/>
    <pivotField compact="0" outline="0" showAll="0"/>
    <pivotField name="FIN 0851 (WF + C)" axis="axisRow" compact="0" outline="0" showAll="0" defaultSubtotal="0">
      <items count="273">
        <item x="1"/>
        <item x="3"/>
        <item x="0"/>
        <item m="1" x="267"/>
        <item m="1" x="243"/>
        <item m="1" x="257"/>
        <item m="1" x="238"/>
        <item m="1" x="265"/>
        <item m="1" x="252"/>
        <item m="1" x="247"/>
        <item x="2"/>
        <item m="1" x="237"/>
        <item m="1" x="246"/>
        <item m="1" x="258"/>
        <item m="1" x="245"/>
        <item m="1" x="250"/>
        <item m="1" x="268"/>
        <item m="1" x="255"/>
        <item m="1" x="264"/>
        <item m="1" x="251"/>
        <item m="1" x="271"/>
        <item m="1" x="240"/>
        <item m="1" x="256"/>
        <item m="1" x="236"/>
        <item m="1" x="233"/>
        <item m="1" x="239"/>
        <item m="1" x="263"/>
        <item m="1" x="272"/>
        <item m="1" x="244"/>
        <item m="1" x="262"/>
        <item m="1" x="254"/>
        <item m="1" x="242"/>
        <item m="1" x="260"/>
        <item m="1" x="248"/>
        <item m="1" x="261"/>
        <item m="1" x="235"/>
        <item m="1" x="253"/>
        <item m="1" x="269"/>
        <item m="1" x="234"/>
        <item m="1" x="249"/>
        <item m="1" x="213"/>
        <item m="1" x="270"/>
        <item m="1" x="223"/>
        <item m="1" x="266"/>
        <item m="1" x="241"/>
        <item m="1" x="259"/>
        <item m="1" x="232"/>
        <item m="1" x="231"/>
        <item m="1" x="230"/>
        <item m="1" x="229"/>
        <item m="1" x="228"/>
        <item m="1" x="226"/>
        <item m="1" x="227"/>
        <item m="1" x="224"/>
        <item m="1" x="225"/>
        <item m="1" x="222"/>
        <item m="1" x="220"/>
        <item m="1" x="221"/>
        <item m="1" x="214"/>
        <item m="1" x="215"/>
        <item m="1" x="216"/>
        <item m="1" x="217"/>
        <item m="1" x="218"/>
        <item m="1" x="201"/>
        <item m="1" x="207"/>
        <item m="1" x="219"/>
        <item m="1" x="198"/>
        <item m="1" x="211"/>
        <item m="1" x="212"/>
        <item m="1" x="199"/>
        <item m="1" x="210"/>
        <item m="1" x="203"/>
        <item m="1" x="204"/>
        <item m="1" x="205"/>
        <item m="1" x="208"/>
        <item m="1" x="209"/>
        <item m="1" x="206"/>
        <item m="1" x="202"/>
        <item m="1" x="196"/>
        <item m="1" x="200"/>
        <item m="1" x="195"/>
        <item m="1" x="197"/>
        <item m="1" x="189"/>
        <item m="1" x="191"/>
        <item m="1" x="192"/>
        <item m="1" x="193"/>
        <item m="1" x="194"/>
        <item m="1" x="188"/>
        <item m="1" x="190"/>
        <item m="1" x="183"/>
        <item m="1" x="184"/>
        <item m="1" x="187"/>
        <item m="1" x="185"/>
        <item m="1" x="186"/>
        <item m="1" x="181"/>
        <item m="1" x="182"/>
        <item m="1" x="180"/>
        <item m="1" x="171"/>
        <item m="1" x="178"/>
        <item m="1" x="179"/>
        <item m="1" x="174"/>
        <item m="1" x="177"/>
        <item m="1" x="170"/>
        <item m="1" x="175"/>
        <item m="1" x="176"/>
        <item m="1" x="172"/>
        <item m="1" x="173"/>
        <item m="1" x="162"/>
        <item m="1" x="167"/>
        <item m="1" x="168"/>
        <item m="1" x="169"/>
        <item m="1" x="163"/>
        <item m="1" x="166"/>
        <item m="1" x="88"/>
        <item m="1" x="113"/>
        <item m="1" x="165"/>
        <item m="1" x="164"/>
        <item m="1" x="154"/>
        <item m="1" x="85"/>
        <item m="1" x="160"/>
        <item m="1" x="161"/>
        <item m="1" x="157"/>
        <item m="1" x="158"/>
        <item m="1" x="118"/>
        <item m="1" x="159"/>
        <item m="1" x="107"/>
        <item m="1" x="141"/>
        <item m="1" x="116"/>
        <item m="1" x="111"/>
        <item m="1" x="152"/>
        <item m="1" x="153"/>
        <item m="1" x="98"/>
        <item m="1" x="49"/>
        <item m="1" x="96"/>
        <item m="1" x="155"/>
        <item m="1" x="138"/>
        <item m="1" x="156"/>
        <item m="1" x="140"/>
        <item m="1" x="102"/>
        <item m="1" x="142"/>
        <item m="1" x="40"/>
        <item m="1" x="149"/>
        <item m="1" x="150"/>
        <item m="1" x="151"/>
        <item m="1" x="143"/>
        <item m="1" x="144"/>
        <item m="1" x="145"/>
        <item m="1" x="146"/>
        <item m="1" x="147"/>
        <item m="1" x="148"/>
        <item m="1" x="129"/>
        <item m="1" x="135"/>
        <item m="1" x="76"/>
        <item m="1" x="112"/>
        <item m="1" x="136"/>
        <item m="1" x="87"/>
        <item m="1" x="137"/>
        <item m="1" x="128"/>
        <item m="1" x="139"/>
        <item m="1" x="94"/>
        <item m="1" x="60"/>
        <item m="1" x="67"/>
        <item m="1" x="101"/>
        <item m="1" x="130"/>
        <item m="1" x="131"/>
        <item m="1" x="132"/>
        <item m="1" x="133"/>
        <item m="1" x="134"/>
        <item m="1" x="44"/>
        <item m="1" x="77"/>
        <item m="1" x="126"/>
        <item m="1" x="124"/>
        <item m="1" x="72"/>
        <item m="1" x="127"/>
        <item m="1" x="123"/>
        <item m="1" x="122"/>
        <item m="1" x="82"/>
        <item m="1" x="73"/>
        <item m="1" x="125"/>
        <item m="1" x="119"/>
        <item m="1" x="120"/>
        <item m="1" x="51"/>
        <item m="1" x="121"/>
        <item m="1" x="114"/>
        <item m="1" x="115"/>
        <item m="1" x="68"/>
        <item m="1" x="117"/>
        <item m="1" x="66"/>
        <item m="1" x="46"/>
        <item m="1" x="53"/>
        <item m="1" x="54"/>
        <item m="1" x="108"/>
        <item m="1" x="109"/>
        <item m="1" x="78"/>
        <item m="1" x="110"/>
        <item m="1" x="103"/>
        <item m="1" x="104"/>
        <item m="1" x="105"/>
        <item m="1" x="106"/>
        <item m="1" x="99"/>
        <item m="1" x="81"/>
        <item m="1" x="100"/>
        <item m="1" x="91"/>
        <item m="1" x="95"/>
        <item m="1" x="97"/>
        <item m="1" x="50"/>
        <item m="1" x="89"/>
        <item m="1" x="92"/>
        <item m="1" x="37"/>
        <item m="1" x="93"/>
        <item m="1" x="38"/>
        <item m="1" x="90"/>
        <item m="1" x="86"/>
        <item m="1" x="79"/>
        <item m="1" x="80"/>
        <item m="1" x="83"/>
        <item m="1" x="84"/>
        <item m="1" x="71"/>
        <item m="1" x="74"/>
        <item m="1" x="75"/>
        <item m="1" x="13"/>
        <item m="1" x="69"/>
        <item m="1" x="70"/>
        <item x="8"/>
        <item m="1" x="45"/>
        <item m="1" x="41"/>
        <item m="1" x="55"/>
        <item m="1" x="56"/>
        <item m="1" x="57"/>
        <item m="1" x="14"/>
        <item m="1" x="58"/>
        <item m="1" x="59"/>
        <item m="1" x="61"/>
        <item m="1" x="62"/>
        <item m="1" x="63"/>
        <item m="1" x="64"/>
        <item m="1" x="65"/>
        <item m="1" x="47"/>
        <item m="1" x="48"/>
        <item m="1" x="52"/>
        <item m="1" x="39"/>
        <item m="1" x="42"/>
        <item m="1" x="43"/>
        <item m="1" x="32"/>
        <item m="1" x="33"/>
        <item m="1" x="34"/>
        <item m="1" x="35"/>
        <item m="1" x="36"/>
        <item m="1" x="22"/>
        <item m="1" x="31"/>
        <item m="1" x="30"/>
        <item m="1" x="24"/>
        <item m="1" x="29"/>
        <item m="1" x="16"/>
        <item m="1" x="27"/>
        <item m="1" x="28"/>
        <item m="1" x="23"/>
        <item m="1" x="25"/>
        <item m="1" x="26"/>
        <item m="1" x="17"/>
        <item m="1" x="18"/>
        <item m="1" x="19"/>
        <item m="1" x="20"/>
        <item m="1" x="21"/>
        <item m="1" x="11"/>
        <item m="1" x="12"/>
        <item x="7"/>
        <item m="1" x="15"/>
        <item x="5"/>
        <item x="4"/>
        <item x="6"/>
        <item x="9"/>
        <item x="10"/>
      </items>
    </pivotField>
    <pivotField name="FIN LS " axis="axisRow" compact="0" outline="0" showAll="0" defaultSubtotal="0">
      <items count="562">
        <item x="1"/>
        <item x="3"/>
        <item x="0"/>
        <item m="1" x="431"/>
        <item m="1" x="510"/>
        <item m="1" x="484"/>
        <item m="1" x="536"/>
        <item m="1" x="442"/>
        <item m="1" x="389"/>
        <item m="1" x="548"/>
        <item m="1" x="428"/>
        <item m="1" x="532"/>
        <item m="1" x="546"/>
        <item m="1" x="409"/>
        <item m="1" x="489"/>
        <item m="1" x="376"/>
        <item m="1" x="479"/>
        <item m="1" x="384"/>
        <item m="1" x="545"/>
        <item m="1" x="432"/>
        <item m="1" x="511"/>
        <item m="1" x="526"/>
        <item m="1" x="418"/>
        <item m="1" x="474"/>
        <item m="1" x="506"/>
        <item m="1" x="463"/>
        <item m="1" x="399"/>
        <item m="1" x="381"/>
        <item m="1" x="543"/>
        <item m="1" x="404"/>
        <item m="1" x="450"/>
        <item m="1" x="533"/>
        <item m="1" x="426"/>
        <item m="1" x="385"/>
        <item m="1" x="486"/>
        <item m="1" x="443"/>
        <item m="1" x="469"/>
        <item m="1" x="549"/>
        <item m="1" x="502"/>
        <item m="1" x="396"/>
        <item m="1" x="416"/>
        <item m="1" x="388"/>
        <item m="1" x="466"/>
        <item m="1" x="447"/>
        <item m="1" x="444"/>
        <item m="1" x="527"/>
        <item m="1" x="500"/>
        <item m="1" x="482"/>
        <item x="2"/>
        <item m="1" x="495"/>
        <item m="1" x="544"/>
        <item m="1" x="372"/>
        <item m="1" x="525"/>
        <item m="1" x="379"/>
        <item m="1" x="508"/>
        <item m="1" x="448"/>
        <item m="1" x="420"/>
        <item m="1" x="552"/>
        <item m="1" x="438"/>
        <item m="1" x="521"/>
        <item m="1" x="462"/>
        <item m="1" x="449"/>
        <item m="1" x="439"/>
        <item m="1" x="553"/>
        <item m="1" x="373"/>
        <item m="1" x="537"/>
        <item m="1" x="492"/>
        <item m="1" x="481"/>
        <item m="1" x="377"/>
        <item m="1" x="522"/>
        <item m="1" x="464"/>
        <item m="1" x="453"/>
        <item m="1" x="499"/>
        <item m="1" x="437"/>
        <item m="1" x="534"/>
        <item m="1" x="524"/>
        <item m="1" x="403"/>
        <item m="1" x="425"/>
        <item m="1" x="505"/>
        <item m="1" x="429"/>
        <item m="1" x="395"/>
        <item m="1" x="554"/>
        <item m="1" x="523"/>
        <item m="1" x="457"/>
        <item m="1" x="415"/>
        <item m="1" x="512"/>
        <item m="1" x="400"/>
        <item m="1" x="391"/>
        <item m="1" x="421"/>
        <item m="1" x="476"/>
        <item m="1" x="496"/>
        <item m="1" x="480"/>
        <item m="1" x="401"/>
        <item m="1" x="509"/>
        <item m="1" x="424"/>
        <item m="1" x="504"/>
        <item m="1" x="398"/>
        <item m="1" x="477"/>
        <item m="1" x="460"/>
        <item m="1" x="456"/>
        <item m="1" x="539"/>
        <item m="1" x="557"/>
        <item m="1" x="446"/>
        <item m="1" x="529"/>
        <item m="1" x="471"/>
        <item m="1" x="498"/>
        <item m="1" x="390"/>
        <item m="1" x="468"/>
        <item m="1" x="519"/>
        <item m="1" x="412"/>
        <item m="1" x="491"/>
        <item m="1" x="402"/>
        <item m="1" x="501"/>
        <item m="1" x="452"/>
        <item m="1" x="475"/>
        <item m="1" x="515"/>
        <item m="1" x="540"/>
        <item m="1" x="516"/>
        <item m="1" x="490"/>
        <item m="1" x="458"/>
        <item m="1" x="507"/>
        <item m="1" x="538"/>
        <item m="1" x="413"/>
        <item m="1" x="493"/>
        <item m="1" x="459"/>
        <item m="1" x="380"/>
        <item m="1" x="394"/>
        <item m="1" x="387"/>
        <item m="1" x="378"/>
        <item m="1" x="405"/>
        <item m="1" x="541"/>
        <item m="1" x="467"/>
        <item m="1" x="436"/>
        <item m="1" x="518"/>
        <item m="1" x="558"/>
        <item m="1" x="393"/>
        <item m="1" x="419"/>
        <item m="1" x="559"/>
        <item m="1" x="440"/>
        <item m="1" x="434"/>
        <item m="1" x="410"/>
        <item m="1" x="454"/>
        <item m="1" x="520"/>
        <item m="1" x="411"/>
        <item m="1" x="386"/>
        <item m="1" x="530"/>
        <item m="1" x="485"/>
        <item m="1" x="461"/>
        <item m="1" x="547"/>
        <item m="1" x="478"/>
        <item m="1" x="408"/>
        <item m="1" x="392"/>
        <item m="1" x="517"/>
        <item m="1" x="488"/>
        <item m="1" x="374"/>
        <item m="1" x="555"/>
        <item m="1" x="473"/>
        <item m="1" x="542"/>
        <item m="1" x="465"/>
        <item m="1" x="472"/>
        <item m="1" x="407"/>
        <item m="1" x="427"/>
        <item m="1" x="433"/>
        <item m="1" x="560"/>
        <item m="1" x="451"/>
        <item m="1" x="535"/>
        <item m="1" x="445"/>
        <item m="1" x="382"/>
        <item m="1" x="406"/>
        <item m="1" x="483"/>
        <item m="1" x="365"/>
        <item m="1" x="363"/>
        <item m="1" x="344"/>
        <item m="1" x="339"/>
        <item m="1" x="346"/>
        <item m="1" x="361"/>
        <item m="1" x="364"/>
        <item m="1" x="332"/>
        <item m="1" x="333"/>
        <item m="1" x="556"/>
        <item m="1" x="347"/>
        <item m="1" x="369"/>
        <item m="1" x="371"/>
        <item m="1" x="326"/>
        <item m="1" x="327"/>
        <item m="1" x="281"/>
        <item m="1" x="291"/>
        <item m="1" x="269"/>
        <item m="1" x="270"/>
        <item m="1" x="315"/>
        <item m="1" x="285"/>
        <item m="1" x="287"/>
        <item m="1" x="272"/>
        <item m="1" x="266"/>
        <item m="1" x="280"/>
        <item m="1" x="435"/>
        <item m="1" x="259"/>
        <item m="1" x="263"/>
        <item m="1" x="261"/>
        <item m="1" x="254"/>
        <item m="1" x="251"/>
        <item m="1" x="264"/>
        <item m="1" x="252"/>
        <item m="1" x="256"/>
        <item m="1" x="253"/>
        <item m="1" x="244"/>
        <item m="1" x="245"/>
        <item m="1" x="318"/>
        <item m="1" x="231"/>
        <item m="1" x="455"/>
        <item m="1" x="232"/>
        <item m="1" x="221"/>
        <item m="1" x="180"/>
        <item m="1" x="422"/>
        <item m="1" x="528"/>
        <item m="1" x="430"/>
        <item m="1" x="561"/>
        <item m="1" x="355"/>
        <item m="1" x="345"/>
        <item m="1" x="423"/>
        <item m="1" x="397"/>
        <item m="1" x="362"/>
        <item m="1" x="357"/>
        <item m="1" x="370"/>
        <item m="1" x="513"/>
        <item m="1" x="375"/>
        <item m="1" x="470"/>
        <item m="1" x="414"/>
        <item m="1" x="342"/>
        <item m="1" x="359"/>
        <item m="1" x="417"/>
        <item m="1" x="349"/>
        <item m="1" x="294"/>
        <item m="1" x="277"/>
        <item m="1" x="487"/>
        <item m="1" x="336"/>
        <item m="1" x="494"/>
        <item m="1" x="368"/>
        <item m="1" x="348"/>
        <item m="1" x="330"/>
        <item m="1" x="353"/>
        <item m="1" x="337"/>
        <item m="1" x="531"/>
        <item m="1" x="550"/>
        <item m="1" x="503"/>
        <item m="1" x="441"/>
        <item m="1" x="497"/>
        <item m="1" x="279"/>
        <item m="1" x="343"/>
        <item m="1" x="360"/>
        <item m="1" x="331"/>
        <item m="1" x="335"/>
        <item m="1" x="298"/>
        <item m="1" x="303"/>
        <item m="1" x="307"/>
        <item m="1" x="296"/>
        <item m="1" x="306"/>
        <item m="1" x="338"/>
        <item m="1" x="383"/>
        <item m="1" x="324"/>
        <item m="1" x="308"/>
        <item m="1" x="514"/>
        <item m="1" x="551"/>
        <item m="1" x="302"/>
        <item m="1" x="367"/>
        <item m="1" x="299"/>
        <item m="1" x="301"/>
        <item m="1" x="328"/>
        <item m="1" x="290"/>
        <item m="1" x="260"/>
        <item m="1" x="312"/>
        <item m="1" x="352"/>
        <item m="1" x="268"/>
        <item m="1" x="314"/>
        <item m="1" x="354"/>
        <item m="1" x="300"/>
        <item m="1" x="283"/>
        <item m="1" x="282"/>
        <item m="1" x="292"/>
        <item m="1" x="276"/>
        <item m="1" x="242"/>
        <item m="1" x="350"/>
        <item m="1" x="351"/>
        <item m="1" x="297"/>
        <item m="1" x="323"/>
        <item m="1" x="295"/>
        <item m="1" x="274"/>
        <item m="1" x="304"/>
        <item m="1" x="289"/>
        <item m="1" x="271"/>
        <item m="1" x="288"/>
        <item m="1" x="341"/>
        <item m="1" x="358"/>
        <item m="1" x="313"/>
        <item m="1" x="356"/>
        <item m="1" x="366"/>
        <item m="1" x="309"/>
        <item m="1" x="340"/>
        <item m="1" x="310"/>
        <item m="1" x="334"/>
        <item m="1" x="284"/>
        <item m="1" x="275"/>
        <item m="1" x="325"/>
        <item m="1" x="278"/>
        <item m="1" x="293"/>
        <item m="1" x="286"/>
        <item m="1" x="329"/>
        <item m="1" x="255"/>
        <item m="1" x="241"/>
        <item m="1" x="248"/>
        <item m="1" x="316"/>
        <item m="1" x="317"/>
        <item m="1" x="319"/>
        <item m="1" x="320"/>
        <item m="1" x="321"/>
        <item m="1" x="157"/>
        <item m="1" x="165"/>
        <item m="1" x="154"/>
        <item m="1" x="322"/>
        <item m="1" x="122"/>
        <item m="1" x="184"/>
        <item m="1" x="84"/>
        <item m="1" x="99"/>
        <item m="1" x="167"/>
        <item m="1" x="81"/>
        <item m="1" x="18"/>
        <item x="17"/>
        <item m="1" x="311"/>
        <item m="1" x="262"/>
        <item m="1" x="305"/>
        <item m="1" x="257"/>
        <item m="1" x="265"/>
        <item m="1" x="267"/>
        <item m="1" x="273"/>
        <item m="1" x="258"/>
        <item m="1" x="243"/>
        <item m="1" x="249"/>
        <item m="1" x="237"/>
        <item m="1" x="250"/>
        <item m="1" x="229"/>
        <item m="1" x="246"/>
        <item m="1" x="247"/>
        <item m="1" x="238"/>
        <item m="1" x="239"/>
        <item m="1" x="240"/>
        <item m="1" x="233"/>
        <item m="1" x="234"/>
        <item m="1" x="235"/>
        <item m="1" x="236"/>
        <item m="1" x="143"/>
        <item m="1" x="230"/>
        <item m="1" x="223"/>
        <item m="1" x="220"/>
        <item m="1" x="113"/>
        <item m="1" x="170"/>
        <item m="1" x="225"/>
        <item m="1" x="226"/>
        <item m="1" x="227"/>
        <item m="1" x="228"/>
        <item m="1" x="219"/>
        <item m="1" x="224"/>
        <item m="1" x="217"/>
        <item m="1" x="100"/>
        <item m="1" x="62"/>
        <item m="1" x="173"/>
        <item m="1" x="124"/>
        <item m="1" x="222"/>
        <item m="1" x="158"/>
        <item m="1" x="176"/>
        <item m="1" x="102"/>
        <item m="1" x="163"/>
        <item m="1" x="105"/>
        <item m="1" x="135"/>
        <item m="1" x="218"/>
        <item m="1" x="153"/>
        <item m="1" x="142"/>
        <item m="1" x="199"/>
        <item m="1" x="85"/>
        <item m="1" x="162"/>
        <item m="1" x="79"/>
        <item m="1" x="63"/>
        <item m="1" x="64"/>
        <item m="1" x="200"/>
        <item m="1" x="201"/>
        <item m="1" x="202"/>
        <item m="1" x="203"/>
        <item m="1" x="160"/>
        <item m="1" x="127"/>
        <item m="1" x="95"/>
        <item m="1" x="152"/>
        <item m="1" x="65"/>
        <item m="1" x="76"/>
        <item m="1" x="77"/>
        <item m="1" x="181"/>
        <item m="1" x="207"/>
        <item m="1" x="204"/>
        <item m="1" x="137"/>
        <item m="1" x="46"/>
        <item m="1" x="39"/>
        <item m="1" x="40"/>
        <item m="1" x="213"/>
        <item m="1" x="214"/>
        <item m="1" x="215"/>
        <item m="1" x="216"/>
        <item m="1" x="198"/>
        <item m="1" x="208"/>
        <item m="1" x="192"/>
        <item m="1" x="209"/>
        <item m="1" x="210"/>
        <item m="1" x="211"/>
        <item m="1" x="212"/>
        <item m="1" x="205"/>
        <item m="1" x="206"/>
        <item m="1" x="78"/>
        <item m="1" x="47"/>
        <item m="1" x="71"/>
        <item m="1" x="57"/>
        <item m="1" x="188"/>
        <item m="1" x="189"/>
        <item m="1" x="190"/>
        <item m="1" x="111"/>
        <item m="1" x="119"/>
        <item m="1" x="129"/>
        <item m="1" x="56"/>
        <item m="1" x="58"/>
        <item m="1" x="60"/>
        <item m="1" x="72"/>
        <item m="1" x="191"/>
        <item m="1" x="50"/>
        <item m="1" x="193"/>
        <item m="1" x="194"/>
        <item m="1" x="195"/>
        <item m="1" x="196"/>
        <item m="1" x="197"/>
        <item m="1" x="187"/>
        <item m="1" x="183"/>
        <item m="1" x="179"/>
        <item m="1" x="116"/>
        <item m="1" x="37"/>
        <item m="1" x="182"/>
        <item m="1" x="175"/>
        <item m="1" x="87"/>
        <item m="1" x="186"/>
        <item m="1" x="185"/>
        <item m="1" x="98"/>
        <item m="1" x="107"/>
        <item m="1" x="115"/>
        <item m="1" x="109"/>
        <item m="1" x="114"/>
        <item m="1" x="128"/>
        <item m="1" x="136"/>
        <item m="1" x="89"/>
        <item m="1" x="178"/>
        <item m="1" x="172"/>
        <item m="1" x="146"/>
        <item m="1" x="130"/>
        <item m="1" x="171"/>
        <item m="1" x="177"/>
        <item m="1" x="92"/>
        <item m="1" x="83"/>
        <item m="1" x="94"/>
        <item m="1" x="90"/>
        <item m="1" x="75"/>
        <item m="1" x="168"/>
        <item m="1" x="159"/>
        <item m="1" x="103"/>
        <item m="1" x="112"/>
        <item m="1" x="140"/>
        <item m="1" x="134"/>
        <item m="1" x="155"/>
        <item m="1" x="174"/>
        <item m="1" x="169"/>
        <item m="1" x="141"/>
        <item m="1" x="166"/>
        <item m="1" x="82"/>
        <item m="1" x="164"/>
        <item m="1" x="150"/>
        <item m="1" x="68"/>
        <item m="1" x="93"/>
        <item m="1" x="138"/>
        <item m="1" x="133"/>
        <item m="1" x="139"/>
        <item m="1" x="161"/>
        <item m="1" x="66"/>
        <item m="1" x="132"/>
        <item m="1" x="156"/>
        <item m="1" x="96"/>
        <item m="1" x="80"/>
        <item m="1" x="149"/>
        <item m="1" x="126"/>
        <item m="1" x="151"/>
        <item m="1" x="144"/>
        <item m="1" x="145"/>
        <item x="9"/>
        <item m="1" x="23"/>
        <item m="1" x="29"/>
        <item m="1" x="147"/>
        <item m="1" x="148"/>
        <item m="1" x="33"/>
        <item m="1" x="54"/>
        <item m="1" x="41"/>
        <item x="15"/>
        <item m="1" x="123"/>
        <item m="1" x="24"/>
        <item x="12"/>
        <item m="1" x="131"/>
        <item m="1" x="25"/>
        <item m="1" x="45"/>
        <item m="1" x="97"/>
        <item m="1" x="91"/>
        <item m="1" x="67"/>
        <item m="1" x="70"/>
        <item m="1" x="35"/>
        <item m="1" x="108"/>
        <item m="1" x="125"/>
        <item m="1" x="69"/>
        <item m="1" x="117"/>
        <item m="1" x="118"/>
        <item m="1" x="120"/>
        <item m="1" x="49"/>
        <item x="6"/>
        <item m="1" x="121"/>
        <item m="1" x="110"/>
        <item m="1" x="86"/>
        <item m="1" x="88"/>
        <item m="1" x="53"/>
        <item m="1" x="101"/>
        <item m="1" x="104"/>
        <item m="1" x="106"/>
        <item m="1" x="74"/>
        <item m="1" x="73"/>
        <item m="1" x="22"/>
        <item m="1" x="51"/>
        <item m="1" x="61"/>
        <item m="1" x="36"/>
        <item x="10"/>
        <item m="1" x="59"/>
        <item x="7"/>
        <item m="1" x="55"/>
        <item x="11"/>
        <item m="1" x="48"/>
        <item m="1" x="52"/>
        <item m="1" x="38"/>
        <item m="1" x="42"/>
        <item m="1" x="43"/>
        <item x="13"/>
        <item m="1" x="44"/>
        <item m="1" x="19"/>
        <item m="1" x="20"/>
        <item m="1" x="21"/>
        <item m="1" x="34"/>
        <item m="1" x="31"/>
        <item m="1" x="32"/>
        <item m="1" x="26"/>
        <item m="1" x="27"/>
        <item m="1" x="28"/>
        <item m="1" x="30"/>
        <item x="4"/>
        <item x="5"/>
        <item x="8"/>
        <item x="14"/>
        <item x="16"/>
      </items>
    </pivotField>
    <pivotField name="FIN MOY LC-LB" axis="axisRow" compact="0" outline="0" showAll="0" defaultSubtotal="0">
      <items count="571">
        <item x="1"/>
        <item x="0"/>
        <item m="1" x="399"/>
        <item m="1" x="485"/>
        <item m="1" x="500"/>
        <item m="1" x="553"/>
        <item m="1" x="548"/>
        <item m="1" x="420"/>
        <item m="1" x="389"/>
        <item m="1" x="436"/>
        <item m="1" x="537"/>
        <item m="1" x="430"/>
        <item m="1" x="521"/>
        <item m="1" x="536"/>
        <item m="1" x="418"/>
        <item m="1" x="385"/>
        <item m="1" x="519"/>
        <item m="1" x="403"/>
        <item m="1" x="488"/>
        <item m="1" x="570"/>
        <item m="1" x="443"/>
        <item m="1" x="538"/>
        <item m="1" x="522"/>
        <item m="1" x="444"/>
        <item m="1" x="532"/>
        <item m="1" x="382"/>
        <item m="1" x="367"/>
        <item m="1" x="452"/>
        <item m="1" x="549"/>
        <item m="1" x="428"/>
        <item m="1" x="406"/>
        <item m="1" x="557"/>
        <item m="1" x="368"/>
        <item m="1" x="508"/>
        <item m="1" x="518"/>
        <item m="1" x="552"/>
        <item m="1" x="407"/>
        <item m="1" x="509"/>
        <item m="1" x="386"/>
        <item m="1" x="540"/>
        <item m="1" x="513"/>
        <item m="1" x="393"/>
        <item m="1" x="439"/>
        <item m="1" x="369"/>
        <item m="1" x="408"/>
        <item m="1" x="492"/>
        <item m="1" x="490"/>
        <item m="1" x="483"/>
        <item x="2"/>
        <item x="3"/>
        <item m="1" x="451"/>
        <item m="1" x="511"/>
        <item m="1" x="442"/>
        <item m="1" x="554"/>
        <item m="1" x="507"/>
        <item m="1" x="454"/>
        <item m="1" x="456"/>
        <item m="1" x="438"/>
        <item m="1" x="525"/>
        <item m="1" x="523"/>
        <item m="1" x="465"/>
        <item m="1" x="419"/>
        <item m="1" x="429"/>
        <item m="1" x="455"/>
        <item m="1" x="446"/>
        <item m="1" x="421"/>
        <item m="1" x="496"/>
        <item m="1" x="555"/>
        <item m="1" x="405"/>
        <item m="1" x="398"/>
        <item m="1" x="531"/>
        <item m="1" x="404"/>
        <item m="1" x="489"/>
        <item m="1" x="461"/>
        <item m="1" x="411"/>
        <item m="1" x="486"/>
        <item m="1" x="527"/>
        <item m="1" x="473"/>
        <item m="1" x="414"/>
        <item m="1" x="379"/>
        <item m="1" x="482"/>
        <item m="1" x="541"/>
        <item m="1" x="422"/>
        <item m="1" x="370"/>
        <item m="1" x="535"/>
        <item m="1" x="544"/>
        <item m="1" x="425"/>
        <item m="1" x="516"/>
        <item m="1" x="545"/>
        <item m="1" x="481"/>
        <item m="1" x="567"/>
        <item m="1" x="375"/>
        <item m="1" x="463"/>
        <item m="1" x="529"/>
        <item m="1" x="412"/>
        <item m="1" x="497"/>
        <item m="1" x="372"/>
        <item m="1" x="476"/>
        <item m="1" x="563"/>
        <item m="1" x="437"/>
        <item m="1" x="504"/>
        <item m="1" x="381"/>
        <item m="1" x="517"/>
        <item m="1" x="376"/>
        <item m="1" x="498"/>
        <item m="1" x="460"/>
        <item m="1" x="377"/>
        <item m="1" x="364"/>
        <item m="1" x="550"/>
        <item m="1" x="568"/>
        <item m="1" x="565"/>
        <item m="1" x="502"/>
        <item m="1" x="434"/>
        <item m="1" x="365"/>
        <item m="1" x="450"/>
        <item m="1" x="397"/>
        <item m="1" x="505"/>
        <item m="1" x="383"/>
        <item m="1" x="462"/>
        <item m="1" x="409"/>
        <item m="1" x="371"/>
        <item m="1" x="373"/>
        <item m="1" x="449"/>
        <item m="1" x="440"/>
        <item m="1" x="378"/>
        <item m="1" x="458"/>
        <item m="1" x="546"/>
        <item m="1" x="493"/>
        <item m="1" x="400"/>
        <item m="1" x="530"/>
        <item m="1" x="362"/>
        <item m="1" x="469"/>
        <item m="1" x="512"/>
        <item m="1" x="392"/>
        <item m="1" x="470"/>
        <item m="1" x="464"/>
        <item m="1" x="564"/>
        <item m="1" x="432"/>
        <item m="1" x="471"/>
        <item m="1" x="413"/>
        <item m="1" x="501"/>
        <item m="1" x="526"/>
        <item m="1" x="401"/>
        <item m="1" x="445"/>
        <item m="1" x="472"/>
        <item m="1" x="533"/>
        <item m="1" x="561"/>
        <item m="1" x="387"/>
        <item m="1" x="478"/>
        <item m="1" x="534"/>
        <item m="1" x="380"/>
        <item m="1" x="435"/>
        <item m="1" x="390"/>
        <item m="1" x="363"/>
        <item m="1" x="477"/>
        <item m="1" x="556"/>
        <item m="1" x="457"/>
        <item m="1" x="433"/>
        <item m="1" x="391"/>
        <item m="1" x="394"/>
        <item m="1" x="503"/>
        <item m="1" x="495"/>
        <item m="1" x="480"/>
        <item m="1" x="475"/>
        <item m="1" x="441"/>
        <item m="1" x="448"/>
        <item m="1" x="559"/>
        <item m="1" x="453"/>
        <item m="1" x="396"/>
        <item m="1" x="539"/>
        <item m="1" x="560"/>
        <item m="1" x="416"/>
        <item m="1" x="466"/>
        <item m="1" x="417"/>
        <item m="1" x="459"/>
        <item m="1" x="528"/>
        <item m="1" x="543"/>
        <item m="1" x="447"/>
        <item m="1" x="542"/>
        <item m="1" x="474"/>
        <item m="1" x="431"/>
        <item m="1" x="494"/>
        <item m="1" x="415"/>
        <item m="1" x="360"/>
        <item m="1" x="484"/>
        <item m="1" x="356"/>
        <item m="1" x="388"/>
        <item m="1" x="515"/>
        <item m="1" x="331"/>
        <item m="1" x="348"/>
        <item m="1" x="342"/>
        <item m="1" x="349"/>
        <item m="1" x="358"/>
        <item m="1" x="309"/>
        <item m="1" x="319"/>
        <item m="1" x="277"/>
        <item m="1" x="274"/>
        <item m="1" x="264"/>
        <item m="1" x="265"/>
        <item m="1" x="301"/>
        <item m="1" x="255"/>
        <item m="1" x="256"/>
        <item m="1" x="402"/>
        <item m="1" x="209"/>
        <item m="1" x="210"/>
        <item m="1" x="204"/>
        <item m="1" x="190"/>
        <item m="1" x="468"/>
        <item m="1" x="96"/>
        <item m="1" x="116"/>
        <item m="1" x="100"/>
        <item m="1" x="86"/>
        <item m="1" x="101"/>
        <item m="1" x="117"/>
        <item m="1" x="126"/>
        <item m="1" x="88"/>
        <item m="1" x="140"/>
        <item m="1" x="134"/>
        <item m="1" x="201"/>
        <item m="1" x="427"/>
        <item m="1" x="487"/>
        <item x="10"/>
        <item m="1" x="423"/>
        <item m="1" x="562"/>
        <item m="1" x="366"/>
        <item m="1" x="341"/>
        <item m="1" x="333"/>
        <item m="1" x="357"/>
        <item m="1" x="510"/>
        <item m="1" x="547"/>
        <item m="1" x="426"/>
        <item m="1" x="569"/>
        <item m="1" x="374"/>
        <item m="1" x="520"/>
        <item m="1" x="491"/>
        <item m="1" x="424"/>
        <item m="1" x="395"/>
        <item m="1" x="338"/>
        <item m="1" x="384"/>
        <item m="1" x="467"/>
        <item m="1" x="514"/>
        <item m="1" x="566"/>
        <item m="1" x="340"/>
        <item m="1" x="345"/>
        <item m="1" x="551"/>
        <item m="1" x="355"/>
        <item m="1" x="410"/>
        <item m="1" x="336"/>
        <item m="1" x="308"/>
        <item m="1" x="328"/>
        <item m="1" x="479"/>
        <item m="1" x="339"/>
        <item m="1" x="324"/>
        <item m="1" x="506"/>
        <item m="1" x="350"/>
        <item m="1" x="361"/>
        <item m="1" x="325"/>
        <item m="1" x="344"/>
        <item m="1" x="354"/>
        <item m="1" x="524"/>
        <item m="1" x="337"/>
        <item m="1" x="334"/>
        <item m="1" x="332"/>
        <item m="1" x="318"/>
        <item m="1" x="347"/>
        <item m="1" x="352"/>
        <item m="1" x="499"/>
        <item m="1" x="359"/>
        <item m="1" x="305"/>
        <item m="1" x="558"/>
        <item m="1" x="343"/>
        <item m="1" x="351"/>
        <item m="1" x="335"/>
        <item m="1" x="303"/>
        <item m="1" x="326"/>
        <item m="1" x="353"/>
        <item m="1" x="329"/>
        <item m="1" x="346"/>
        <item m="1" x="310"/>
        <item m="1" x="304"/>
        <item m="1" x="306"/>
        <item m="1" x="295"/>
        <item m="1" x="297"/>
        <item m="1" x="298"/>
        <item m="1" x="302"/>
        <item m="1" x="330"/>
        <item m="1" x="311"/>
        <item m="1" x="312"/>
        <item m="1" x="296"/>
        <item m="1" x="320"/>
        <item m="1" x="307"/>
        <item m="1" x="315"/>
        <item m="1" x="314"/>
        <item m="1" x="293"/>
        <item m="1" x="313"/>
        <item m="1" x="282"/>
        <item m="1" x="321"/>
        <item m="1" x="317"/>
        <item m="1" x="278"/>
        <item m="1" x="327"/>
        <item m="1" x="287"/>
        <item m="1" x="283"/>
        <item m="1" x="288"/>
        <item m="1" x="279"/>
        <item m="1" x="294"/>
        <item m="1" x="270"/>
        <item m="1" x="322"/>
        <item m="1" x="280"/>
        <item m="1" x="273"/>
        <item m="1" x="268"/>
        <item m="1" x="260"/>
        <item m="1" x="248"/>
        <item m="1" x="263"/>
        <item m="1" x="230"/>
        <item m="1" x="233"/>
        <item m="1" x="250"/>
        <item m="1" x="323"/>
        <item m="1" x="224"/>
        <item m="1" x="217"/>
        <item m="1" x="193"/>
        <item m="1" x="184"/>
        <item m="1" x="159"/>
        <item m="1" x="158"/>
        <item m="1" x="167"/>
        <item m="1" x="150"/>
        <item m="1" x="300"/>
        <item m="1" x="316"/>
        <item m="1" x="299"/>
        <item m="1" x="276"/>
        <item m="1" x="272"/>
        <item m="1" x="292"/>
        <item m="1" x="289"/>
        <item m="1" x="275"/>
        <item m="1" x="290"/>
        <item m="1" x="291"/>
        <item m="1" x="284"/>
        <item m="1" x="259"/>
        <item m="1" x="269"/>
        <item m="1" x="241"/>
        <item m="1" x="242"/>
        <item m="1" x="247"/>
        <item m="1" x="229"/>
        <item m="1" x="251"/>
        <item m="1" x="253"/>
        <item m="1" x="231"/>
        <item m="1" x="285"/>
        <item m="1" x="266"/>
        <item m="1" x="286"/>
        <item m="1" x="281"/>
        <item m="1" x="257"/>
        <item m="1" x="237"/>
        <item m="1" x="262"/>
        <item m="1" x="238"/>
        <item m="1" x="271"/>
        <item m="1" x="261"/>
        <item m="1" x="267"/>
        <item m="1" x="258"/>
        <item m="1" x="254"/>
        <item m="1" x="252"/>
        <item m="1" x="249"/>
        <item m="1" x="234"/>
        <item m="1" x="245"/>
        <item m="1" x="243"/>
        <item m="1" x="244"/>
        <item m="1" x="219"/>
        <item m="1" x="246"/>
        <item m="1" x="239"/>
        <item m="1" x="232"/>
        <item m="1" x="225"/>
        <item m="1" x="240"/>
        <item m="1" x="220"/>
        <item m="1" x="216"/>
        <item m="1" x="222"/>
        <item m="1" x="235"/>
        <item m="1" x="236"/>
        <item m="1" x="223"/>
        <item m="1" x="226"/>
        <item m="1" x="227"/>
        <item m="1" x="187"/>
        <item m="1" x="228"/>
        <item m="1" x="115"/>
        <item m="1" x="133"/>
        <item m="1" x="91"/>
        <item m="1" x="213"/>
        <item m="1" x="221"/>
        <item m="1" x="109"/>
        <item m="1" x="208"/>
        <item m="1" x="218"/>
        <item m="1" x="157"/>
        <item m="1" x="103"/>
        <item m="1" x="214"/>
        <item m="1" x="215"/>
        <item m="1" x="173"/>
        <item m="1" x="147"/>
        <item m="1" x="155"/>
        <item m="1" x="136"/>
        <item m="1" x="138"/>
        <item m="1" x="211"/>
        <item m="1" x="99"/>
        <item m="1" x="212"/>
        <item m="1" x="205"/>
        <item m="1" x="181"/>
        <item m="1" x="206"/>
        <item m="1" x="142"/>
        <item m="1" x="112"/>
        <item m="1" x="87"/>
        <item m="1" x="92"/>
        <item m="1" x="207"/>
        <item m="1" x="129"/>
        <item m="1" x="93"/>
        <item m="1" x="194"/>
        <item m="1" x="195"/>
        <item m="1" x="196"/>
        <item m="1" x="197"/>
        <item m="1" x="171"/>
        <item m="1" x="143"/>
        <item m="1" x="137"/>
        <item m="1" x="113"/>
        <item m="1" x="203"/>
        <item m="1" x="111"/>
        <item m="1" x="121"/>
        <item m="1" x="76"/>
        <item m="1" x="199"/>
        <item m="1" x="202"/>
        <item m="1" x="125"/>
        <item m="1" x="148"/>
        <item m="1" x="83"/>
        <item m="1" x="34"/>
        <item m="1" x="18"/>
        <item m="1" x="141"/>
        <item m="1" x="105"/>
        <item m="1" x="200"/>
        <item m="1" x="71"/>
        <item m="1" x="65"/>
        <item m="1" x="45"/>
        <item m="1" x="168"/>
        <item m="1" x="151"/>
        <item m="1" x="132"/>
        <item m="1" x="127"/>
        <item m="1" x="198"/>
        <item m="1" x="70"/>
        <item m="1" x="185"/>
        <item m="1" x="186"/>
        <item m="1" x="166"/>
        <item m="1" x="191"/>
        <item m="1" x="192"/>
        <item m="1" x="97"/>
        <item m="1" x="90"/>
        <item m="1" x="170"/>
        <item m="1" x="94"/>
        <item x="4"/>
        <item m="1" x="44"/>
        <item m="1" x="118"/>
        <item m="1" x="188"/>
        <item m="1" x="74"/>
        <item x="6"/>
        <item m="1" x="47"/>
        <item m="1" x="50"/>
        <item m="1" x="42"/>
        <item m="1" x="189"/>
        <item m="1" x="183"/>
        <item m="1" x="176"/>
        <item m="1" x="179"/>
        <item m="1" x="106"/>
        <item m="1" x="182"/>
        <item m="1" x="95"/>
        <item m="1" x="85"/>
        <item m="1" x="108"/>
        <item m="1" x="163"/>
        <item m="1" x="149"/>
        <item m="1" x="177"/>
        <item m="1" x="172"/>
        <item m="1" x="180"/>
        <item m="1" x="175"/>
        <item m="1" x="164"/>
        <item m="1" x="169"/>
        <item m="1" x="178"/>
        <item m="1" x="110"/>
        <item m="1" x="120"/>
        <item m="1" x="165"/>
        <item m="1" x="145"/>
        <item m="1" x="174"/>
        <item m="1" x="152"/>
        <item m="1" x="154"/>
        <item m="1" x="114"/>
        <item m="1" x="161"/>
        <item m="1" x="162"/>
        <item m="1" x="160"/>
        <item m="1" x="156"/>
        <item m="1" x="82"/>
        <item m="1" x="107"/>
        <item m="1" x="139"/>
        <item m="1" x="135"/>
        <item m="1" x="153"/>
        <item m="1" x="144"/>
        <item m="1" x="131"/>
        <item m="1" x="104"/>
        <item m="1" x="146"/>
        <item m="1" x="77"/>
        <item m="1" x="78"/>
        <item m="1" x="123"/>
        <item m="1" x="98"/>
        <item m="1" x="89"/>
        <item m="1" x="53"/>
        <item x="8"/>
        <item m="1" x="130"/>
        <item m="1" x="119"/>
        <item m="1" x="122"/>
        <item m="1" x="124"/>
        <item m="1" x="128"/>
        <item m="1" x="102"/>
        <item m="1" x="84"/>
        <item m="1" x="75"/>
        <item m="1" x="79"/>
        <item m="1" x="80"/>
        <item m="1" x="19"/>
        <item m="1" x="54"/>
        <item m="1" x="20"/>
        <item m="1" x="81"/>
        <item m="1" x="62"/>
        <item m="1" x="63"/>
        <item m="1" x="64"/>
        <item m="1" x="17"/>
        <item m="1" x="35"/>
        <item m="1" x="72"/>
        <item m="1" x="73"/>
        <item m="1" x="69"/>
        <item m="1" x="66"/>
        <item m="1" x="67"/>
        <item m="1" x="68"/>
        <item m="1" x="55"/>
        <item m="1" x="56"/>
        <item m="1" x="57"/>
        <item m="1" x="58"/>
        <item m="1" x="59"/>
        <item m="1" x="60"/>
        <item m="1" x="61"/>
        <item m="1" x="46"/>
        <item x="5"/>
        <item m="1" x="48"/>
        <item m="1" x="49"/>
        <item m="1" x="51"/>
        <item m="1" x="52"/>
        <item x="13"/>
        <item m="1" x="36"/>
        <item m="1" x="37"/>
        <item m="1" x="38"/>
        <item m="1" x="39"/>
        <item m="1" x="40"/>
        <item m="1" x="41"/>
        <item m="1" x="43"/>
        <item m="1" x="31"/>
        <item m="1" x="32"/>
        <item m="1" x="33"/>
        <item m="1" x="29"/>
        <item m="1" x="30"/>
        <item m="1" x="25"/>
        <item m="1" x="26"/>
        <item x="14"/>
        <item m="1" x="27"/>
        <item x="7"/>
        <item m="1" x="21"/>
        <item m="1" x="28"/>
        <item m="1" x="22"/>
        <item m="1" x="23"/>
        <item m="1" x="24"/>
        <item x="9"/>
        <item x="11"/>
        <item x="12"/>
        <item x="15"/>
        <item x="16"/>
      </items>
    </pivotField>
    <pivotField name="FIN PL+" axis="axisRow" compact="0" outline="0" showAll="0" defaultSubtotal="0">
      <items count="273">
        <item x="1"/>
        <item sd="0" x="3"/>
        <item x="0"/>
        <item m="1" x="266"/>
        <item m="1" x="271"/>
        <item m="1" x="272"/>
        <item m="1" x="256"/>
        <item m="1" x="257"/>
        <item m="1" x="253"/>
        <item m="1" x="250"/>
        <item m="1" x="239"/>
        <item x="2"/>
        <item m="1" x="265"/>
        <item m="1" x="267"/>
        <item m="1" x="268"/>
        <item m="1" x="269"/>
        <item m="1" x="270"/>
        <item m="1" x="262"/>
        <item m="1" x="246"/>
        <item m="1" x="261"/>
        <item m="1" x="263"/>
        <item m="1" x="264"/>
        <item m="1" x="245"/>
        <item m="1" x="260"/>
        <item m="1" x="255"/>
        <item m="1" x="243"/>
        <item m="1" x="248"/>
        <item m="1" x="244"/>
        <item m="1" x="254"/>
        <item m="1" x="259"/>
        <item m="1" x="249"/>
        <item m="1" x="258"/>
        <item m="1" x="251"/>
        <item m="1" x="252"/>
        <item m="1" x="247"/>
        <item m="1" x="228"/>
        <item m="1" x="231"/>
        <item m="1" x="238"/>
        <item m="1" x="227"/>
        <item m="1" x="234"/>
        <item m="1" x="235"/>
        <item m="1" x="236"/>
        <item m="1" x="237"/>
        <item m="1" x="230"/>
        <item m="1" x="241"/>
        <item m="1" x="242"/>
        <item m="1" x="240"/>
        <item m="1" x="203"/>
        <item m="1" x="223"/>
        <item m="1" x="224"/>
        <item m="1" x="215"/>
        <item m="1" x="232"/>
        <item m="1" x="210"/>
        <item m="1" x="211"/>
        <item m="1" x="233"/>
        <item m="1" x="229"/>
        <item m="1" x="221"/>
        <item m="1" x="214"/>
        <item m="1" x="225"/>
        <item m="1" x="217"/>
        <item m="1" x="226"/>
        <item m="1" x="222"/>
        <item m="1" x="219"/>
        <item m="1" x="220"/>
        <item m="1" x="218"/>
        <item m="1" x="216"/>
        <item m="1" x="212"/>
        <item m="1" x="209"/>
        <item m="1" x="213"/>
        <item m="1" x="204"/>
        <item m="1" x="205"/>
        <item m="1" x="206"/>
        <item m="1" x="207"/>
        <item m="1" x="208"/>
        <item m="1" x="194"/>
        <item m="1" x="195"/>
        <item m="1" x="196"/>
        <item m="1" x="197"/>
        <item m="1" x="198"/>
        <item m="1" x="199"/>
        <item m="1" x="200"/>
        <item m="1" x="202"/>
        <item m="1" x="149"/>
        <item m="1" x="114"/>
        <item m="1" x="201"/>
        <item m="1" x="161"/>
        <item m="1" x="192"/>
        <item m="1" x="193"/>
        <item m="1" x="185"/>
        <item m="1" x="190"/>
        <item m="1" x="147"/>
        <item m="1" x="186"/>
        <item m="1" x="189"/>
        <item m="1" x="181"/>
        <item m="1" x="144"/>
        <item m="1" x="124"/>
        <item m="1" x="188"/>
        <item m="1" x="191"/>
        <item m="1" x="145"/>
        <item m="1" x="125"/>
        <item m="1" x="103"/>
        <item m="1" x="146"/>
        <item m="1" x="121"/>
        <item m="1" x="77"/>
        <item m="1" x="152"/>
        <item m="1" x="96"/>
        <item m="1" x="108"/>
        <item m="1" x="166"/>
        <item m="1" x="187"/>
        <item m="1" x="162"/>
        <item m="1" x="115"/>
        <item m="1" x="169"/>
        <item m="1" x="155"/>
        <item m="1" x="154"/>
        <item m="1" x="148"/>
        <item m="1" x="136"/>
        <item m="1" x="107"/>
        <item m="1" x="102"/>
        <item m="1" x="182"/>
        <item m="1" x="80"/>
        <item m="1" x="183"/>
        <item m="1" x="184"/>
        <item m="1" x="170"/>
        <item m="1" x="171"/>
        <item m="1" x="172"/>
        <item m="1" x="173"/>
        <item m="1" x="180"/>
        <item m="1" x="156"/>
        <item m="1" x="100"/>
        <item m="1" x="92"/>
        <item m="1" x="178"/>
        <item m="1" x="73"/>
        <item m="1" x="97"/>
        <item m="1" x="179"/>
        <item m="1" x="174"/>
        <item m="1" x="139"/>
        <item m="1" x="175"/>
        <item m="1" x="176"/>
        <item m="1" x="59"/>
        <item m="1" x="177"/>
        <item m="1" x="163"/>
        <item m="1" x="164"/>
        <item m="1" x="165"/>
        <item m="1" x="126"/>
        <item m="1" x="76"/>
        <item m="1" x="104"/>
        <item m="1" x="106"/>
        <item m="1" x="167"/>
        <item m="1" x="168"/>
        <item m="1" x="67"/>
        <item m="1" x="159"/>
        <item m="1" x="118"/>
        <item m="1" x="153"/>
        <item m="1" x="116"/>
        <item m="1" x="110"/>
        <item m="1" x="79"/>
        <item m="1" x="160"/>
        <item m="1" x="119"/>
        <item m="1" x="69"/>
        <item m="1" x="151"/>
        <item m="1" x="127"/>
        <item m="1" x="157"/>
        <item m="1" x="158"/>
        <item m="1" x="85"/>
        <item m="1" x="133"/>
        <item m="1" x="82"/>
        <item m="1" x="70"/>
        <item m="1" x="101"/>
        <item m="1" x="122"/>
        <item m="1" x="71"/>
        <item m="1" x="150"/>
        <item m="1" x="140"/>
        <item m="1" x="130"/>
        <item m="1" x="131"/>
        <item m="1" x="142"/>
        <item m="1" x="72"/>
        <item m="1" x="105"/>
        <item m="1" x="141"/>
        <item m="1" x="123"/>
        <item m="1" x="143"/>
        <item m="1" x="135"/>
        <item m="1" x="137"/>
        <item m="1" x="138"/>
        <item m="1" x="91"/>
        <item m="1" x="93"/>
        <item m="1" x="132"/>
        <item m="1" x="134"/>
        <item m="1" x="78"/>
        <item m="1" x="86"/>
        <item m="1" x="94"/>
        <item m="1" x="129"/>
        <item m="1" x="68"/>
        <item m="1" x="87"/>
        <item m="1" x="95"/>
        <item m="1" x="88"/>
        <item m="1" x="128"/>
        <item m="1" x="120"/>
        <item m="1" x="81"/>
        <item m="1" x="83"/>
        <item m="1" x="111"/>
        <item m="1" x="117"/>
        <item m="1" x="109"/>
        <item m="1" x="112"/>
        <item m="1" x="113"/>
        <item m="1" x="90"/>
        <item m="1" x="84"/>
        <item m="1" x="98"/>
        <item m="1" x="99"/>
        <item m="1" x="27"/>
        <item m="1" x="74"/>
        <item m="1" x="89"/>
        <item m="1" x="75"/>
        <item m="1" x="57"/>
        <item m="1" x="58"/>
        <item m="1" x="50"/>
        <item m="1" x="66"/>
        <item m="1" x="52"/>
        <item m="1" x="53"/>
        <item m="1" x="63"/>
        <item m="1" x="64"/>
        <item m="1" x="46"/>
        <item m="1" x="47"/>
        <item m="1" x="51"/>
        <item m="1" x="54"/>
        <item m="1" x="39"/>
        <item m="1" x="32"/>
        <item m="1" x="55"/>
        <item m="1" x="33"/>
        <item m="1" x="30"/>
        <item m="1" x="56"/>
        <item m="1" x="60"/>
        <item m="1" x="61"/>
        <item m="1" x="62"/>
        <item m="1" x="65"/>
        <item m="1" x="21"/>
        <item m="1" x="22"/>
        <item m="1" x="23"/>
        <item m="1" x="24"/>
        <item m="1" x="43"/>
        <item x="4"/>
        <item x="7"/>
        <item m="1" x="48"/>
        <item m="1" x="49"/>
        <item x="14"/>
        <item m="1" x="45"/>
        <item m="1" x="26"/>
        <item x="5"/>
        <item m="1" x="44"/>
        <item m="1" x="25"/>
        <item m="1" x="37"/>
        <item m="1" x="38"/>
        <item m="1" x="40"/>
        <item m="1" x="34"/>
        <item m="1" x="41"/>
        <item m="1" x="42"/>
        <item m="1" x="28"/>
        <item m="1" x="29"/>
        <item x="11"/>
        <item m="1" x="17"/>
        <item m="1" x="18"/>
        <item m="1" x="35"/>
        <item m="1" x="36"/>
        <item m="1" x="31"/>
        <item m="1" x="16"/>
        <item x="6"/>
        <item m="1" x="19"/>
        <item m="1" x="20"/>
        <item x="8"/>
        <item x="9"/>
        <item x="10"/>
        <item x="12"/>
        <item x="13"/>
        <item x="15"/>
      </items>
    </pivotField>
    <pivotField name="FIN PL- " axis="axisRow" compact="0" outline="0" showAll="0" defaultSubtotal="0">
      <items count="558">
        <item x="1"/>
        <item x="4"/>
        <item x="0"/>
        <item m="1" x="494"/>
        <item m="1" x="376"/>
        <item m="1" x="501"/>
        <item m="1" x="493"/>
        <item m="1" x="456"/>
        <item m="1" x="454"/>
        <item m="1" x="504"/>
        <item m="1" x="495"/>
        <item m="1" x="377"/>
        <item m="1" x="421"/>
        <item m="1" x="393"/>
        <item m="1" x="545"/>
        <item m="1" x="514"/>
        <item m="1" x="365"/>
        <item m="1" x="447"/>
        <item m="1" x="538"/>
        <item m="1" x="412"/>
        <item m="1" x="505"/>
        <item m="1" x="529"/>
        <item m="1" x="536"/>
        <item m="1" x="477"/>
        <item m="1" x="356"/>
        <item m="1" x="437"/>
        <item m="1" x="554"/>
        <item m="1" x="425"/>
        <item m="1" x="396"/>
        <item m="1" x="455"/>
        <item m="1" x="540"/>
        <item m="1" x="350"/>
        <item m="1" x="371"/>
        <item m="1" x="509"/>
        <item m="1" x="366"/>
        <item m="1" x="364"/>
        <item m="1" x="419"/>
        <item m="1" x="530"/>
        <item m="1" x="426"/>
        <item m="1" x="521"/>
        <item m="1" x="489"/>
        <item m="1" x="512"/>
        <item m="1" x="354"/>
        <item m="1" x="487"/>
        <item m="1" x="441"/>
        <item m="1" x="533"/>
        <item m="1" x="439"/>
        <item m="1" x="361"/>
        <item x="2"/>
        <item m="1" x="460"/>
        <item m="1" x="400"/>
        <item m="1" x="375"/>
        <item m="1" x="411"/>
        <item m="1" x="405"/>
        <item m="1" x="516"/>
        <item m="1" x="457"/>
        <item m="1" x="417"/>
        <item m="1" x="436"/>
        <item m="1" x="518"/>
        <item m="1" x="413"/>
        <item m="1" x="464"/>
        <item m="1" x="519"/>
        <item m="1" x="450"/>
        <item m="1" x="469"/>
        <item m="1" x="520"/>
        <item m="1" x="451"/>
        <item m="1" x="483"/>
        <item m="1" x="481"/>
        <item m="1" x="547"/>
        <item m="1" x="357"/>
        <item m="1" x="438"/>
        <item m="1" x="555"/>
        <item m="1" x="397"/>
        <item m="1" x="544"/>
        <item m="1" x="423"/>
        <item m="1" x="479"/>
        <item m="1" x="360"/>
        <item m="1" x="358"/>
        <item m="1" x="480"/>
        <item m="1" x="511"/>
        <item m="1" x="433"/>
        <item m="1" x="406"/>
        <item m="1" x="385"/>
        <item m="1" x="488"/>
        <item m="1" x="434"/>
        <item m="1" x="506"/>
        <item m="1" x="379"/>
        <item m="1" x="552"/>
        <item m="1" x="431"/>
        <item m="1" x="525"/>
        <item m="1" x="401"/>
        <item m="1" x="372"/>
        <item m="1" x="402"/>
        <item m="1" x="468"/>
        <item m="1" x="523"/>
        <item m="1" x="510"/>
        <item m="1" x="443"/>
        <item m="1" x="535"/>
        <item m="1" x="367"/>
        <item m="1" x="508"/>
        <item m="1" x="349"/>
        <item m="1" x="355"/>
        <item m="1" x="407"/>
        <item m="1" x="497"/>
        <item m="1" x="553"/>
        <item m="1" x="424"/>
        <item m="1" x="388"/>
        <item m="1" x="550"/>
        <item m="1" x="391"/>
        <item m="1" x="444"/>
        <item m="1" x="378"/>
        <item m="1" x="368"/>
        <item m="1" x="502"/>
        <item m="1" x="470"/>
        <item m="1" x="351"/>
        <item m="1" x="389"/>
        <item m="1" x="503"/>
        <item m="1" x="462"/>
        <item m="1" x="452"/>
        <item m="1" x="507"/>
        <item m="1" x="465"/>
        <item m="1" x="556"/>
        <item m="1" x="427"/>
        <item m="1" x="476"/>
        <item m="1" x="382"/>
        <item m="1" x="474"/>
        <item m="1" x="422"/>
        <item m="1" x="496"/>
        <item m="1" x="461"/>
        <item m="1" x="448"/>
        <item m="1" x="475"/>
        <item m="1" x="541"/>
        <item m="1" x="409"/>
        <item m="1" x="415"/>
        <item m="1" x="527"/>
        <item m="1" x="485"/>
        <item m="1" x="528"/>
        <item m="1" x="416"/>
        <item m="1" x="551"/>
        <item m="1" x="359"/>
        <item m="1" x="440"/>
        <item m="1" x="418"/>
        <item m="1" x="486"/>
        <item m="1" x="435"/>
        <item m="1" x="381"/>
        <item m="1" x="446"/>
        <item m="1" x="484"/>
        <item m="1" x="432"/>
        <item m="1" x="543"/>
        <item m="1" x="478"/>
        <item m="1" x="546"/>
        <item m="1" x="414"/>
        <item m="1" x="473"/>
        <item m="1" x="394"/>
        <item m="1" x="445"/>
        <item m="1" x="369"/>
        <item m="1" x="537"/>
        <item m="1" x="542"/>
        <item m="1" x="524"/>
        <item m="1" x="430"/>
        <item m="1" x="386"/>
        <item m="1" x="471"/>
        <item m="1" x="390"/>
        <item m="1" x="490"/>
        <item m="1" x="517"/>
        <item m="1" x="428"/>
        <item m="1" x="532"/>
        <item m="1" x="557"/>
        <item m="1" x="429"/>
        <item m="1" x="398"/>
        <item m="1" x="513"/>
        <item m="1" x="392"/>
        <item m="1" x="370"/>
        <item m="1" x="362"/>
        <item m="1" x="534"/>
        <item m="1" x="410"/>
        <item m="1" x="352"/>
        <item m="1" x="498"/>
        <item m="1" x="466"/>
        <item m="1" x="344"/>
        <item m="1" x="333"/>
        <item m="1" x="341"/>
        <item m="1" x="345"/>
        <item m="1" x="342"/>
        <item m="1" x="334"/>
        <item m="1" x="320"/>
        <item m="1" x="531"/>
        <item m="1" x="408"/>
        <item m="1" x="499"/>
        <item m="1" x="384"/>
        <item m="1" x="492"/>
        <item m="1" x="373"/>
        <item m="1" x="274"/>
        <item m="1" x="267"/>
        <item m="1" x="380"/>
        <item m="1" x="261"/>
        <item m="1" x="395"/>
        <item m="1" x="218"/>
        <item m="1" x="500"/>
        <item m="1" x="463"/>
        <item m="1" x="183"/>
        <item m="1" x="459"/>
        <item m="1" x="549"/>
        <item m="1" x="449"/>
        <item m="1" x="539"/>
        <item m="1" x="467"/>
        <item m="1" x="399"/>
        <item m="1" x="374"/>
        <item m="1" x="172"/>
        <item m="1" x="169"/>
        <item m="1" x="156"/>
        <item m="1" x="150"/>
        <item m="1" x="146"/>
        <item m="1" x="108"/>
        <item m="1" x="171"/>
        <item m="1" x="522"/>
        <item m="1" x="491"/>
        <item m="1" x="482"/>
        <item m="1" x="453"/>
        <item m="1" x="442"/>
        <item m="1" x="526"/>
        <item m="1" x="403"/>
        <item m="1" x="458"/>
        <item m="1" x="548"/>
        <item m="1" x="420"/>
        <item m="1" x="383"/>
        <item m="1" x="346"/>
        <item m="1" x="317"/>
        <item m="1" x="335"/>
        <item m="1" x="340"/>
        <item m="1" x="325"/>
        <item m="1" x="328"/>
        <item m="1" x="336"/>
        <item m="1" x="307"/>
        <item m="1" x="318"/>
        <item m="1" x="319"/>
        <item m="1" x="308"/>
        <item m="1" x="331"/>
        <item m="1" x="353"/>
        <item m="1" x="315"/>
        <item m="1" x="348"/>
        <item m="1" x="311"/>
        <item m="1" x="339"/>
        <item m="1" x="387"/>
        <item m="1" x="314"/>
        <item m="1" x="309"/>
        <item m="1" x="515"/>
        <item m="1" x="326"/>
        <item m="1" x="337"/>
        <item m="1" x="321"/>
        <item m="1" x="363"/>
        <item m="1" x="327"/>
        <item m="1" x="472"/>
        <item m="1" x="310"/>
        <item m="1" x="404"/>
        <item m="1" x="329"/>
        <item m="1" x="324"/>
        <item m="1" x="313"/>
        <item m="1" x="347"/>
        <item m="1" x="338"/>
        <item m="1" x="305"/>
        <item m="1" x="301"/>
        <item m="1" x="292"/>
        <item m="1" x="306"/>
        <item m="1" x="287"/>
        <item m="1" x="332"/>
        <item m="1" x="302"/>
        <item m="1" x="312"/>
        <item m="1" x="322"/>
        <item m="1" x="323"/>
        <item m="1" x="330"/>
        <item m="1" x="343"/>
        <item m="1" x="304"/>
        <item m="1" x="294"/>
        <item m="1" x="295"/>
        <item m="1" x="280"/>
        <item m="1" x="316"/>
        <item m="1" x="290"/>
        <item m="1" x="293"/>
        <item m="1" x="303"/>
        <item m="1" x="288"/>
        <item m="1" x="289"/>
        <item m="1" x="281"/>
        <item m="1" x="282"/>
        <item m="1" x="291"/>
        <item m="1" x="283"/>
        <item m="1" x="284"/>
        <item m="1" x="285"/>
        <item m="1" x="270"/>
        <item m="1" x="269"/>
        <item m="1" x="276"/>
        <item m="1" x="277"/>
        <item m="1" x="271"/>
        <item m="1" x="272"/>
        <item m="1" x="273"/>
        <item m="1" x="286"/>
        <item m="1" x="251"/>
        <item m="1" x="252"/>
        <item m="1" x="242"/>
        <item m="1" x="263"/>
        <item m="1" x="296"/>
        <item m="1" x="219"/>
        <item m="1" x="214"/>
        <item m="1" x="220"/>
        <item m="1" x="222"/>
        <item m="1" x="213"/>
        <item m="1" x="207"/>
        <item m="1" x="205"/>
        <item m="1" x="203"/>
        <item m="1" x="297"/>
        <item m="1" x="298"/>
        <item m="1" x="299"/>
        <item m="1" x="300"/>
        <item m="1" x="142"/>
        <item m="1" x="147"/>
        <item m="1" x="101"/>
        <item m="1" x="279"/>
        <item m="1" x="278"/>
        <item m="1" x="275"/>
        <item m="1" x="254"/>
        <item m="1" x="266"/>
        <item m="1" x="268"/>
        <item m="1" x="255"/>
        <item m="1" x="250"/>
        <item m="1" x="245"/>
        <item m="1" x="253"/>
        <item m="1" x="265"/>
        <item m="1" x="249"/>
        <item m="1" x="240"/>
        <item m="1" x="246"/>
        <item m="1" x="247"/>
        <item m="1" x="241"/>
        <item m="1" x="256"/>
        <item m="1" x="235"/>
        <item m="1" x="236"/>
        <item m="1" x="264"/>
        <item m="1" x="260"/>
        <item m="1" x="231"/>
        <item m="1" x="232"/>
        <item m="1" x="262"/>
        <item m="1" x="257"/>
        <item m="1" x="258"/>
        <item m="1" x="259"/>
        <item m="1" x="243"/>
        <item m="1" x="239"/>
        <item m="1" x="244"/>
        <item m="1" x="248"/>
        <item m="1" x="237"/>
        <item m="1" x="238"/>
        <item m="1" x="230"/>
        <item m="1" x="233"/>
        <item m="1" x="225"/>
        <item m="1" x="234"/>
        <item m="1" x="229"/>
        <item m="1" x="210"/>
        <item m="1" x="226"/>
        <item m="1" x="227"/>
        <item m="1" x="228"/>
        <item m="1" x="221"/>
        <item m="1" x="223"/>
        <item m="1" x="224"/>
        <item m="1" x="215"/>
        <item m="1" x="206"/>
        <item m="1" x="216"/>
        <item m="1" x="217"/>
        <item m="1" x="211"/>
        <item m="1" x="212"/>
        <item m="1" x="196"/>
        <item m="1" x="208"/>
        <item m="1" x="209"/>
        <item m="1" x="182"/>
        <item m="1" x="139"/>
        <item m="1" x="116"/>
        <item m="1" x="204"/>
        <item m="1" x="165"/>
        <item m="1" x="200"/>
        <item m="1" x="106"/>
        <item m="1" x="199"/>
        <item m="1" x="178"/>
        <item m="1" x="173"/>
        <item m="1" x="167"/>
        <item m="1" x="163"/>
        <item m="1" x="157"/>
        <item m="1" x="190"/>
        <item m="1" x="102"/>
        <item m="1" x="161"/>
        <item m="1" x="201"/>
        <item m="1" x="152"/>
        <item m="1" x="143"/>
        <item m="1" x="128"/>
        <item m="1" x="202"/>
        <item m="1" x="197"/>
        <item m="1" x="138"/>
        <item m="1" x="123"/>
        <item m="1" x="125"/>
        <item m="1" x="162"/>
        <item m="1" x="69"/>
        <item m="1" x="55"/>
        <item m="1" x="198"/>
        <item m="1" x="193"/>
        <item m="1" x="187"/>
        <item m="1" x="188"/>
        <item m="1" x="189"/>
        <item m="1" x="195"/>
        <item m="1" x="153"/>
        <item m="1" x="115"/>
        <item m="1" x="192"/>
        <item m="1" x="51"/>
        <item m="1" x="87"/>
        <item m="1" x="194"/>
        <item m="1" x="59"/>
        <item m="1" x="16"/>
        <item x="8"/>
        <item m="1" x="191"/>
        <item x="11"/>
        <item m="1" x="180"/>
        <item m="1" x="181"/>
        <item m="1" x="88"/>
        <item m="1" x="95"/>
        <item m="1" x="184"/>
        <item m="1" x="185"/>
        <item m="1" x="21"/>
        <item m="1" x="186"/>
        <item m="1" x="175"/>
        <item m="1" x="179"/>
        <item m="1" x="174"/>
        <item m="1" x="83"/>
        <item m="1" x="132"/>
        <item m="1" x="135"/>
        <item m="1" x="176"/>
        <item m="1" x="166"/>
        <item m="1" x="177"/>
        <item m="1" x="170"/>
        <item m="1" x="164"/>
        <item m="1" x="145"/>
        <item m="1" x="137"/>
        <item m="1" x="133"/>
        <item m="1" x="136"/>
        <item m="1" x="159"/>
        <item m="1" x="160"/>
        <item m="1" x="134"/>
        <item m="1" x="130"/>
        <item m="1" x="124"/>
        <item m="1" x="168"/>
        <item m="1" x="105"/>
        <item m="1" x="151"/>
        <item m="1" x="129"/>
        <item m="1" x="140"/>
        <item m="1" x="158"/>
        <item m="1" x="144"/>
        <item m="1" x="154"/>
        <item m="1" x="107"/>
        <item m="1" x="155"/>
        <item m="1" x="141"/>
        <item m="1" x="117"/>
        <item m="1" x="148"/>
        <item m="1" x="149"/>
        <item m="1" x="131"/>
        <item m="1" x="109"/>
        <item m="1" x="110"/>
        <item m="1" x="120"/>
        <item m="1" x="99"/>
        <item m="1" x="89"/>
        <item m="1" x="72"/>
        <item m="1" x="126"/>
        <item m="1" x="100"/>
        <item m="1" x="91"/>
        <item m="1" x="127"/>
        <item m="1" x="63"/>
        <item m="1" x="93"/>
        <item m="1" x="111"/>
        <item m="1" x="112"/>
        <item m="1" x="80"/>
        <item m="1" x="113"/>
        <item m="1" x="114"/>
        <item x="9"/>
        <item m="1" x="118"/>
        <item m="1" x="90"/>
        <item m="1" x="119"/>
        <item m="1" x="94"/>
        <item m="1" x="121"/>
        <item m="1" x="122"/>
        <item m="1" x="92"/>
        <item m="1" x="96"/>
        <item m="1" x="97"/>
        <item m="1" x="82"/>
        <item m="1" x="98"/>
        <item m="1" x="54"/>
        <item m="1" x="103"/>
        <item m="1" x="104"/>
        <item m="1" x="78"/>
        <item m="1" x="79"/>
        <item m="1" x="81"/>
        <item m="1" x="84"/>
        <item m="1" x="85"/>
        <item m="1" x="86"/>
        <item m="1" x="29"/>
        <item x="3"/>
        <item m="1" x="60"/>
        <item m="1" x="71"/>
        <item m="1" x="75"/>
        <item m="1" x="76"/>
        <item m="1" x="77"/>
        <item m="1" x="61"/>
        <item m="1" x="62"/>
        <item m="1" x="64"/>
        <item m="1" x="65"/>
        <item m="1" x="25"/>
        <item m="1" x="70"/>
        <item m="1" x="73"/>
        <item x="6"/>
        <item m="1" x="74"/>
        <item m="1" x="56"/>
        <item m="1" x="66"/>
        <item m="1" x="67"/>
        <item m="1" x="68"/>
        <item m="1" x="19"/>
        <item m="1" x="57"/>
        <item m="1" x="58"/>
        <item m="1" x="50"/>
        <item m="1" x="45"/>
        <item x="5"/>
        <item m="1" x="52"/>
        <item m="1" x="46"/>
        <item m="1" x="53"/>
        <item m="1" x="39"/>
        <item m="1" x="48"/>
        <item m="1" x="49"/>
        <item m="1" x="17"/>
        <item m="1" x="47"/>
        <item x="10"/>
        <item m="1" x="38"/>
        <item m="1" x="40"/>
        <item m="1" x="41"/>
        <item m="1" x="42"/>
        <item m="1" x="43"/>
        <item m="1" x="44"/>
        <item m="1" x="30"/>
        <item m="1" x="31"/>
        <item m="1" x="32"/>
        <item m="1" x="20"/>
        <item m="1" x="33"/>
        <item m="1" x="34"/>
        <item m="1" x="35"/>
        <item m="1" x="36"/>
        <item m="1" x="37"/>
        <item m="1" x="18"/>
        <item m="1" x="27"/>
        <item m="1" x="28"/>
        <item m="1" x="26"/>
        <item m="1" x="22"/>
        <item m="1" x="23"/>
        <item x="12"/>
        <item m="1" x="24"/>
        <item x="7"/>
        <item x="13"/>
        <item x="14"/>
        <item x="15"/>
      </items>
    </pivotField>
    <pivotField name="FIN 6a15 " axis="axisRow" compact="0" outline="0" showAll="0" defaultSubtotal="0">
      <items count="198">
        <item x="1"/>
        <item x="3"/>
        <item x="0"/>
        <item m="1" x="189"/>
        <item m="1" x="176"/>
        <item m="1" x="182"/>
        <item m="1" x="186"/>
        <item x="2"/>
        <item m="1" x="196"/>
        <item m="1" x="185"/>
        <item m="1" x="194"/>
        <item m="1" x="197"/>
        <item m="1" x="191"/>
        <item m="1" x="181"/>
        <item m="1" x="179"/>
        <item m="1" x="187"/>
        <item m="1" x="188"/>
        <item m="1" x="193"/>
        <item m="1" x="183"/>
        <item m="1" x="192"/>
        <item m="1" x="180"/>
        <item m="1" x="169"/>
        <item m="1" x="177"/>
        <item m="1" x="178"/>
        <item m="1" x="184"/>
        <item m="1" x="195"/>
        <item m="1" x="190"/>
        <item m="1" x="175"/>
        <item m="1" x="174"/>
        <item m="1" x="173"/>
        <item m="1" x="172"/>
        <item m="1" x="171"/>
        <item m="1" x="170"/>
        <item m="1" x="167"/>
        <item m="1" x="168"/>
        <item m="1" x="165"/>
        <item m="1" x="166"/>
        <item m="1" x="163"/>
        <item m="1" x="164"/>
        <item m="1" x="162"/>
        <item m="1" x="159"/>
        <item m="1" x="156"/>
        <item m="1" x="157"/>
        <item m="1" x="160"/>
        <item m="1" x="161"/>
        <item m="1" x="158"/>
        <item m="1" x="150"/>
        <item m="1" x="154"/>
        <item m="1" x="155"/>
        <item m="1" x="152"/>
        <item m="1" x="153"/>
        <item m="1" x="151"/>
        <item m="1" x="149"/>
        <item m="1" x="148"/>
        <item m="1" x="147"/>
        <item m="1" x="139"/>
        <item m="1" x="146"/>
        <item m="1" x="144"/>
        <item m="1" x="145"/>
        <item m="1" x="143"/>
        <item m="1" x="140"/>
        <item m="1" x="141"/>
        <item m="1" x="142"/>
        <item m="1" x="136"/>
        <item m="1" x="137"/>
        <item m="1" x="138"/>
        <item m="1" x="129"/>
        <item m="1" x="130"/>
        <item m="1" x="134"/>
        <item m="1" x="135"/>
        <item m="1" x="117"/>
        <item m="1" x="133"/>
        <item m="1" x="131"/>
        <item m="1" x="132"/>
        <item m="1" x="127"/>
        <item m="1" x="128"/>
        <item m="1" x="125"/>
        <item m="1" x="126"/>
        <item m="1" x="123"/>
        <item m="1" x="121"/>
        <item m="1" x="122"/>
        <item m="1" x="124"/>
        <item m="1" x="101"/>
        <item m="1" x="60"/>
        <item m="1" x="118"/>
        <item m="1" x="119"/>
        <item m="1" x="120"/>
        <item m="1" x="50"/>
        <item m="1" x="89"/>
        <item m="1" x="21"/>
        <item m="1" x="46"/>
        <item m="1" x="40"/>
        <item m="1" x="103"/>
        <item m="1" x="115"/>
        <item m="1" x="116"/>
        <item m="1" x="79"/>
        <item m="1" x="97"/>
        <item m="1" x="102"/>
        <item m="1" x="69"/>
        <item m="1" x="107"/>
        <item m="1" x="112"/>
        <item m="1" x="47"/>
        <item m="1" x="71"/>
        <item m="1" x="42"/>
        <item m="1" x="113"/>
        <item m="1" x="114"/>
        <item m="1" x="77"/>
        <item m="1" x="83"/>
        <item m="1" x="37"/>
        <item m="1" x="108"/>
        <item m="1" x="109"/>
        <item m="1" x="110"/>
        <item m="1" x="111"/>
        <item m="1" x="104"/>
        <item m="1" x="105"/>
        <item m="1" x="106"/>
        <item m="1" x="23"/>
        <item m="1" x="19"/>
        <item m="1" x="55"/>
        <item m="1" x="76"/>
        <item m="1" x="72"/>
        <item m="1" x="96"/>
        <item m="1" x="98"/>
        <item m="1" x="99"/>
        <item m="1" x="100"/>
        <item m="1" x="95"/>
        <item m="1" x="94"/>
        <item m="1" x="91"/>
        <item m="1" x="92"/>
        <item m="1" x="27"/>
        <item m="1" x="93"/>
        <item m="1" x="88"/>
        <item m="1" x="87"/>
        <item m="1" x="90"/>
        <item m="1" x="84"/>
        <item m="1" x="85"/>
        <item m="1" x="86"/>
        <item m="1" x="82"/>
        <item m="1" x="80"/>
        <item m="1" x="54"/>
        <item m="1" x="81"/>
        <item m="1" x="78"/>
        <item m="1" x="53"/>
        <item m="1" x="73"/>
        <item m="1" x="74"/>
        <item m="1" x="75"/>
        <item m="1" x="70"/>
        <item m="1" x="66"/>
        <item m="1" x="67"/>
        <item m="1" x="22"/>
        <item m="1" x="68"/>
        <item m="1" x="24"/>
        <item m="1" x="64"/>
        <item m="1" x="65"/>
        <item m="1" x="61"/>
        <item m="1" x="62"/>
        <item m="1" x="63"/>
        <item m="1" x="56"/>
        <item m="1" x="57"/>
        <item m="1" x="51"/>
        <item m="1" x="58"/>
        <item m="1" x="59"/>
        <item m="1" x="52"/>
        <item m="1" x="20"/>
        <item m="1" x="44"/>
        <item m="1" x="45"/>
        <item m="1" x="48"/>
        <item m="1" x="49"/>
        <item m="1" x="39"/>
        <item m="1" x="18"/>
        <item m="1" x="41"/>
        <item m="1" x="43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8"/>
        <item m="1" x="25"/>
        <item m="1" x="26"/>
        <item m="1" x="16"/>
        <item m="1" x="17"/>
        <item m="1" x="15"/>
        <item m="1" x="11"/>
        <item m="1" x="12"/>
        <item m="1" x="13"/>
        <item m="1" x="14"/>
        <item m="1" x="8"/>
        <item m="1" x="9"/>
        <item m="1" x="10"/>
        <item x="6"/>
        <item x="4"/>
        <item x="5"/>
        <item x="7"/>
      </items>
    </pivotField>
    <pivotField name="FIN DIVERS " axis="axisRow" compact="0" outline="0" showAll="0" defaultSubtotal="0">
      <items count="208">
        <item x="1"/>
        <item x="3"/>
        <item x="0"/>
        <item m="1" x="196"/>
        <item m="1" x="176"/>
        <item m="1" x="188"/>
        <item m="1" x="201"/>
        <item m="1" x="180"/>
        <item m="1" x="197"/>
        <item x="2"/>
        <item m="1" x="192"/>
        <item m="1" x="177"/>
        <item m="1" x="189"/>
        <item m="1" x="200"/>
        <item m="1" x="179"/>
        <item m="1" x="175"/>
        <item m="1" x="187"/>
        <item m="1" x="186"/>
        <item m="1" x="195"/>
        <item m="1" x="191"/>
        <item m="1" x="204"/>
        <item m="1" x="182"/>
        <item m="1" x="198"/>
        <item m="1" x="203"/>
        <item m="1" x="207"/>
        <item m="1" x="184"/>
        <item m="1" x="199"/>
        <item m="1" x="178"/>
        <item m="1" x="194"/>
        <item m="1" x="205"/>
        <item m="1" x="183"/>
        <item m="1" x="185"/>
        <item m="1" x="202"/>
        <item m="1" x="193"/>
        <item m="1" x="181"/>
        <item m="1" x="190"/>
        <item m="1" x="174"/>
        <item m="1" x="170"/>
        <item m="1" x="171"/>
        <item m="1" x="172"/>
        <item m="1" x="173"/>
        <item m="1" x="206"/>
        <item m="1" x="169"/>
        <item m="1" x="163"/>
        <item m="1" x="164"/>
        <item m="1" x="165"/>
        <item m="1" x="168"/>
        <item m="1" x="166"/>
        <item m="1" x="167"/>
        <item m="1" x="158"/>
        <item m="1" x="159"/>
        <item m="1" x="160"/>
        <item m="1" x="161"/>
        <item m="1" x="162"/>
        <item m="1" x="156"/>
        <item m="1" x="152"/>
        <item m="1" x="157"/>
        <item m="1" x="153"/>
        <item m="1" x="154"/>
        <item m="1" x="155"/>
        <item m="1" x="149"/>
        <item m="1" x="147"/>
        <item m="1" x="151"/>
        <item m="1" x="146"/>
        <item m="1" x="150"/>
        <item m="1" x="148"/>
        <item m="1" x="139"/>
        <item m="1" x="140"/>
        <item m="1" x="131"/>
        <item m="1" x="141"/>
        <item m="1" x="142"/>
        <item m="1" x="143"/>
        <item m="1" x="144"/>
        <item m="1" x="145"/>
        <item m="1" x="134"/>
        <item m="1" x="135"/>
        <item m="1" x="138"/>
        <item m="1" x="136"/>
        <item m="1" x="137"/>
        <item m="1" x="130"/>
        <item m="1" x="132"/>
        <item m="1" x="133"/>
        <item m="1" x="125"/>
        <item m="1" x="126"/>
        <item m="1" x="124"/>
        <item m="1" x="129"/>
        <item m="1" x="121"/>
        <item m="1" x="127"/>
        <item m="1" x="128"/>
        <item m="1" x="123"/>
        <item m="1" x="118"/>
        <item m="1" x="122"/>
        <item m="1" x="119"/>
        <item m="1" x="120"/>
        <item m="1" x="116"/>
        <item m="1" x="117"/>
        <item m="1" x="113"/>
        <item m="1" x="114"/>
        <item m="1" x="115"/>
        <item m="1" x="108"/>
        <item m="1" x="109"/>
        <item m="1" x="112"/>
        <item m="1" x="110"/>
        <item m="1" x="111"/>
        <item m="1" x="104"/>
        <item m="1" x="105"/>
        <item m="1" x="106"/>
        <item m="1" x="107"/>
        <item m="1" x="102"/>
        <item m="1" x="103"/>
        <item m="1" x="95"/>
        <item m="1" x="97"/>
        <item m="1" x="101"/>
        <item m="1" x="99"/>
        <item m="1" x="94"/>
        <item m="1" x="100"/>
        <item m="1" x="96"/>
        <item m="1" x="98"/>
        <item m="1" x="89"/>
        <item m="1" x="90"/>
        <item m="1" x="91"/>
        <item m="1" x="92"/>
        <item m="1" x="93"/>
        <item m="1" x="86"/>
        <item m="1" x="87"/>
        <item m="1" x="88"/>
        <item m="1" x="84"/>
        <item m="1" x="79"/>
        <item m="1" x="83"/>
        <item m="1" x="85"/>
        <item m="1" x="80"/>
        <item m="1" x="82"/>
        <item m="1" x="63"/>
        <item m="1" x="64"/>
        <item m="1" x="52"/>
        <item m="1" x="81"/>
        <item m="1" x="71"/>
        <item m="1" x="72"/>
        <item m="1" x="78"/>
        <item m="1" x="48"/>
        <item m="1" x="42"/>
        <item m="1" x="30"/>
        <item m="1" x="28"/>
        <item m="1" x="77"/>
        <item m="1" x="41"/>
        <item m="1" x="75"/>
        <item m="1" x="76"/>
        <item m="1" x="73"/>
        <item m="1" x="46"/>
        <item m="1" x="23"/>
        <item m="1" x="74"/>
        <item m="1" x="67"/>
        <item m="1" x="68"/>
        <item m="1" x="38"/>
        <item m="1" x="54"/>
        <item m="1" x="19"/>
        <item m="1" x="69"/>
        <item m="1" x="70"/>
        <item m="1" x="66"/>
        <item m="1" x="65"/>
        <item m="1" x="34"/>
        <item m="1" x="62"/>
        <item m="1" x="60"/>
        <item m="1" x="57"/>
        <item m="1" x="58"/>
        <item m="1" x="56"/>
        <item m="1" x="33"/>
        <item m="1" x="61"/>
        <item m="1" x="51"/>
        <item m="1" x="59"/>
        <item m="1" x="32"/>
        <item m="1" x="53"/>
        <item m="1" x="55"/>
        <item m="1" x="49"/>
        <item m="1" x="50"/>
        <item m="1" x="44"/>
        <item m="1" x="29"/>
        <item m="1" x="47"/>
        <item m="1" x="43"/>
        <item m="1" x="45"/>
        <item m="1" x="36"/>
        <item m="1" x="39"/>
        <item m="1" x="40"/>
        <item m="1" x="37"/>
        <item m="1" x="22"/>
        <item m="1" x="35"/>
        <item m="1" x="31"/>
        <item m="1" x="27"/>
        <item m="1" x="18"/>
        <item m="1" x="24"/>
        <item m="1" x="25"/>
        <item m="1" x="26"/>
        <item m="1" x="20"/>
        <item m="1" x="21"/>
        <item m="1" x="15"/>
        <item m="1" x="16"/>
        <item m="1" x="17"/>
        <item m="1" x="13"/>
        <item m="1" x="14"/>
        <item m="1" x="11"/>
        <item m="1" x="12"/>
        <item m="1" x="9"/>
        <item m="1" x="10"/>
        <item m="1" x="7"/>
        <item m="1" x="8"/>
        <item m="1" x="6"/>
        <item x="4"/>
        <item x="5"/>
      </items>
    </pivotField>
    <pivotField name="FIN SOUDURE " axis="axisRow" compact="0" outline="0" showAll="0" defaultSubtotal="0">
      <items count="587">
        <item x="1"/>
        <item x="3"/>
        <item x="0"/>
        <item m="1" x="499"/>
        <item m="1" x="516"/>
        <item m="1" x="410"/>
        <item m="1" x="433"/>
        <item m="1" x="529"/>
        <item m="1" x="400"/>
        <item m="1" x="466"/>
        <item m="1" x="546"/>
        <item m="1" x="472"/>
        <item m="1" x="536"/>
        <item m="1" x="503"/>
        <item m="1" x="521"/>
        <item m="1" x="532"/>
        <item m="1" x="404"/>
        <item m="1" x="500"/>
        <item m="1" x="524"/>
        <item m="1" x="394"/>
        <item m="1" x="490"/>
        <item m="1" x="382"/>
        <item m="1" x="476"/>
        <item m="1" x="411"/>
        <item m="1" x="509"/>
        <item m="1" x="376"/>
        <item m="1" x="572"/>
        <item m="1" x="481"/>
        <item m="1" x="580"/>
        <item m="1" x="477"/>
        <item m="1" x="474"/>
        <item m="1" x="453"/>
        <item m="1" x="467"/>
        <item m="1" x="388"/>
        <item m="1" x="468"/>
        <item m="1" x="534"/>
        <item m="1" x="458"/>
        <item m="1" x="526"/>
        <item m="1" x="542"/>
        <item m="1" x="562"/>
        <item m="1" x="434"/>
        <item m="1" x="455"/>
        <item m="1" x="426"/>
        <item m="1" x="523"/>
        <item m="1" x="537"/>
        <item m="1" x="392"/>
        <item x="2"/>
        <item m="1" x="569"/>
        <item m="1" x="508"/>
        <item m="1" x="497"/>
        <item m="1" x="407"/>
        <item m="1" x="583"/>
        <item m="1" x="556"/>
        <item m="1" x="487"/>
        <item m="1" x="446"/>
        <item m="1" x="533"/>
        <item m="1" x="428"/>
        <item m="1" x="405"/>
        <item m="1" x="396"/>
        <item m="1" x="414"/>
        <item m="1" x="530"/>
        <item m="1" x="409"/>
        <item m="1" x="438"/>
        <item m="1" x="383"/>
        <item m="1" x="412"/>
        <item m="1" x="510"/>
        <item m="1" x="567"/>
        <item m="1" x="552"/>
        <item m="1" x="564"/>
        <item m="1" x="483"/>
        <item m="1" x="501"/>
        <item m="1" x="442"/>
        <item m="1" x="464"/>
        <item m="1" x="554"/>
        <item m="1" x="391"/>
        <item m="1" x="488"/>
        <item m="1" x="577"/>
        <item m="1" x="422"/>
        <item m="1" x="480"/>
        <item m="1" x="570"/>
        <item m="1" x="489"/>
        <item m="1" x="494"/>
        <item m="1" x="451"/>
        <item m="1" x="419"/>
        <item m="1" x="381"/>
        <item m="1" x="504"/>
        <item m="1" x="557"/>
        <item m="1" x="551"/>
        <item m="1" x="513"/>
        <item m="1" x="436"/>
        <item m="1" x="413"/>
        <item m="1" x="581"/>
        <item m="1" x="401"/>
        <item m="1" x="547"/>
        <item m="1" x="418"/>
        <item m="1" x="506"/>
        <item m="1" x="484"/>
        <item m="1" x="437"/>
        <item m="1" x="586"/>
        <item m="1" x="517"/>
        <item m="1" x="540"/>
        <item m="1" x="566"/>
        <item m="1" x="460"/>
        <item m="1" x="578"/>
        <item m="1" x="505"/>
        <item m="1" x="585"/>
        <item m="1" x="387"/>
        <item m="1" x="420"/>
        <item m="1" x="463"/>
        <item m="1" x="439"/>
        <item m="1" x="445"/>
        <item m="1" x="545"/>
        <item m="1" x="402"/>
        <item m="1" x="559"/>
        <item m="1" x="561"/>
        <item m="1" x="550"/>
        <item m="1" x="415"/>
        <item m="1" x="548"/>
        <item m="1" x="539"/>
        <item m="1" x="425"/>
        <item m="1" x="486"/>
        <item m="1" x="459"/>
        <item m="1" x="398"/>
        <item m="1" x="386"/>
        <item m="1" x="549"/>
        <item m="1" x="525"/>
        <item m="1" x="491"/>
        <item m="1" x="575"/>
        <item m="1" x="377"/>
        <item m="1" x="461"/>
        <item m="1" x="482"/>
        <item m="1" x="528"/>
        <item m="1" x="544"/>
        <item m="1" x="447"/>
        <item m="1" x="406"/>
        <item m="1" x="450"/>
        <item m="1" x="563"/>
        <item m="1" x="389"/>
        <item m="1" x="427"/>
        <item m="1" x="512"/>
        <item m="1" x="408"/>
        <item m="1" x="444"/>
        <item m="1" x="541"/>
        <item m="1" x="522"/>
        <item m="1" x="514"/>
        <item m="1" x="571"/>
        <item m="1" x="469"/>
        <item m="1" x="535"/>
        <item m="1" x="579"/>
        <item m="1" x="538"/>
        <item m="1" x="519"/>
        <item m="1" x="473"/>
        <item m="1" x="478"/>
        <item m="1" x="454"/>
        <item m="1" x="511"/>
        <item m="1" x="584"/>
        <item m="1" x="423"/>
        <item m="1" x="558"/>
        <item m="1" x="543"/>
        <item m="1" x="390"/>
        <item m="1" x="565"/>
        <item m="1" x="456"/>
        <item m="1" x="573"/>
        <item m="1" x="384"/>
        <item m="1" x="493"/>
        <item m="1" x="465"/>
        <item m="1" x="531"/>
        <item m="1" x="403"/>
        <item m="1" x="457"/>
        <item m="1" x="393"/>
        <item m="1" x="430"/>
        <item m="1" x="452"/>
        <item m="1" x="395"/>
        <item m="1" x="518"/>
        <item m="1" x="495"/>
        <item m="1" x="416"/>
        <item m="1" x="498"/>
        <item m="1" x="555"/>
        <item m="1" x="448"/>
        <item m="1" x="475"/>
        <item m="1" x="379"/>
        <item m="1" x="435"/>
        <item m="1" x="471"/>
        <item m="1" x="462"/>
        <item m="1" x="560"/>
        <item m="1" x="553"/>
        <item m="1" x="502"/>
        <item m="1" x="527"/>
        <item m="1" x="397"/>
        <item m="1" x="492"/>
        <item m="1" x="385"/>
        <item m="1" x="362"/>
        <item m="1" x="335"/>
        <item m="1" x="364"/>
        <item m="1" x="365"/>
        <item m="1" x="368"/>
        <item m="1" x="307"/>
        <item m="1" x="322"/>
        <item m="1" x="333"/>
        <item m="1" x="324"/>
        <item m="1" x="309"/>
        <item m="1" x="317"/>
        <item m="1" x="310"/>
        <item m="1" x="303"/>
        <item m="1" x="568"/>
        <item m="1" x="440"/>
        <item m="1" x="507"/>
        <item m="1" x="432"/>
        <item m="1" x="399"/>
        <item m="1" x="485"/>
        <item m="1" x="280"/>
        <item m="1" x="515"/>
        <item m="1" x="441"/>
        <item m="1" x="268"/>
        <item m="1" x="421"/>
        <item m="1" x="247"/>
        <item m="1" x="230"/>
        <item m="1" x="211"/>
        <item m="1" x="212"/>
        <item m="1" x="236"/>
        <item m="1" x="207"/>
        <item m="1" x="267"/>
        <item m="1" x="197"/>
        <item m="1" x="203"/>
        <item m="1" x="429"/>
        <item m="1" x="199"/>
        <item m="1" x="232"/>
        <item m="1" x="378"/>
        <item m="1" x="186"/>
        <item m="1" x="140"/>
        <item m="1" x="431"/>
        <item m="1" x="424"/>
        <item m="1" x="582"/>
        <item m="1" x="576"/>
        <item m="1" x="479"/>
        <item m="1" x="363"/>
        <item m="1" x="354"/>
        <item m="1" x="355"/>
        <item m="1" x="496"/>
        <item m="1" x="374"/>
        <item m="1" x="520"/>
        <item m="1" x="370"/>
        <item m="1" x="443"/>
        <item m="1" x="367"/>
        <item m="1" x="358"/>
        <item m="1" x="359"/>
        <item m="1" x="346"/>
        <item m="1" x="332"/>
        <item m="1" x="417"/>
        <item m="1" x="291"/>
        <item m="1" x="281"/>
        <item m="1" x="276"/>
        <item m="1" x="380"/>
        <item m="1" x="360"/>
        <item m="1" x="343"/>
        <item m="1" x="350"/>
        <item m="1" x="344"/>
        <item m="1" x="345"/>
        <item m="1" x="351"/>
        <item m="1" x="361"/>
        <item m="1" x="356"/>
        <item m="1" x="321"/>
        <item m="1" x="296"/>
        <item m="1" x="325"/>
        <item m="1" x="293"/>
        <item m="1" x="336"/>
        <item m="1" x="347"/>
        <item m="1" x="470"/>
        <item m="1" x="337"/>
        <item m="1" x="338"/>
        <item m="1" x="574"/>
        <item m="1" x="339"/>
        <item m="1" x="348"/>
        <item m="1" x="341"/>
        <item m="1" x="352"/>
        <item m="1" x="334"/>
        <item m="1" x="353"/>
        <item m="1" x="330"/>
        <item m="1" x="349"/>
        <item m="1" x="449"/>
        <item m="1" x="372"/>
        <item m="1" x="373"/>
        <item m="1" x="286"/>
        <item m="1" x="279"/>
        <item m="1" x="283"/>
        <item m="1" x="375"/>
        <item m="1" x="331"/>
        <item m="1" x="308"/>
        <item m="1" x="342"/>
        <item m="1" x="320"/>
        <item m="1" x="311"/>
        <item m="1" x="304"/>
        <item m="1" x="340"/>
        <item m="1" x="315"/>
        <item m="1" x="357"/>
        <item m="1" x="371"/>
        <item m="1" x="369"/>
        <item m="1" x="366"/>
        <item m="1" x="323"/>
        <item m="1" x="316"/>
        <item m="1" x="318"/>
        <item m="1" x="302"/>
        <item m="1" x="298"/>
        <item m="1" x="289"/>
        <item m="1" x="314"/>
        <item m="1" x="313"/>
        <item m="1" x="297"/>
        <item m="1" x="288"/>
        <item m="1" x="290"/>
        <item m="1" x="326"/>
        <item m="1" x="246"/>
        <item m="1" x="198"/>
        <item m="1" x="191"/>
        <item m="1" x="327"/>
        <item m="1" x="328"/>
        <item m="1" x="329"/>
        <item m="1" x="187"/>
        <item m="1" x="176"/>
        <item m="1" x="139"/>
        <item m="1" x="137"/>
        <item m="1" x="167"/>
        <item m="1" x="119"/>
        <item m="1" x="88"/>
        <item m="1" x="305"/>
        <item m="1" x="306"/>
        <item m="1" x="319"/>
        <item m="1" x="301"/>
        <item m="1" x="312"/>
        <item m="1" x="300"/>
        <item m="1" x="285"/>
        <item m="1" x="299"/>
        <item m="1" x="284"/>
        <item m="1" x="287"/>
        <item m="1" x="294"/>
        <item m="1" x="295"/>
        <item m="1" x="292"/>
        <item m="1" x="278"/>
        <item m="1" x="277"/>
        <item m="1" x="282"/>
        <item m="1" x="275"/>
        <item m="1" x="269"/>
        <item m="1" x="273"/>
        <item m="1" x="263"/>
        <item m="1" x="271"/>
        <item m="1" x="272"/>
        <item m="1" x="257"/>
        <item m="1" x="264"/>
        <item m="1" x="262"/>
        <item m="1" x="274"/>
        <item m="1" x="213"/>
        <item m="1" x="204"/>
        <item m="1" x="270"/>
        <item m="1" x="228"/>
        <item m="1" x="231"/>
        <item m="1" x="222"/>
        <item m="1" x="215"/>
        <item m="1" x="208"/>
        <item m="1" x="266"/>
        <item m="1" x="235"/>
        <item m="1" x="195"/>
        <item m="1" x="220"/>
        <item m="1" x="237"/>
        <item m="1" x="253"/>
        <item m="1" x="265"/>
        <item m="1" x="255"/>
        <item m="1" x="238"/>
        <item m="1" x="248"/>
        <item m="1" x="239"/>
        <item m="1" x="241"/>
        <item m="1" x="256"/>
        <item m="1" x="258"/>
        <item m="1" x="240"/>
        <item m="1" x="254"/>
        <item m="1" x="261"/>
        <item m="1" x="250"/>
        <item m="1" x="227"/>
        <item m="1" x="224"/>
        <item m="1" x="259"/>
        <item m="1" x="260"/>
        <item m="1" x="243"/>
        <item m="1" x="234"/>
        <item m="1" x="219"/>
        <item m="1" x="244"/>
        <item m="1" x="249"/>
        <item m="1" x="251"/>
        <item m="1" x="242"/>
        <item m="1" x="226"/>
        <item m="1" x="252"/>
        <item m="1" x="245"/>
        <item m="1" x="225"/>
        <item m="1" x="229"/>
        <item m="1" x="160"/>
        <item m="1" x="233"/>
        <item m="1" x="216"/>
        <item m="1" x="182"/>
        <item m="1" x="149"/>
        <item m="1" x="113"/>
        <item m="1" x="128"/>
        <item m="1" x="172"/>
        <item m="1" x="142"/>
        <item m="1" x="98"/>
        <item m="1" x="108"/>
        <item m="1" x="153"/>
        <item m="1" x="205"/>
        <item m="1" x="170"/>
        <item m="1" x="223"/>
        <item m="1" x="218"/>
        <item m="1" x="221"/>
        <item m="1" x="143"/>
        <item m="1" x="217"/>
        <item m="1" x="83"/>
        <item m="1" x="126"/>
        <item m="1" x="92"/>
        <item m="1" x="84"/>
        <item m="1" x="159"/>
        <item m="1" x="67"/>
        <item m="1" x="214"/>
        <item m="1" x="155"/>
        <item m="1" x="148"/>
        <item m="1" x="93"/>
        <item m="1" x="76"/>
        <item m="1" x="69"/>
        <item m="1" x="209"/>
        <item m="1" x="66"/>
        <item m="1" x="210"/>
        <item m="1" x="28"/>
        <item m="1" x="196"/>
        <item m="1" x="144"/>
        <item m="1" x="100"/>
        <item m="1" x="87"/>
        <item m="1" x="200"/>
        <item m="1" x="61"/>
        <item m="1" x="201"/>
        <item m="1" x="44"/>
        <item m="1" x="202"/>
        <item m="1" x="96"/>
        <item m="1" x="109"/>
        <item m="1" x="154"/>
        <item x="6"/>
        <item m="1" x="117"/>
        <item x="17"/>
        <item x="18"/>
        <item m="1" x="206"/>
        <item m="1" x="169"/>
        <item m="1" x="173"/>
        <item m="1" x="188"/>
        <item m="1" x="189"/>
        <item m="1" x="190"/>
        <item m="1" x="192"/>
        <item m="1" x="94"/>
        <item m="1" x="77"/>
        <item m="1" x="47"/>
        <item m="1" x="53"/>
        <item m="1" x="24"/>
        <item m="1" x="193"/>
        <item m="1" x="194"/>
        <item m="1" x="71"/>
        <item m="1" x="110"/>
        <item m="1" x="72"/>
        <item m="1" x="179"/>
        <item m="1" x="165"/>
        <item m="1" x="123"/>
        <item m="1" x="101"/>
        <item m="1" x="184"/>
        <item m="1" x="185"/>
        <item m="1" x="141"/>
        <item m="1" x="121"/>
        <item m="1" x="73"/>
        <item m="1" x="74"/>
        <item m="1" x="75"/>
        <item m="1" x="103"/>
        <item m="1" x="178"/>
        <item m="1" x="183"/>
        <item m="1" x="133"/>
        <item m="1" x="104"/>
        <item m="1" x="180"/>
        <item m="1" x="97"/>
        <item m="1" x="181"/>
        <item m="1" x="145"/>
        <item m="1" x="22"/>
        <item m="1" x="174"/>
        <item m="1" x="177"/>
        <item m="1" x="114"/>
        <item m="1" x="162"/>
        <item m="1" x="36"/>
        <item m="1" x="112"/>
        <item m="1" x="64"/>
        <item m="1" x="168"/>
        <item m="1" x="164"/>
        <item m="1" x="127"/>
        <item m="1" x="158"/>
        <item m="1" x="120"/>
        <item m="1" x="34"/>
        <item m="1" x="156"/>
        <item m="1" x="151"/>
        <item m="1" x="157"/>
        <item m="1" x="175"/>
        <item m="1" x="171"/>
        <item m="1" x="86"/>
        <item m="1" x="163"/>
        <item m="1" x="161"/>
        <item m="1" x="166"/>
        <item m="1" x="152"/>
        <item m="1" x="99"/>
        <item m="1" x="134"/>
        <item m="1" x="78"/>
        <item m="1" x="150"/>
        <item m="1" x="81"/>
        <item m="1" x="111"/>
        <item m="1" x="138"/>
        <item m="1" x="125"/>
        <item m="1" x="32"/>
        <item m="1" x="122"/>
        <item m="1" x="85"/>
        <item m="1" x="135"/>
        <item m="1" x="146"/>
        <item m="1" x="147"/>
        <item m="1" x="82"/>
        <item m="1" x="106"/>
        <item m="1" x="136"/>
        <item m="1" x="130"/>
        <item x="13"/>
        <item m="1" x="129"/>
        <item m="1" x="131"/>
        <item m="1" x="132"/>
        <item m="1" x="89"/>
        <item m="1" x="115"/>
        <item m="1" x="116"/>
        <item m="1" x="52"/>
        <item m="1" x="118"/>
        <item m="1" x="102"/>
        <item m="1" x="105"/>
        <item m="1" x="20"/>
        <item m="1" x="51"/>
        <item m="1" x="107"/>
        <item m="1" x="95"/>
        <item m="1" x="124"/>
        <item m="1" x="50"/>
        <item m="1" x="90"/>
        <item m="1" x="91"/>
        <item m="1" x="37"/>
        <item m="1" x="35"/>
        <item m="1" x="79"/>
        <item m="1" x="21"/>
        <item x="8"/>
        <item m="1" x="80"/>
        <item m="1" x="68"/>
        <item m="1" x="70"/>
        <item m="1" x="59"/>
        <item m="1" x="39"/>
        <item m="1" x="62"/>
        <item m="1" x="56"/>
        <item m="1" x="57"/>
        <item m="1" x="58"/>
        <item m="1" x="60"/>
        <item m="1" x="65"/>
        <item m="1" x="63"/>
        <item m="1" x="46"/>
        <item m="1" x="48"/>
        <item m="1" x="49"/>
        <item x="4"/>
        <item x="11"/>
        <item m="1" x="54"/>
        <item m="1" x="55"/>
        <item x="5"/>
        <item m="1" x="38"/>
        <item m="1" x="40"/>
        <item m="1" x="41"/>
        <item m="1" x="42"/>
        <item m="1" x="43"/>
        <item m="1" x="26"/>
        <item x="15"/>
        <item m="1" x="45"/>
        <item m="1" x="19"/>
        <item m="1" x="30"/>
        <item m="1" x="33"/>
        <item m="1" x="25"/>
        <item m="1" x="27"/>
        <item m="1" x="29"/>
        <item m="1" x="31"/>
        <item x="9"/>
        <item m="1" x="23"/>
        <item x="7"/>
        <item x="10"/>
        <item x="12"/>
        <item x="14"/>
        <item x="16"/>
      </items>
    </pivotField>
    <pivotField name="FIN LC " axis="axisRow" compact="0" outline="0" showAll="0" defaultSubtotal="0">
      <items count="598">
        <item x="1"/>
        <item x="3"/>
        <item x="0"/>
        <item m="1" x="518"/>
        <item m="1" x="582"/>
        <item m="1" x="469"/>
        <item m="1" x="439"/>
        <item m="1" x="417"/>
        <item m="1" x="465"/>
        <item m="1" x="595"/>
        <item m="1" x="571"/>
        <item m="1" x="423"/>
        <item m="1" x="452"/>
        <item m="1" x="420"/>
        <item m="1" x="505"/>
        <item m="1" x="561"/>
        <item m="1" x="446"/>
        <item m="1" x="496"/>
        <item m="1" x="525"/>
        <item m="1" x="406"/>
        <item m="1" x="578"/>
        <item m="1" x="466"/>
        <item m="1" x="519"/>
        <item m="1" x="596"/>
        <item m="1" x="484"/>
        <item m="1" x="447"/>
        <item m="1" x="492"/>
        <item m="1" x="552"/>
        <item m="1" x="577"/>
        <item m="1" x="549"/>
        <item m="1" x="591"/>
        <item m="1" x="479"/>
        <item m="1" x="503"/>
        <item m="1" x="540"/>
        <item m="1" x="433"/>
        <item m="1" x="476"/>
        <item m="1" x="462"/>
        <item m="1" x="511"/>
        <item m="1" x="453"/>
        <item m="1" x="506"/>
        <item m="1" x="441"/>
        <item m="1" x="521"/>
        <item m="1" x="516"/>
        <item m="1" x="592"/>
        <item m="1" x="568"/>
        <item m="1" x="554"/>
        <item m="1" x="438"/>
        <item m="1" x="534"/>
        <item m="1" x="434"/>
        <item m="1" x="532"/>
        <item m="1" x="430"/>
        <item m="1" x="472"/>
        <item x="2"/>
        <item m="1" x="529"/>
        <item m="1" x="556"/>
        <item m="1" x="566"/>
        <item m="1" x="483"/>
        <item m="1" x="539"/>
        <item m="1" x="569"/>
        <item m="1" x="537"/>
        <item m="1" x="411"/>
        <item m="1" x="473"/>
        <item m="1" x="491"/>
        <item m="1" x="407"/>
        <item m="1" x="467"/>
        <item m="1" x="515"/>
        <item m="1" x="418"/>
        <item m="1" x="456"/>
        <item m="1" x="489"/>
        <item m="1" x="587"/>
        <item m="1" x="576"/>
        <item m="1" x="424"/>
        <item m="1" x="570"/>
        <item m="1" x="403"/>
        <item m="1" x="583"/>
        <item m="1" x="429"/>
        <item m="1" x="480"/>
        <item m="1" x="504"/>
        <item m="1" x="449"/>
        <item m="1" x="550"/>
        <item m="1" x="545"/>
        <item m="1" x="415"/>
        <item m="1" x="408"/>
        <item m="1" x="445"/>
        <item m="1" x="526"/>
        <item m="1" x="485"/>
        <item m="1" x="558"/>
        <item m="1" x="401"/>
        <item m="1" x="419"/>
        <item m="1" x="457"/>
        <item m="1" x="512"/>
        <item m="1" x="517"/>
        <item m="1" x="527"/>
        <item m="1" x="454"/>
        <item m="1" x="461"/>
        <item m="1" x="427"/>
        <item m="1" x="514"/>
        <item m="1" x="508"/>
        <item m="1" x="490"/>
        <item m="1" x="442"/>
        <item m="1" x="402"/>
        <item m="1" x="487"/>
        <item m="1" x="548"/>
        <item m="1" x="530"/>
        <item m="1" x="557"/>
        <item m="1" x="440"/>
        <item m="1" x="399"/>
        <item m="1" x="502"/>
        <item m="1" x="572"/>
        <item m="1" x="455"/>
        <item m="1" x="509"/>
        <item m="1" x="589"/>
        <item m="1" x="562"/>
        <item m="1" x="448"/>
        <item m="1" x="486"/>
        <item m="1" x="510"/>
        <item m="1" x="488"/>
        <item m="1" x="567"/>
        <item m="1" x="493"/>
        <item m="1" x="553"/>
        <item m="1" x="541"/>
        <item m="1" x="584"/>
        <item m="1" x="470"/>
        <item m="1" x="451"/>
        <item m="1" x="425"/>
        <item m="1" x="499"/>
        <item m="1" x="559"/>
        <item m="1" x="523"/>
        <item m="1" x="475"/>
        <item m="1" x="546"/>
        <item m="1" x="478"/>
        <item m="1" x="498"/>
        <item m="1" x="575"/>
        <item m="1" x="585"/>
        <item m="1" x="597"/>
        <item m="1" x="471"/>
        <item m="1" x="535"/>
        <item m="1" x="443"/>
        <item m="1" x="404"/>
        <item m="1" x="410"/>
        <item m="1" x="431"/>
        <item m="1" x="501"/>
        <item m="1" x="551"/>
        <item m="1" x="412"/>
        <item m="1" x="435"/>
        <item m="1" x="520"/>
        <item m="1" x="432"/>
        <item m="1" x="428"/>
        <item m="1" x="474"/>
        <item m="1" x="468"/>
        <item m="1" x="494"/>
        <item m="1" x="421"/>
        <item m="1" x="400"/>
        <item m="1" x="497"/>
        <item m="1" x="593"/>
        <item m="1" x="481"/>
        <item m="1" x="581"/>
        <item m="1" x="422"/>
        <item m="1" x="579"/>
        <item m="1" x="436"/>
        <item m="1" x="580"/>
        <item m="1" x="409"/>
        <item m="1" x="414"/>
        <item m="1" x="413"/>
        <item m="1" x="495"/>
        <item m="1" x="522"/>
        <item m="1" x="560"/>
        <item m="1" x="437"/>
        <item m="1" x="477"/>
        <item m="1" x="563"/>
        <item m="1" x="536"/>
        <item m="1" x="507"/>
        <item m="1" x="588"/>
        <item m="1" x="531"/>
        <item m="1" x="500"/>
        <item m="1" x="573"/>
        <item m="1" x="458"/>
        <item m="1" x="594"/>
        <item m="1" x="459"/>
        <item m="1" x="543"/>
        <item m="1" x="426"/>
        <item m="1" x="590"/>
        <item m="1" x="374"/>
        <item m="1" x="341"/>
        <item m="1" x="359"/>
        <item m="1" x="342"/>
        <item m="1" x="538"/>
        <item m="1" x="346"/>
        <item m="1" x="333"/>
        <item m="1" x="329"/>
        <item m="1" x="330"/>
        <item m="1" x="360"/>
        <item m="1" x="339"/>
        <item m="1" x="331"/>
        <item m="1" x="318"/>
        <item m="1" x="345"/>
        <item m="1" x="463"/>
        <item m="1" x="248"/>
        <item m="1" x="240"/>
        <item m="1" x="231"/>
        <item m="1" x="218"/>
        <item m="1" x="565"/>
        <item m="1" x="219"/>
        <item m="1" x="220"/>
        <item m="1" x="225"/>
        <item m="1" x="187"/>
        <item m="1" x="196"/>
        <item m="1" x="181"/>
        <item m="1" x="169"/>
        <item m="1" x="151"/>
        <item m="1" x="154"/>
        <item m="1" x="102"/>
        <item m="1" x="93"/>
        <item m="1" x="120"/>
        <item m="1" x="166"/>
        <item m="1" x="145"/>
        <item m="1" x="126"/>
        <item m="1" x="127"/>
        <item m="1" x="156"/>
        <item m="1" x="464"/>
        <item m="1" x="157"/>
        <item m="1" x="194"/>
        <item m="1" x="150"/>
        <item m="1" x="234"/>
        <item m="1" x="31"/>
        <item m="1" x="542"/>
        <item m="1" x="482"/>
        <item m="1" x="513"/>
        <item m="1" x="363"/>
        <item m="1" x="392"/>
        <item m="1" x="356"/>
        <item m="1" x="555"/>
        <item m="1" x="416"/>
        <item m="1" x="524"/>
        <item m="1" x="377"/>
        <item m="1" x="382"/>
        <item m="1" x="395"/>
        <item m="1" x="364"/>
        <item m="1" x="397"/>
        <item m="1" x="379"/>
        <item m="1" x="348"/>
        <item m="1" x="378"/>
        <item m="1" x="383"/>
        <item m="1" x="396"/>
        <item m="1" x="384"/>
        <item m="1" x="389"/>
        <item m="1" x="574"/>
        <item m="1" x="564"/>
        <item m="1" x="385"/>
        <item m="1" x="375"/>
        <item m="1" x="289"/>
        <item m="1" x="320"/>
        <item m="1" x="387"/>
        <item m="1" x="373"/>
        <item m="1" x="297"/>
        <item m="1" x="533"/>
        <item m="1" x="368"/>
        <item m="1" x="528"/>
        <item m="1" x="365"/>
        <item m="1" x="398"/>
        <item m="1" x="336"/>
        <item m="1" x="343"/>
        <item m="1" x="312"/>
        <item m="1" x="586"/>
        <item m="1" x="544"/>
        <item m="1" x="450"/>
        <item m="1" x="444"/>
        <item m="1" x="390"/>
        <item m="1" x="362"/>
        <item m="1" x="337"/>
        <item m="1" x="334"/>
        <item m="1" x="381"/>
        <item m="1" x="324"/>
        <item m="1" x="319"/>
        <item m="1" x="307"/>
        <item m="1" x="460"/>
        <item m="1" x="547"/>
        <item m="1" x="347"/>
        <item m="1" x="335"/>
        <item m="1" x="323"/>
        <item m="1" x="296"/>
        <item m="1" x="405"/>
        <item m="1" x="391"/>
        <item m="1" x="344"/>
        <item m="1" x="292"/>
        <item m="1" x="349"/>
        <item m="1" x="340"/>
        <item m="1" x="386"/>
        <item m="1" x="369"/>
        <item m="1" x="366"/>
        <item m="1" x="325"/>
        <item m="1" x="279"/>
        <item m="1" x="326"/>
        <item m="1" x="332"/>
        <item m="1" x="310"/>
        <item m="1" x="393"/>
        <item m="1" x="388"/>
        <item m="1" x="380"/>
        <item m="1" x="311"/>
        <item m="1" x="328"/>
        <item m="1" x="338"/>
        <item m="1" x="306"/>
        <item m="1" x="394"/>
        <item m="1" x="370"/>
        <item m="1" x="371"/>
        <item m="1" x="372"/>
        <item m="1" x="376"/>
        <item m="1" x="327"/>
        <item m="1" x="367"/>
        <item m="1" x="300"/>
        <item m="1" x="361"/>
        <item m="1" x="298"/>
        <item m="1" x="288"/>
        <item m="1" x="290"/>
        <item m="1" x="291"/>
        <item m="1" x="280"/>
        <item m="1" x="284"/>
        <item m="1" x="303"/>
        <item m="1" x="357"/>
        <item m="1" x="358"/>
        <item m="1" x="281"/>
        <item m="1" x="285"/>
        <item m="1" x="314"/>
        <item m="1" x="286"/>
        <item m="1" x="350"/>
        <item m="1" x="351"/>
        <item m="1" x="282"/>
        <item m="1" x="352"/>
        <item m="1" x="269"/>
        <item m="1" x="295"/>
        <item m="1" x="264"/>
        <item m="1" x="232"/>
        <item m="1" x="224"/>
        <item m="1" x="353"/>
        <item m="1" x="354"/>
        <item m="1" x="355"/>
        <item m="1" x="180"/>
        <item m="1" x="152"/>
        <item m="1" x="179"/>
        <item m="1" x="108"/>
        <item m="1" x="193"/>
        <item m="1" x="84"/>
        <item x="9"/>
        <item m="1" x="268"/>
        <item m="1" x="263"/>
        <item m="1" x="270"/>
        <item m="1" x="299"/>
        <item m="1" x="321"/>
        <item m="1" x="322"/>
        <item m="1" x="308"/>
        <item sd="0" m="1" x="313"/>
        <item m="1" x="250"/>
        <item m="1" x="304"/>
        <item m="1" x="265"/>
        <item m="1" x="258"/>
        <item m="1" x="302"/>
        <item m="1" x="259"/>
        <item m="1" x="253"/>
        <item m="1" x="254"/>
        <item m="1" x="235"/>
        <item m="1" x="245"/>
        <item m="1" x="315"/>
        <item m="1" x="316"/>
        <item m="1" x="317"/>
        <item m="1" x="261"/>
        <item m="1" x="309"/>
        <item m="1" x="301"/>
        <item m="1" x="305"/>
        <item m="1" x="243"/>
        <item m="1" x="293"/>
        <item m="1" x="256"/>
        <item m="1" x="255"/>
        <item m="1" x="294"/>
        <item m="1" x="278"/>
        <item m="1" x="287"/>
        <item m="1" x="257"/>
        <item m="1" x="267"/>
        <item m="1" x="283"/>
        <item m="1" x="275"/>
        <item m="1" x="262"/>
        <item m="1" x="277"/>
        <item m="1" x="273"/>
        <item m="1" x="276"/>
        <item m="1" x="274"/>
        <item m="1" x="251"/>
        <item m="1" x="252"/>
        <item m="1" x="244"/>
        <item m="1" x="221"/>
        <item m="1" x="271"/>
        <item m="1" x="272"/>
        <item m="1" x="213"/>
        <item m="1" x="266"/>
        <item m="1" x="260"/>
        <item m="1" x="129"/>
        <item m="1" x="236"/>
        <item m="1" x="202"/>
        <item m="1" x="172"/>
        <item m="1" x="158"/>
        <item m="1" x="86"/>
        <item m="1" x="246"/>
        <item m="1" x="247"/>
        <item m="1" x="249"/>
        <item m="1" x="237"/>
        <item m="1" x="238"/>
        <item m="1" x="239"/>
        <item m="1" x="217"/>
        <item m="1" x="241"/>
        <item m="1" x="153"/>
        <item m="1" x="130"/>
        <item m="1" x="242"/>
        <item m="1" x="123"/>
        <item m="1" x="124"/>
        <item m="1" x="216"/>
        <item m="1" x="168"/>
        <item m="1" x="155"/>
        <item m="1" x="122"/>
        <item m="1" x="233"/>
        <item m="1" x="88"/>
        <item m="1" x="192"/>
        <item m="1" x="59"/>
        <item m="1" x="22"/>
        <item m="1" x="74"/>
        <item m="1" x="222"/>
        <item m="1" x="230"/>
        <item m="1" x="89"/>
        <item m="1" x="80"/>
        <item m="1" x="96"/>
        <item m="1" x="23"/>
        <item m="1" x="229"/>
        <item m="1" x="112"/>
        <item m="1" x="191"/>
        <item m="1" x="109"/>
        <item m="1" x="140"/>
        <item m="1" x="228"/>
        <item m="1" x="163"/>
        <item x="11"/>
        <item m="1" x="71"/>
        <item m="1" x="54"/>
        <item m="1" x="178"/>
        <item m="1" x="223"/>
        <item m="1" x="70"/>
        <item m="1" x="36"/>
        <item m="1" x="226"/>
        <item m="1" x="227"/>
        <item m="1" x="165"/>
        <item m="1" x="57"/>
        <item x="12"/>
        <item m="1" x="41"/>
        <item m="1" x="203"/>
        <item m="1" x="204"/>
        <item m="1" x="205"/>
        <item m="1" x="98"/>
        <item m="1" x="131"/>
        <item m="1" x="141"/>
        <item m="1" x="146"/>
        <item m="1" x="176"/>
        <item m="1" x="24"/>
        <item m="1" x="214"/>
        <item m="1" x="215"/>
        <item m="1" x="55"/>
        <item m="1" x="206"/>
        <item m="1" x="207"/>
        <item m="1" x="134"/>
        <item m="1" x="87"/>
        <item m="1" x="75"/>
        <item m="1" x="208"/>
        <item m="1" x="209"/>
        <item m="1" x="210"/>
        <item m="1" x="211"/>
        <item m="1" x="212"/>
        <item m="1" x="199"/>
        <item m="1" x="133"/>
        <item m="1" x="83"/>
        <item m="1" x="195"/>
        <item m="1" x="188"/>
        <item m="1" x="90"/>
        <item m="1" x="189"/>
        <item m="1" x="201"/>
        <item m="1" x="185"/>
        <item m="1" x="58"/>
        <item m="1" x="95"/>
        <item m="1" x="200"/>
        <item m="1" x="173"/>
        <item m="1" x="104"/>
        <item m="1" x="107"/>
        <item m="1" x="19"/>
        <item m="1" x="197"/>
        <item m="1" x="161"/>
        <item m="1" x="110"/>
        <item m="1" x="198"/>
        <item m="1" x="113"/>
        <item m="1" x="175"/>
        <item m="1" x="81"/>
        <item m="1" x="111"/>
        <item m="1" x="139"/>
        <item m="1" x="142"/>
        <item m="1" x="73"/>
        <item m="1" x="184"/>
        <item m="1" x="162"/>
        <item m="1" x="20"/>
        <item m="1" x="149"/>
        <item m="1" x="101"/>
        <item m="1" x="190"/>
        <item m="1" x="177"/>
        <item m="1" x="186"/>
        <item m="1" x="182"/>
        <item m="1" x="183"/>
        <item m="1" x="118"/>
        <item m="1" x="143"/>
        <item m="1" x="174"/>
        <item m="1" x="91"/>
        <item m="1" x="105"/>
        <item m="1" x="170"/>
        <item m="1" x="92"/>
        <item m="1" x="171"/>
        <item m="1" x="39"/>
        <item x="7"/>
        <item m="1" x="138"/>
        <item m="1" x="116"/>
        <item m="1" x="132"/>
        <item m="1" x="144"/>
        <item m="1" x="164"/>
        <item m="1" x="147"/>
        <item m="1" x="167"/>
        <item x="6"/>
        <item m="1" x="34"/>
        <item m="1" x="117"/>
        <item m="1" x="159"/>
        <item m="1" x="160"/>
        <item m="1" x="148"/>
        <item m="1" x="106"/>
        <item m="1" x="94"/>
        <item m="1" x="76"/>
        <item m="1" x="77"/>
        <item m="1" x="47"/>
        <item x="8"/>
        <item m="1" x="100"/>
        <item m="1" x="119"/>
        <item m="1" x="115"/>
        <item m="1" x="135"/>
        <item m="1" x="128"/>
        <item m="1" x="136"/>
        <item m="1" x="137"/>
        <item m="1" x="99"/>
        <item x="4"/>
        <item m="1" x="121"/>
        <item m="1" x="125"/>
        <item m="1" x="97"/>
        <item m="1" x="103"/>
        <item m="1" x="114"/>
        <item m="1" x="37"/>
        <item m="1" x="40"/>
        <item m="1" x="78"/>
        <item m="1" x="79"/>
        <item m="1" x="60"/>
        <item m="1" x="82"/>
        <item m="1" x="85"/>
        <item m="1" x="25"/>
        <item m="1" x="61"/>
        <item m="1" x="62"/>
        <item m="1" x="65"/>
        <item m="1" x="66"/>
        <item x="5"/>
        <item m="1" x="21"/>
        <item m="1" x="63"/>
        <item m="1" x="64"/>
        <item m="1" x="72"/>
        <item m="1" x="67"/>
        <item m="1" x="68"/>
        <item m="1" x="69"/>
        <item m="1" x="51"/>
        <item m="1" x="38"/>
        <item m="1" x="48"/>
        <item m="1" x="49"/>
        <item m="1" x="50"/>
        <item m="1" x="52"/>
        <item m="1" x="53"/>
        <item x="13"/>
        <item m="1" x="56"/>
        <item m="1" x="26"/>
        <item m="1" x="42"/>
        <item m="1" x="43"/>
        <item m="1" x="44"/>
        <item m="1" x="45"/>
        <item m="1" x="28"/>
        <item m="1" x="46"/>
        <item m="1" x="35"/>
        <item m="1" x="32"/>
        <item m="1" x="33"/>
        <item m="1" x="27"/>
        <item x="14"/>
        <item m="1" x="29"/>
        <item m="1" x="30"/>
        <item x="10"/>
        <item x="15"/>
        <item x="16"/>
        <item x="17"/>
        <item x="18"/>
      </items>
    </pivotField>
    <pivotField name="FIN LB " axis="axisRow" compact="0" outline="0" showAll="0" defaultSubtotal="0">
      <items count="482">
        <item x="1"/>
        <item x="3"/>
        <item x="0"/>
        <item m="1" x="434"/>
        <item m="1" x="336"/>
        <item m="1" x="439"/>
        <item m="1" x="432"/>
        <item m="1" x="334"/>
        <item m="1" x="398"/>
        <item m="1" x="399"/>
        <item m="1" x="370"/>
        <item m="1" x="442"/>
        <item m="1" x="316"/>
        <item m="1" x="385"/>
        <item m="1" x="461"/>
        <item m="1" x="376"/>
        <item m="1" x="452"/>
        <item m="1" x="355"/>
        <item m="1" x="465"/>
        <item m="1" x="314"/>
        <item m="1" x="328"/>
        <item m="1" x="386"/>
        <item m="1" x="338"/>
        <item m="1" x="407"/>
        <item m="1" x="472"/>
        <item m="1" x="373"/>
        <item m="1" x="420"/>
        <item m="1" x="337"/>
        <item m="1" x="310"/>
        <item m="1" x="354"/>
        <item m="1" x="445"/>
        <item m="1" x="473"/>
        <item m="1" x="413"/>
        <item m="1" x="387"/>
        <item m="1" x="323"/>
        <item m="1" x="466"/>
        <item m="1" x="368"/>
        <item m="1" x="414"/>
        <item m="1" x="451"/>
        <item m="1" x="417"/>
        <item m="1" x="433"/>
        <item m="1" x="335"/>
        <item m="1" x="369"/>
        <item m="1" x="325"/>
        <item x="2"/>
        <item m="1" x="404"/>
        <item m="1" x="449"/>
        <item m="1" x="397"/>
        <item m="1" x="435"/>
        <item m="1" x="477"/>
        <item m="1" x="343"/>
        <item m="1" x="317"/>
        <item m="1" x="421"/>
        <item m="1" x="324"/>
        <item m="1" x="341"/>
        <item m="1" x="311"/>
        <item m="1" x="448"/>
        <item m="1" x="331"/>
        <item m="1" x="359"/>
        <item m="1" x="401"/>
        <item m="1" x="474"/>
        <item m="1" x="352"/>
        <item m="1" x="430"/>
        <item m="1" x="441"/>
        <item m="1" x="344"/>
        <item m="1" x="475"/>
        <item m="1" x="402"/>
        <item m="1" x="409"/>
        <item m="1" x="457"/>
        <item m="1" x="350"/>
        <item m="1" x="390"/>
        <item m="1" x="464"/>
        <item m="1" x="479"/>
        <item m="1" x="459"/>
        <item m="1" x="405"/>
        <item m="1" x="476"/>
        <item m="1" x="462"/>
        <item m="1" x="450"/>
        <item m="1" x="353"/>
        <item m="1" x="426"/>
        <item m="1" x="329"/>
        <item m="1" x="374"/>
        <item m="1" x="424"/>
        <item m="1" x="392"/>
        <item m="1" x="427"/>
        <item m="1" x="362"/>
        <item m="1" x="440"/>
        <item m="1" x="327"/>
        <item m="1" x="437"/>
        <item m="1" x="378"/>
        <item m="1" x="453"/>
        <item m="1" x="356"/>
        <item m="1" x="418"/>
        <item m="1" x="322"/>
        <item m="1" x="408"/>
        <item m="1" x="416"/>
        <item m="1" x="375"/>
        <item m="1" x="342"/>
        <item m="1" x="372"/>
        <item m="1" x="444"/>
        <item m="1" x="391"/>
        <item m="1" x="361"/>
        <item m="1" x="436"/>
        <item m="1" x="382"/>
        <item m="1" x="388"/>
        <item m="1" x="429"/>
        <item m="1" x="406"/>
        <item m="1" x="478"/>
        <item m="1" x="346"/>
        <item m="1" x="365"/>
        <item m="1" x="425"/>
        <item m="1" x="339"/>
        <item m="1" x="347"/>
        <item m="1" x="340"/>
        <item m="1" x="469"/>
        <item m="1" x="412"/>
        <item m="1" x="320"/>
        <item m="1" x="377"/>
        <item m="1" x="333"/>
        <item m="1" x="400"/>
        <item m="1" x="443"/>
        <item m="1" x="321"/>
        <item m="1" x="422"/>
        <item m="1" x="470"/>
        <item m="1" x="438"/>
        <item m="1" x="411"/>
        <item m="1" x="396"/>
        <item m="1" x="367"/>
        <item m="1" x="393"/>
        <item m="1" x="364"/>
        <item m="1" x="394"/>
        <item m="1" x="326"/>
        <item m="1" x="468"/>
        <item m="1" x="330"/>
        <item m="1" x="389"/>
        <item m="1" x="454"/>
        <item m="1" x="318"/>
        <item m="1" x="313"/>
        <item m="1" x="480"/>
        <item m="1" x="379"/>
        <item m="1" x="455"/>
        <item m="1" x="446"/>
        <item m="1" x="351"/>
        <item m="1" x="423"/>
        <item m="1" x="363"/>
        <item m="1" x="305"/>
        <item m="1" x="303"/>
        <item m="1" x="301"/>
        <item m="1" x="302"/>
        <item m="1" x="345"/>
        <item m="1" x="415"/>
        <item m="1" x="315"/>
        <item m="1" x="383"/>
        <item m="1" x="306"/>
        <item m="1" x="298"/>
        <item m="1" x="447"/>
        <item m="1" x="272"/>
        <item m="1" x="266"/>
        <item m="1" x="274"/>
        <item m="1" x="257"/>
        <item m="1" x="275"/>
        <item m="1" x="348"/>
        <item m="1" x="419"/>
        <item m="1" x="199"/>
        <item m="1" x="191"/>
        <item m="1" x="381"/>
        <item m="1" x="115"/>
        <item m="1" x="384"/>
        <item m="1" x="84"/>
        <item m="1" x="86"/>
        <item m="1" x="87"/>
        <item m="1" x="92"/>
        <item m="1" x="73"/>
        <item m="1" x="126"/>
        <item m="1" x="134"/>
        <item m="1" x="460"/>
        <item m="1" x="456"/>
        <item m="1" x="349"/>
        <item m="1" x="357"/>
        <item m="1" x="467"/>
        <item m="1" x="307"/>
        <item m="1" x="428"/>
        <item m="1" x="332"/>
        <item m="1" x="395"/>
        <item m="1" x="471"/>
        <item m="1" x="371"/>
        <item m="1" x="463"/>
        <item m="1" x="410"/>
        <item m="1" x="312"/>
        <item m="1" x="380"/>
        <item m="1" x="458"/>
        <item m="1" x="403"/>
        <item m="1" x="360"/>
        <item m="1" x="309"/>
        <item m="1" x="358"/>
        <item m="1" x="431"/>
        <item m="1" x="308"/>
        <item m="1" x="481"/>
        <item m="1" x="366"/>
        <item m="1" x="319"/>
        <item m="1" x="293"/>
        <item m="1" x="300"/>
        <item m="1" x="294"/>
        <item m="1" x="295"/>
        <item m="1" x="296"/>
        <item m="1" x="297"/>
        <item m="1" x="292"/>
        <item m="1" x="304"/>
        <item m="1" x="291"/>
        <item m="1" x="299"/>
        <item m="1" x="287"/>
        <item m="1" x="288"/>
        <item m="1" x="289"/>
        <item m="1" x="281"/>
        <item m="1" x="282"/>
        <item m="1" x="283"/>
        <item m="1" x="284"/>
        <item m="1" x="290"/>
        <item m="1" x="285"/>
        <item m="1" x="286"/>
        <item m="1" x="277"/>
        <item m="1" x="279"/>
        <item m="1" x="280"/>
        <item m="1" x="278"/>
        <item m="1" x="271"/>
        <item m="1" x="273"/>
        <item m="1" x="262"/>
        <item m="1" x="264"/>
        <item m="1" x="265"/>
        <item m="1" x="276"/>
        <item m="1" x="263"/>
        <item m="1" x="258"/>
        <item m="1" x="259"/>
        <item m="1" x="260"/>
        <item m="1" x="252"/>
        <item m="1" x="267"/>
        <item m="1" x="245"/>
        <item m="1" x="268"/>
        <item m="1" x="269"/>
        <item m="1" x="243"/>
        <item m="1" x="244"/>
        <item m="1" x="230"/>
        <item m="1" x="217"/>
        <item m="1" x="220"/>
        <item m="1" x="223"/>
        <item m="1" x="234"/>
        <item m="1" x="213"/>
        <item m="1" x="207"/>
        <item m="1" x="208"/>
        <item m="1" x="209"/>
        <item m="1" x="270"/>
        <item m="1" x="187"/>
        <item m="1" x="182"/>
        <item m="1" x="201"/>
        <item m="1" x="185"/>
        <item m="1" x="253"/>
        <item m="1" x="254"/>
        <item m="1" x="255"/>
        <item m="1" x="261"/>
        <item m="1" x="256"/>
        <item m="1" x="251"/>
        <item m="1" x="249"/>
        <item m="1" x="246"/>
        <item m="1" x="250"/>
        <item m="1" x="247"/>
        <item m="1" x="248"/>
        <item m="1" x="242"/>
        <item m="1" x="239"/>
        <item m="1" x="228"/>
        <item m="1" x="232"/>
        <item m="1" x="240"/>
        <item m="1" x="241"/>
        <item m="1" x="233"/>
        <item m="1" x="229"/>
        <item m="1" x="226"/>
        <item m="1" x="231"/>
        <item m="1" x="236"/>
        <item m="1" x="219"/>
        <item m="1" x="237"/>
        <item m="1" x="238"/>
        <item m="1" x="224"/>
        <item m="1" x="225"/>
        <item m="1" x="211"/>
        <item m="1" x="235"/>
        <item m="1" x="218"/>
        <item m="1" x="221"/>
        <item m="1" x="222"/>
        <item m="1" x="227"/>
        <item m="1" x="212"/>
        <item m="1" x="214"/>
        <item m="1" x="215"/>
        <item m="1" x="216"/>
        <item m="1" x="204"/>
        <item m="1" x="210"/>
        <item m="1" x="205"/>
        <item m="1" x="206"/>
        <item m="1" x="193"/>
        <item m="1" x="194"/>
        <item m="1" x="202"/>
        <item m="1" x="203"/>
        <item m="1" x="195"/>
        <item m="1" x="200"/>
        <item m="1" x="196"/>
        <item m="1" x="197"/>
        <item m="1" x="184"/>
        <item m="1" x="198"/>
        <item m="1" x="188"/>
        <item m="1" x="189"/>
        <item m="1" x="190"/>
        <item m="1" x="192"/>
        <item m="1" x="183"/>
        <item m="1" x="186"/>
        <item m="1" x="175"/>
        <item m="1" x="174"/>
        <item m="1" x="176"/>
        <item m="1" x="177"/>
        <item m="1" x="178"/>
        <item m="1" x="179"/>
        <item m="1" x="152"/>
        <item m="1" x="180"/>
        <item m="1" x="181"/>
        <item m="1" x="173"/>
        <item m="1" x="171"/>
        <item m="1" x="117"/>
        <item m="1" x="114"/>
        <item m="1" x="172"/>
        <item m="1" x="146"/>
        <item m="1" x="98"/>
        <item m="1" x="100"/>
        <item m="1" x="164"/>
        <item m="1" x="165"/>
        <item m="1" x="138"/>
        <item m="1" x="168"/>
        <item m="1" x="169"/>
        <item m="1" x="170"/>
        <item m="1" x="133"/>
        <item m="1" x="132"/>
        <item m="1" x="167"/>
        <item m="1" x="166"/>
        <item m="1" x="127"/>
        <item m="1" x="159"/>
        <item m="1" x="160"/>
        <item m="1" x="161"/>
        <item m="1" x="162"/>
        <item m="1" x="123"/>
        <item m="1" x="163"/>
        <item m="1" x="118"/>
        <item m="1" x="58"/>
        <item m="1" x="61"/>
        <item m="1" x="149"/>
        <item m="1" x="150"/>
        <item m="1" x="151"/>
        <item m="1" x="158"/>
        <item m="1" x="154"/>
        <item m="1" x="153"/>
        <item m="1" x="81"/>
        <item m="1" x="68"/>
        <item m="1" x="111"/>
        <item m="1" x="102"/>
        <item m="1" x="122"/>
        <item m="1" x="157"/>
        <item m="1" x="120"/>
        <item m="1" x="147"/>
        <item m="1" x="78"/>
        <item m="1" x="75"/>
        <item m="1" x="156"/>
        <item m="1" x="148"/>
        <item m="1" x="106"/>
        <item m="1" x="76"/>
        <item m="1" x="124"/>
        <item m="1" x="65"/>
        <item m="1" x="155"/>
        <item m="1" x="113"/>
        <item m="1" x="72"/>
        <item m="1" x="74"/>
        <item m="1" x="80"/>
        <item m="1" x="95"/>
        <item m="1" x="140"/>
        <item m="1" x="141"/>
        <item m="1" x="116"/>
        <item m="1" x="79"/>
        <item m="1" x="89"/>
        <item m="1" x="142"/>
        <item m="1" x="82"/>
        <item m="1" x="83"/>
        <item m="1" x="62"/>
        <item m="1" x="97"/>
        <item m="1" x="143"/>
        <item m="1" x="144"/>
        <item m="1" x="145"/>
        <item m="1" x="135"/>
        <item m="1" x="107"/>
        <item m="1" x="139"/>
        <item m="1" x="110"/>
        <item m="1" x="137"/>
        <item m="1" x="99"/>
        <item m="1" x="101"/>
        <item m="1" x="136"/>
        <item m="1" x="59"/>
        <item m="1" x="105"/>
        <item m="1" x="60"/>
        <item m="1" x="104"/>
        <item m="1" x="90"/>
        <item m="1" x="130"/>
        <item m="1" x="131"/>
        <item m="1" x="121"/>
        <item m="1" x="128"/>
        <item m="1" x="129"/>
        <item m="1" x="125"/>
        <item m="1" x="94"/>
        <item m="1" x="88"/>
        <item m="1" x="119"/>
        <item m="1" x="63"/>
        <item m="1" x="112"/>
        <item m="1" x="91"/>
        <item m="1" x="108"/>
        <item m="1" x="109"/>
        <item m="1" x="85"/>
        <item m="1" x="103"/>
        <item m="1" x="93"/>
        <item m="1" x="70"/>
        <item m="1" x="96"/>
        <item m="1" x="77"/>
        <item m="1" x="66"/>
        <item m="1" x="69"/>
        <item m="1" x="71"/>
        <item m="1" x="57"/>
        <item m="1" x="64"/>
        <item m="1" x="67"/>
        <item m="1" x="48"/>
        <item m="1" x="49"/>
        <item m="1" x="50"/>
        <item m="1" x="51"/>
        <item m="1" x="46"/>
        <item m="1" x="54"/>
        <item m="1" x="56"/>
        <item m="1" x="43"/>
        <item m="1" x="52"/>
        <item m="1" x="53"/>
        <item m="1" x="55"/>
        <item x="4"/>
        <item m="1" x="36"/>
        <item m="1" x="45"/>
        <item m="1" x="37"/>
        <item m="1" x="44"/>
        <item m="1" x="47"/>
        <item m="1" x="42"/>
        <item m="1" x="38"/>
        <item m="1" x="40"/>
        <item m="1" x="41"/>
        <item m="1" x="39"/>
        <item m="1" x="23"/>
        <item m="1" x="12"/>
        <item m="1" x="32"/>
        <item m="1" x="33"/>
        <item m="1" x="34"/>
        <item m="1" x="21"/>
        <item m="1" x="35"/>
        <item m="1" x="22"/>
        <item m="1" x="24"/>
        <item m="1" x="25"/>
        <item m="1" x="26"/>
        <item m="1" x="27"/>
        <item m="1" x="28"/>
        <item m="1" x="29"/>
        <item m="1" x="30"/>
        <item m="1" x="31"/>
        <item m="1" x="13"/>
        <item m="1" x="20"/>
        <item m="1" x="16"/>
        <item m="1" x="17"/>
        <item m="1" x="18"/>
        <item m="1" x="14"/>
        <item m="1" x="19"/>
        <item x="6"/>
        <item m="1" x="15"/>
        <item x="5"/>
        <item x="7"/>
        <item x="8"/>
        <item x="9"/>
        <item x="10"/>
        <item x="11"/>
      </items>
    </pivotField>
    <pivotField compact="0" outline="0" showAll="0"/>
    <pivotField name="FIN PRODUCTION" axis="axisRow" compact="0" outline="0" showAll="0" defaultSubtotal="0">
      <items count="644">
        <item x="1"/>
        <item m="1" x="495"/>
        <item m="1" x="591"/>
        <item m="1" x="489"/>
        <item m="1" x="504"/>
        <item m="1" x="618"/>
        <item m="1" x="511"/>
        <item m="1" x="444"/>
        <item m="1" x="629"/>
        <item m="1" x="611"/>
        <item m="1" x="496"/>
        <item m="1" x="482"/>
        <item m="1" x="578"/>
        <item m="1" x="526"/>
        <item m="1" x="589"/>
        <item m="1" x="557"/>
        <item m="1" x="586"/>
        <item m="1" x="459"/>
        <item m="1" x="555"/>
        <item m="1" x="449"/>
        <item m="1" x="543"/>
        <item m="1" x="466"/>
        <item m="1" x="614"/>
        <item m="1" x="548"/>
        <item m="1" x="516"/>
        <item m="1" x="604"/>
        <item m="1" x="442"/>
        <item m="1" x="426"/>
        <item m="1" x="522"/>
        <item m="1" x="620"/>
        <item m="1" x="492"/>
        <item m="1" x="467"/>
        <item m="1" x="631"/>
        <item m="1" x="427"/>
        <item m="1" x="579"/>
        <item m="1" x="587"/>
        <item m="1" x="623"/>
        <item m="1" x="468"/>
        <item m="1" x="580"/>
        <item m="1" x="446"/>
        <item m="1" x="616"/>
        <item m="1" x="582"/>
        <item m="1" x="452"/>
        <item m="1" x="510"/>
        <item m="1" x="428"/>
        <item m="1" x="469"/>
        <item m="1" x="563"/>
        <item m="1" x="559"/>
        <item m="1" x="554"/>
        <item x="0"/>
        <item x="16"/>
        <item m="1" x="624"/>
        <item m="1" x="421"/>
        <item m="1" x="608"/>
        <item m="1" x="448"/>
        <item m="1" x="514"/>
        <item m="1" x="625"/>
        <item m="1" x="581"/>
        <item m="1" x="462"/>
        <item m="1" x="641"/>
        <item m="1" x="612"/>
        <item m="1" x="503"/>
        <item m="1" x="527"/>
        <item m="1" x="509"/>
        <item m="1" x="594"/>
        <item m="1" x="593"/>
        <item m="1" x="539"/>
        <item m="1" x="483"/>
        <item m="1" x="493"/>
        <item m="1" x="528"/>
        <item m="1" x="518"/>
        <item m="1" x="485"/>
        <item m="1" x="567"/>
        <item m="1" x="626"/>
        <item m="1" x="464"/>
        <item m="1" x="458"/>
        <item m="1" x="602"/>
        <item m="1" x="463"/>
        <item m="1" x="558"/>
        <item m="1" x="534"/>
        <item m="1" x="471"/>
        <item m="1" x="556"/>
        <item m="1" x="596"/>
        <item m="1" x="546"/>
        <item m="1" x="476"/>
        <item m="1" x="439"/>
        <item m="1" x="553"/>
        <item m="1" x="617"/>
        <item m="1" x="486"/>
        <item m="1" x="429"/>
        <item m="1" x="607"/>
        <item m="1" x="585"/>
        <item m="1" x="455"/>
        <item m="1" x="552"/>
        <item m="1" x="603"/>
        <item m="1" x="432"/>
        <item m="1" x="525"/>
        <item m="1" x="639"/>
        <item m="1" x="435"/>
        <item m="1" x="537"/>
        <item m="1" x="600"/>
        <item m="1" x="529"/>
        <item m="1" x="547"/>
        <item m="1" x="507"/>
        <item m="1" x="574"/>
        <item m="1" x="474"/>
        <item m="1" x="436"/>
        <item m="1" x="562"/>
        <item m="1" x="422"/>
        <item m="1" x="642"/>
        <item m="1" x="484"/>
        <item m="1" x="533"/>
        <item m="1" x="437"/>
        <item m="1" x="423"/>
        <item m="1" x="621"/>
        <item m="1" x="640"/>
        <item m="1" x="637"/>
        <item m="1" x="571"/>
        <item m="1" x="500"/>
        <item m="1" x="424"/>
        <item m="1" x="521"/>
        <item m="1" x="457"/>
        <item m="1" x="575"/>
        <item m="1" x="443"/>
        <item m="1" x="535"/>
        <item m="1" x="470"/>
        <item m="1" x="430"/>
        <item m="1" x="592"/>
        <item m="1" x="538"/>
        <item m="1" x="630"/>
        <item m="1" x="520"/>
        <item m="1" x="512"/>
        <item m="1" x="438"/>
        <item m="1" x="531"/>
        <item m="1" x="619"/>
        <item m="1" x="564"/>
        <item m="1" x="506"/>
        <item m="1" x="536"/>
        <item m="1" x="502"/>
        <item m="1" x="599"/>
        <item m="1" x="542"/>
        <item m="1" x="609"/>
        <item m="1" x="445"/>
        <item m="1" x="568"/>
        <item m="1" x="451"/>
        <item m="1" x="636"/>
        <item m="1" x="498"/>
        <item m="1" x="544"/>
        <item m="1" x="475"/>
        <item m="1" x="570"/>
        <item m="1" x="595"/>
        <item m="1" x="460"/>
        <item m="1" x="517"/>
        <item m="1" x="545"/>
        <item m="1" x="605"/>
        <item m="1" x="634"/>
        <item m="1" x="447"/>
        <item m="1" x="550"/>
        <item m="1" x="606"/>
        <item m="1" x="440"/>
        <item m="1" x="501"/>
        <item m="1" x="515"/>
        <item m="1" x="601"/>
        <item m="1" x="549"/>
        <item m="1" x="628"/>
        <item m="1" x="530"/>
        <item m="1" x="499"/>
        <item m="1" x="450"/>
        <item m="1" x="453"/>
        <item m="1" x="572"/>
        <item m="1" x="566"/>
        <item m="1" x="635"/>
        <item m="1" x="627"/>
        <item m="1" x="622"/>
        <item m="1" x="519"/>
        <item m="1" x="632"/>
        <item m="1" x="569"/>
        <item m="1" x="433"/>
        <item m="1" x="508"/>
        <item m="1" x="523"/>
        <item m="1" x="456"/>
        <item m="1" x="615"/>
        <item m="1" x="633"/>
        <item m="1" x="478"/>
        <item m="1" x="540"/>
        <item m="1" x="479"/>
        <item m="1" x="532"/>
        <item m="1" x="597"/>
        <item m="1" x="441"/>
        <item m="1" x="487"/>
        <item m="1" x="583"/>
        <item m="1" x="480"/>
        <item m="1" x="513"/>
        <item m="1" x="434"/>
        <item m="1" x="465"/>
        <item m="1" x="560"/>
        <item m="1" x="565"/>
        <item m="1" x="477"/>
        <item m="1" x="387"/>
        <item m="1" x="490"/>
        <item m="1" x="409"/>
        <item m="1" x="577"/>
        <item m="1" x="377"/>
        <item m="1" x="381"/>
        <item m="1" x="598"/>
        <item m="1" x="385"/>
        <item m="1" x="419"/>
        <item m="1" x="378"/>
        <item m="1" x="368"/>
        <item m="1" x="386"/>
        <item m="1" x="590"/>
        <item m="1" x="561"/>
        <item m="1" x="354"/>
        <item m="1" x="333"/>
        <item m="1" x="316"/>
        <item m="1" x="322"/>
        <item m="1" x="359"/>
        <item m="1" x="310"/>
        <item m="1" x="312"/>
        <item m="1" x="461"/>
        <item m="1" x="259"/>
        <item m="1" x="265"/>
        <item m="1" x="252"/>
        <item m="1" x="223"/>
        <item m="1" x="541"/>
        <item m="1" x="112"/>
        <item m="1" x="131"/>
        <item m="1" x="163"/>
        <item m="1" x="92"/>
        <item m="1" x="113"/>
        <item m="1" x="135"/>
        <item m="1" x="157"/>
        <item m="1" x="207"/>
        <item m="1" x="137"/>
        <item m="1" x="239"/>
        <item m="1" x="144"/>
        <item m="1" x="491"/>
        <item m="1" x="120"/>
        <item m="1" x="173"/>
        <item m="1" x="638"/>
        <item m="1" x="576"/>
        <item m="1" x="610"/>
        <item m="1" x="494"/>
        <item m="1" x="643"/>
        <item m="1" x="425"/>
        <item m="1" x="573"/>
        <item m="1" x="416"/>
        <item m="1" x="481"/>
        <item m="1" x="397"/>
        <item m="1" x="551"/>
        <item m="1" x="454"/>
        <item m="1" x="411"/>
        <item m="1" x="497"/>
        <item m="1" x="403"/>
        <item sd="0" m="1" x="392"/>
        <item m="1" x="393"/>
        <item m="1" x="406"/>
        <item m="1" x="370"/>
        <item m="1" x="488"/>
        <item m="1" x="371"/>
        <item m="1" x="350"/>
        <item m="1" x="473"/>
        <item m="1" x="431"/>
        <item m="1" x="394"/>
        <item m="1" x="396"/>
        <item m="1" x="399"/>
        <item m="1" x="319"/>
        <item m="1" x="472"/>
        <item m="1" x="364"/>
        <item m="1" x="347"/>
        <item m="1" x="336"/>
        <item m="1" x="343"/>
        <item m="1" x="407"/>
        <item m="1" x="342"/>
        <item m="1" x="412"/>
        <item m="1" x="328"/>
        <item m="1" x="524"/>
        <item m="1" x="408"/>
        <item m="1" x="380"/>
        <item m="1" x="418"/>
        <item m="1" x="389"/>
        <item m="1" x="401"/>
        <item m="1" x="613"/>
        <item m="1" x="382"/>
        <item m="1" x="405"/>
        <item m="1" x="584"/>
        <item m="1" x="413"/>
        <item m="1" x="324"/>
        <item m="1" x="355"/>
        <item m="1" x="360"/>
        <item m="1" x="338"/>
        <item m="1" x="395"/>
        <item m="1" x="398"/>
        <item m="1" x="390"/>
        <item m="1" x="320"/>
        <item m="1" x="383"/>
        <item m="1" x="375"/>
        <item m="1" x="365"/>
        <item m="1" x="363"/>
        <item m="1" x="404"/>
        <item m="1" x="352"/>
        <item m="1" x="325"/>
        <item m="1" x="356"/>
        <item m="1" x="358"/>
        <item m="1" x="376"/>
        <item m="1" x="349"/>
        <item m="1" x="326"/>
        <item m="1" x="588"/>
        <item m="1" x="335"/>
        <item m="1" x="323"/>
        <item m="1" x="417"/>
        <item m="1" x="414"/>
        <item m="1" x="357"/>
        <item m="1" x="341"/>
        <item m="1" x="331"/>
        <item m="1" x="308"/>
        <item m="1" x="388"/>
        <item m="1" x="321"/>
        <item m="1" x="362"/>
        <item m="1" x="505"/>
        <item m="1" x="400"/>
        <item m="1" x="353"/>
        <item m="1" x="334"/>
        <item m="1" x="420"/>
        <item m="1" x="361"/>
        <item m="1" x="348"/>
        <item m="1" x="332"/>
        <item m="1" x="340"/>
        <item m="1" x="384"/>
        <item m="1" x="366"/>
        <item m="1" x="391"/>
        <item m="1" x="415"/>
        <item m="1" x="369"/>
        <item m="1" x="410"/>
        <item m="1" x="402"/>
        <item m="1" x="351"/>
        <item m="1" x="337"/>
        <item m="1" x="339"/>
        <item m="1" x="327"/>
        <item m="1" x="311"/>
        <item m="1" x="313"/>
        <item m="1" x="372"/>
        <item m="1" x="309"/>
        <item m="1" x="291"/>
        <item m="1" x="304"/>
        <item m="1" x="297"/>
        <item m="1" x="379"/>
        <item m="1" x="292"/>
        <item m="1" x="329"/>
        <item m="1" x="345"/>
        <item m="1" x="346"/>
        <item m="1" x="299"/>
        <item m="1" x="300"/>
        <item m="1" x="301"/>
        <item m="1" x="288"/>
        <item m="1" x="306"/>
        <item m="1" x="280"/>
        <item m="1" x="279"/>
        <item m="1" x="284"/>
        <item m="1" x="241"/>
        <item m="1" x="237"/>
        <item m="1" x="373"/>
        <item m="1" x="194"/>
        <item m="1" x="190"/>
        <item m="1" x="168"/>
        <item m="1" x="115"/>
        <item m="1" x="195"/>
        <item m="1" x="150"/>
        <item m="1" x="93"/>
        <item m="1" x="108"/>
        <item m="1" x="192"/>
        <item m="1" x="79"/>
        <item m="1" x="20"/>
        <item m="1" x="374"/>
        <item m="1" x="315"/>
        <item m="1" x="367"/>
        <item m="1" x="318"/>
        <item m="1" x="330"/>
        <item m="1" x="317"/>
        <item m="1" x="278"/>
        <item m="1" x="290"/>
        <item m="1" x="281"/>
        <item m="1" x="307"/>
        <item m="1" x="302"/>
        <item m="1" x="344"/>
        <item m="1" x="305"/>
        <item m="1" x="258"/>
        <item m="1" x="235"/>
        <item m="1" x="242"/>
        <item m="1" x="295"/>
        <item m="1" x="271"/>
        <item m="1" x="273"/>
        <item m="1" x="266"/>
        <item m="1" x="261"/>
        <item m="1" x="233"/>
        <item m="1" x="314"/>
        <item m="1" x="256"/>
        <item m="1" x="232"/>
        <item m="1" x="251"/>
        <item m="1" x="222"/>
        <item m="1" x="274"/>
        <item m="1" x="293"/>
        <item m="1" x="289"/>
        <item m="1" x="282"/>
        <item m="1" x="298"/>
        <item m="1" x="296"/>
        <item m="1" x="294"/>
        <item m="1" x="267"/>
        <item m="1" x="303"/>
        <item m="1" x="285"/>
        <item m="1" x="275"/>
        <item m="1" x="264"/>
        <item m="1" x="286"/>
        <item m="1" x="253"/>
        <item m="1" x="272"/>
        <item m="1" x="283"/>
        <item m="1" x="269"/>
        <item m="1" x="287"/>
        <item m="1" x="213"/>
        <item m="1" x="268"/>
        <item m="1" x="276"/>
        <item m="1" x="260"/>
        <item m="1" x="277"/>
        <item m="1" x="197"/>
        <item m="1" x="107"/>
        <item m="1" x="119"/>
        <item m="1" x="270"/>
        <item m="1" x="151"/>
        <item m="1" x="238"/>
        <item m="1" x="250"/>
        <item m="1" x="257"/>
        <item m="1" x="184"/>
        <item m="1" x="76"/>
        <item m="1" x="262"/>
        <item m="1" x="169"/>
        <item m="1" x="263"/>
        <item m="1" x="143"/>
        <item m="1" x="141"/>
        <item m="1" x="111"/>
        <item m="1" x="205"/>
        <item m="1" x="186"/>
        <item m="1" x="77"/>
        <item m="1" x="128"/>
        <item m="1" x="178"/>
        <item m="1" x="123"/>
        <item m="1" x="85"/>
        <item m="1" x="254"/>
        <item m="1" x="147"/>
        <item m="1" x="255"/>
        <item m="1" x="45"/>
        <item m="1" x="234"/>
        <item m="1" x="236"/>
        <item m="1" x="170"/>
        <item m="1" x="88"/>
        <item m="1" x="90"/>
        <item m="1" x="240"/>
        <item m="1" x="44"/>
        <item m="1" x="83"/>
        <item m="1" x="243"/>
        <item m="1" x="94"/>
        <item m="1" x="68"/>
        <item m="1" x="48"/>
        <item m="1" x="99"/>
        <item x="17"/>
        <item m="1" x="248"/>
        <item x="18"/>
        <item m="1" x="249"/>
        <item m="1" x="189"/>
        <item m="1" x="244"/>
        <item m="1" x="39"/>
        <item m="1" x="31"/>
        <item m="1" x="245"/>
        <item m="1" x="246"/>
        <item m="1" x="247"/>
        <item m="1" x="224"/>
        <item m="1" x="225"/>
        <item m="1" x="226"/>
        <item m="1" x="217"/>
        <item m="1" x="132"/>
        <item m="1" x="140"/>
        <item m="1" x="59"/>
        <item m="1" x="47"/>
        <item m="1" x="231"/>
        <item m="1" x="55"/>
        <item m="1" x="118"/>
        <item m="1" x="63"/>
        <item m="1" x="40"/>
        <item m="1" x="227"/>
        <item m="1" x="228"/>
        <item m="1" x="229"/>
        <item m="1" x="230"/>
        <item m="1" x="214"/>
        <item m="1" x="221"/>
        <item m="1" x="220"/>
        <item m="1" x="211"/>
        <item m="1" x="149"/>
        <item x="2"/>
        <item m="1" x="35"/>
        <item m="1" x="212"/>
        <item x="5"/>
        <item m="1" x="219"/>
        <item m="1" x="138"/>
        <item m="1" x="70"/>
        <item m="1" x="218"/>
        <item m="1" x="215"/>
        <item m="1" x="210"/>
        <item m="1" x="196"/>
        <item m="1" x="22"/>
        <item m="1" x="98"/>
        <item m="1" x="209"/>
        <item m="1" x="216"/>
        <item m="1" x="172"/>
        <item m="1" x="188"/>
        <item m="1" x="199"/>
        <item m="1" x="101"/>
        <item m="1" x="109"/>
        <item x="7"/>
        <item m="1" x="102"/>
        <item m="1" x="204"/>
        <item m="1" x="156"/>
        <item m="1" x="97"/>
        <item m="1" x="106"/>
        <item m="1" x="105"/>
        <item m="1" x="24"/>
        <item m="1" x="200"/>
        <item m="1" x="182"/>
        <item m="1" x="162"/>
        <item m="1" x="179"/>
        <item m="1" x="208"/>
        <item m="1" x="34"/>
        <item m="1" x="167"/>
        <item m="1" x="206"/>
        <item m="1" x="130"/>
        <item m="1" x="159"/>
        <item m="1" x="193"/>
        <item m="1" x="142"/>
        <item m="1" x="203"/>
        <item m="1" x="129"/>
        <item m="1" x="19"/>
        <item m="1" x="185"/>
        <item m="1" x="201"/>
        <item m="1" x="202"/>
        <item m="1" x="161"/>
        <item m="1" x="191"/>
        <item m="1" x="198"/>
        <item m="1" x="164"/>
        <item m="1" x="154"/>
        <item m="1" x="84"/>
        <item m="1" x="145"/>
        <item m="1" x="165"/>
        <item m="1" x="158"/>
        <item m="1" x="166"/>
        <item m="1" x="187"/>
        <item m="1" x="181"/>
        <item m="1" x="87"/>
        <item m="1" x="133"/>
        <item m="1" x="71"/>
        <item m="1" x="125"/>
        <item m="1" x="180"/>
        <item m="1" x="96"/>
        <item m="1" x="86"/>
        <item m="1" x="38"/>
        <item m="1" x="183"/>
        <item m="1" x="116"/>
        <item m="1" x="134"/>
        <item m="1" x="33"/>
        <item m="1" x="95"/>
        <item m="1" x="176"/>
        <item m="1" x="177"/>
        <item m="1" x="155"/>
        <item m="1" x="175"/>
        <item m="1" x="171"/>
        <item x="8"/>
        <item m="1" x="174"/>
        <item m="1" x="82"/>
        <item m="1" x="72"/>
        <item m="1" x="160"/>
        <item m="1" x="153"/>
        <item m="1" x="75"/>
        <item x="10"/>
        <item x="12"/>
        <item m="1" x="103"/>
        <item m="1" x="152"/>
        <item m="1" x="89"/>
        <item m="1" x="100"/>
        <item m="1" x="117"/>
        <item m="1" x="146"/>
        <item m="1" x="60"/>
        <item m="1" x="148"/>
        <item m="1" x="124"/>
        <item m="1" x="139"/>
        <item m="1" x="61"/>
        <item m="1" x="62"/>
        <item m="1" x="80"/>
        <item m="1" x="126"/>
        <item m="1" x="127"/>
        <item m="1" x="114"/>
        <item m="1" x="136"/>
        <item m="1" x="122"/>
        <item m="1" x="91"/>
        <item m="1" x="121"/>
        <item m="1" x="104"/>
        <item m="1" x="110"/>
        <item m="1" x="78"/>
        <item m="1" x="30"/>
        <item m="1" x="81"/>
        <item m="1" x="69"/>
        <item m="1" x="66"/>
        <item m="1" x="74"/>
        <item m="1" x="67"/>
        <item m="1" x="56"/>
        <item m="1" x="73"/>
        <item m="1" x="49"/>
        <item m="1" x="58"/>
        <item x="3"/>
        <item m="1" x="64"/>
        <item m="1" x="37"/>
        <item m="1" x="65"/>
        <item m="1" x="52"/>
        <item m="1" x="53"/>
        <item m="1" x="57"/>
        <item m="1" x="54"/>
        <item m="1" x="50"/>
        <item m="1" x="51"/>
        <item m="1" x="36"/>
        <item m="1" x="42"/>
        <item m="1" x="43"/>
        <item m="1" x="28"/>
        <item m="1" x="46"/>
        <item m="1" x="41"/>
        <item m="1" x="21"/>
        <item m="1" x="23"/>
        <item m="1" x="32"/>
        <item m="1" x="26"/>
        <item m="1" x="27"/>
        <item m="1" x="29"/>
        <item m="1" x="25"/>
        <item x="4"/>
        <item x="6"/>
        <item x="9"/>
        <item x="11"/>
        <item x="13"/>
        <item x="14"/>
        <item x="15"/>
      </items>
    </pivotField>
    <pivotField compact="0" outline="0" showAll="0"/>
    <pivotField compact="0" outline="0" showAll="0"/>
    <pivotField name="DÉBUT MONTAGE" axis="axisRow" compact="0" outline="0" showAll="0" defaultSubtotal="0">
      <items count="313">
        <item x="1"/>
        <item x="4"/>
        <item x="0"/>
        <item m="1" x="264"/>
        <item m="1" x="309"/>
        <item m="1" x="249"/>
        <item m="1" x="250"/>
        <item m="1" x="274"/>
        <item m="1" x="247"/>
        <item m="1" x="201"/>
        <item m="1" x="285"/>
        <item m="1" x="271"/>
        <item x="2"/>
        <item m="1" x="290"/>
        <item m="1" x="297"/>
        <item m="1" x="266"/>
        <item m="1" x="304"/>
        <item m="1" x="295"/>
        <item m="1" x="276"/>
        <item m="1" x="312"/>
        <item m="1" x="277"/>
        <item m="1" x="302"/>
        <item m="1" x="180"/>
        <item m="1" x="188"/>
        <item m="1" x="224"/>
        <item m="1" x="225"/>
        <item m="1" x="223"/>
        <item m="1" x="282"/>
        <item m="1" x="212"/>
        <item m="1" x="251"/>
        <item m="1" x="235"/>
        <item m="1" x="182"/>
        <item m="1" x="222"/>
        <item m="1" x="308"/>
        <item m="1" x="269"/>
        <item m="1" x="177"/>
        <item m="1" x="288"/>
        <item m="1" x="248"/>
        <item m="1" x="291"/>
        <item m="1" x="292"/>
        <item m="1" x="281"/>
        <item m="1" x="286"/>
        <item m="1" x="272"/>
        <item m="1" x="301"/>
        <item m="1" x="270"/>
        <item m="1" x="300"/>
        <item m="1" x="232"/>
        <item m="1" x="279"/>
        <item m="1" x="293"/>
        <item m="1" x="273"/>
        <item m="1" x="303"/>
        <item m="1" x="215"/>
        <item m="1" x="283"/>
        <item m="1" x="202"/>
        <item m="1" x="280"/>
        <item m="1" x="296"/>
        <item m="1" x="284"/>
        <item m="1" x="305"/>
        <item m="1" x="181"/>
        <item m="1" x="306"/>
        <item m="1" x="287"/>
        <item m="1" x="289"/>
        <item m="1" x="299"/>
        <item m="1" x="278"/>
        <item m="1" x="307"/>
        <item m="1" x="294"/>
        <item m="1" x="275"/>
        <item m="1" x="198"/>
        <item m="1" x="200"/>
        <item m="1" x="242"/>
        <item m="1" x="229"/>
        <item m="1" x="310"/>
        <item m="1" x="311"/>
        <item m="1" x="197"/>
        <item m="1" x="176"/>
        <item m="1" x="298"/>
        <item m="1" x="213"/>
        <item m="1" x="214"/>
        <item m="1" x="268"/>
        <item m="1" x="267"/>
        <item m="1" x="265"/>
        <item m="1" x="262"/>
        <item m="1" x="263"/>
        <item m="1" x="258"/>
        <item m="1" x="260"/>
        <item m="1" x="261"/>
        <item m="1" x="259"/>
        <item m="1" x="255"/>
        <item m="1" x="257"/>
        <item m="1" x="178"/>
        <item m="1" x="256"/>
        <item m="1" x="243"/>
        <item m="1" x="244"/>
        <item m="1" x="254"/>
        <item m="1" x="252"/>
        <item m="1" x="253"/>
        <item m="1" x="245"/>
        <item m="1" x="246"/>
        <item m="1" x="217"/>
        <item m="1" x="230"/>
        <item m="1" x="231"/>
        <item m="1" x="241"/>
        <item m="1" x="189"/>
        <item m="1" x="238"/>
        <item m="1" x="239"/>
        <item m="1" x="240"/>
        <item m="1" x="236"/>
        <item m="1" x="237"/>
        <item m="1" x="233"/>
        <item m="1" x="234"/>
        <item m="1" x="203"/>
        <item m="1" x="184"/>
        <item m="1" x="227"/>
        <item m="1" x="228"/>
        <item m="1" x="112"/>
        <item m="1" x="125"/>
        <item m="1" x="226"/>
        <item m="1" x="179"/>
        <item m="1" x="220"/>
        <item m="1" x="221"/>
        <item m="1" x="216"/>
        <item m="1" x="218"/>
        <item m="1" x="219"/>
        <item m="1" x="210"/>
        <item m="1" x="211"/>
        <item m="1" x="209"/>
        <item m="1" x="208"/>
        <item m="1" x="199"/>
        <item m="1" x="204"/>
        <item m="1" x="205"/>
        <item m="1" x="207"/>
        <item m="1" x="171"/>
        <item m="1" x="126"/>
        <item m="1" x="206"/>
        <item m="1" x="190"/>
        <item m="1" x="191"/>
        <item m="1" x="192"/>
        <item m="1" x="193"/>
        <item m="1" x="194"/>
        <item m="1" x="129"/>
        <item m="1" x="195"/>
        <item m="1" x="196"/>
        <item m="1" x="175"/>
        <item m="1" x="183"/>
        <item m="1" x="185"/>
        <item m="1" x="186"/>
        <item m="1" x="124"/>
        <item m="1" x="187"/>
        <item m="1" x="159"/>
        <item m="1" x="144"/>
        <item m="1" x="174"/>
        <item m="1" x="130"/>
        <item m="1" x="172"/>
        <item m="1" x="110"/>
        <item m="1" x="173"/>
        <item m="1" x="169"/>
        <item m="1" x="103"/>
        <item m="1" x="104"/>
        <item m="1" x="170"/>
        <item m="1" x="47"/>
        <item m="1" x="115"/>
        <item m="1" x="71"/>
        <item m="1" x="72"/>
        <item m="1" x="73"/>
        <item m="1" x="165"/>
        <item m="1" x="166"/>
        <item m="1" x="139"/>
        <item m="1" x="167"/>
        <item m="1" x="168"/>
        <item m="1" x="149"/>
        <item m="1" x="160"/>
        <item m="1" x="161"/>
        <item m="1" x="162"/>
        <item m="1" x="163"/>
        <item x="6"/>
        <item m="1" x="25"/>
        <item m="1" x="19"/>
        <item m="1" x="164"/>
        <item m="1" x="75"/>
        <item m="1" x="76"/>
        <item m="1" x="150"/>
        <item x="3"/>
        <item x="7"/>
        <item m="1" x="26"/>
        <item m="1" x="151"/>
        <item m="1" x="147"/>
        <item m="1" x="158"/>
        <item m="1" x="128"/>
        <item m="1" x="152"/>
        <item m="1" x="153"/>
        <item m="1" x="154"/>
        <item m="1" x="155"/>
        <item m="1" x="156"/>
        <item m="1" x="157"/>
        <item m="1" x="102"/>
        <item m="1" x="101"/>
        <item m="1" x="135"/>
        <item m="1" x="136"/>
        <item m="1" x="117"/>
        <item m="1" x="145"/>
        <item m="1" x="78"/>
        <item m="1" x="13"/>
        <item m="1" x="9"/>
        <item m="1" x="146"/>
        <item m="1" x="148"/>
        <item m="1" x="137"/>
        <item m="1" x="59"/>
        <item m="1" x="138"/>
        <item m="1" x="17"/>
        <item m="1" x="140"/>
        <item m="1" x="141"/>
        <item m="1" x="142"/>
        <item m="1" x="143"/>
        <item m="1" x="134"/>
        <item m="1" x="23"/>
        <item m="1" x="132"/>
        <item m="1" x="133"/>
        <item m="1" x="131"/>
        <item m="1" x="127"/>
        <item m="1" x="108"/>
        <item m="1" x="61"/>
        <item m="1" x="87"/>
        <item m="1" x="74"/>
        <item m="1" x="107"/>
        <item m="1" x="80"/>
        <item m="1" x="95"/>
        <item m="1" x="119"/>
        <item m="1" x="120"/>
        <item m="1" x="121"/>
        <item m="1" x="123"/>
        <item m="1" x="53"/>
        <item m="1" x="122"/>
        <item m="1" x="118"/>
        <item m="1" x="98"/>
        <item m="1" x="99"/>
        <item m="1" x="12"/>
        <item m="1" x="114"/>
        <item m="1" x="116"/>
        <item m="1" x="113"/>
        <item m="1" x="111"/>
        <item m="1" x="105"/>
        <item m="1" x="66"/>
        <item m="1" x="109"/>
        <item m="1" x="42"/>
        <item m="1" x="106"/>
        <item m="1" x="88"/>
        <item m="1" x="24"/>
        <item m="1" x="97"/>
        <item m="1" x="100"/>
        <item m="1" x="82"/>
        <item m="1" x="96"/>
        <item m="1" x="89"/>
        <item m="1" x="90"/>
        <item m="1" x="91"/>
        <item m="1" x="92"/>
        <item m="1" x="93"/>
        <item m="1" x="94"/>
        <item m="1" x="67"/>
        <item m="1" x="68"/>
        <item m="1" x="69"/>
        <item m="1" x="57"/>
        <item m="1" x="58"/>
        <item m="1" x="77"/>
        <item m="1" x="79"/>
        <item m="1" x="14"/>
        <item m="1" x="83"/>
        <item m="1" x="84"/>
        <item m="1" x="85"/>
        <item m="1" x="46"/>
        <item m="1" x="86"/>
        <item m="1" x="81"/>
        <item m="1" x="70"/>
        <item m="1" x="52"/>
        <item m="1" x="54"/>
        <item m="1" x="55"/>
        <item m="1" x="62"/>
        <item m="1" x="63"/>
        <item m="1" x="51"/>
        <item m="1" x="64"/>
        <item m="1" x="65"/>
        <item m="1" x="21"/>
        <item m="1" x="60"/>
        <item m="1" x="50"/>
        <item m="1" x="48"/>
        <item x="5"/>
        <item m="1" x="49"/>
        <item m="1" x="56"/>
        <item m="1" x="43"/>
        <item m="1" x="44"/>
        <item m="1" x="45"/>
        <item m="1" x="38"/>
        <item m="1" x="39"/>
        <item m="1" x="40"/>
        <item m="1" x="41"/>
        <item m="1" x="34"/>
        <item m="1" x="35"/>
        <item m="1" x="36"/>
        <item m="1" x="37"/>
        <item m="1" x="31"/>
        <item m="1" x="32"/>
        <item m="1" x="33"/>
        <item m="1" x="28"/>
        <item m="1" x="29"/>
        <item m="1" x="30"/>
        <item m="1" x="27"/>
        <item m="1" x="18"/>
        <item m="1" x="20"/>
        <item m="1" x="22"/>
        <item m="1" x="15"/>
        <item m="1" x="16"/>
        <item m="1" x="10"/>
        <item m="1" x="11"/>
        <item x="8"/>
      </items>
    </pivotField>
    <pivotField name="FIN MONTAGE" axis="axisRow" compact="0" outline="0" showAll="0" defaultSubtotal="0">
      <items count="338">
        <item m="1" x="336"/>
        <item x="2"/>
        <item x="0"/>
        <item m="1" x="331"/>
        <item m="1" x="308"/>
        <item m="1" x="315"/>
        <item m="1" x="318"/>
        <item m="1" x="301"/>
        <item m="1" x="278"/>
        <item m="1" x="283"/>
        <item m="1" x="280"/>
        <item x="1"/>
        <item m="1" x="326"/>
        <item m="1" x="337"/>
        <item m="1" x="333"/>
        <item m="1" x="322"/>
        <item m="1" x="295"/>
        <item m="1" x="305"/>
        <item m="1" x="266"/>
        <item m="1" x="320"/>
        <item m="1" x="262"/>
        <item m="1" x="275"/>
        <item m="1" x="236"/>
        <item m="1" x="319"/>
        <item m="1" x="287"/>
        <item m="1" x="256"/>
        <item x="4"/>
        <item m="1" x="285"/>
        <item m="1" x="312"/>
        <item m="1" x="214"/>
        <item m="1" x="254"/>
        <item m="1" x="200"/>
        <item m="1" x="300"/>
        <item m="1" x="282"/>
        <item m="1" x="324"/>
        <item m="1" x="196"/>
        <item m="1" x="253"/>
        <item m="1" x="251"/>
        <item m="1" x="267"/>
        <item m="1" x="325"/>
        <item m="1" x="268"/>
        <item m="1" x="289"/>
        <item m="1" x="270"/>
        <item m="1" x="290"/>
        <item m="1" x="263"/>
        <item m="1" x="179"/>
        <item m="1" x="226"/>
        <item m="1" x="227"/>
        <item m="1" x="228"/>
        <item m="1" x="224"/>
        <item m="1" x="335"/>
        <item m="1" x="297"/>
        <item m="1" x="316"/>
        <item m="1" x="211"/>
        <item m="1" x="215"/>
        <item m="1" x="182"/>
        <item m="1" x="223"/>
        <item m="1" x="332"/>
        <item m="1" x="317"/>
        <item m="1" x="311"/>
        <item m="1" x="329"/>
        <item m="1" x="306"/>
        <item m="1" x="255"/>
        <item m="1" x="310"/>
        <item m="1" x="313"/>
        <item m="1" x="230"/>
        <item m="1" x="109"/>
        <item m="1" x="286"/>
        <item m="1" x="321"/>
        <item m="1" x="279"/>
        <item m="1" x="323"/>
        <item m="1" x="238"/>
        <item m="1" x="293"/>
        <item m="1" x="277"/>
        <item m="1" x="292"/>
        <item m="1" x="216"/>
        <item m="1" x="298"/>
        <item m="1" x="201"/>
        <item m="1" x="294"/>
        <item m="1" x="284"/>
        <item m="1" x="299"/>
        <item m="1" x="327"/>
        <item m="1" x="181"/>
        <item m="1" x="328"/>
        <item m="1" x="304"/>
        <item m="1" x="307"/>
        <item m="1" x="291"/>
        <item m="1" x="296"/>
        <item m="1" x="330"/>
        <item m="1" x="314"/>
        <item m="1" x="288"/>
        <item m="1" x="198"/>
        <item m="1" x="176"/>
        <item m="1" x="249"/>
        <item m="1" x="334"/>
        <item m="1" x="302"/>
        <item m="1" x="309"/>
        <item m="1" x="281"/>
        <item m="1" x="184"/>
        <item m="1" x="303"/>
        <item m="1" x="276"/>
        <item m="1" x="273"/>
        <item m="1" x="274"/>
        <item m="1" x="271"/>
        <item m="1" x="272"/>
        <item m="1" x="269"/>
        <item m="1" x="265"/>
        <item m="1" x="264"/>
        <item m="1" x="178"/>
        <item m="1" x="252"/>
        <item m="1" x="261"/>
        <item m="1" x="260"/>
        <item m="1" x="257"/>
        <item m="1" x="258"/>
        <item m="1" x="259"/>
        <item m="1" x="218"/>
        <item m="1" x="237"/>
        <item m="1" x="248"/>
        <item m="1" x="190"/>
        <item m="1" x="250"/>
        <item m="1" x="244"/>
        <item m="1" x="245"/>
        <item m="1" x="246"/>
        <item m="1" x="247"/>
        <item m="1" x="241"/>
        <item m="1" x="242"/>
        <item m="1" x="243"/>
        <item m="1" x="239"/>
        <item m="1" x="240"/>
        <item m="1" x="202"/>
        <item m="1" x="231"/>
        <item m="1" x="232"/>
        <item m="1" x="233"/>
        <item m="1" x="234"/>
        <item m="1" x="235"/>
        <item m="1" x="229"/>
        <item m="1" x="221"/>
        <item m="1" x="222"/>
        <item m="1" x="225"/>
        <item m="1" x="217"/>
        <item m="1" x="219"/>
        <item m="1" x="220"/>
        <item m="1" x="134"/>
        <item m="1" x="212"/>
        <item m="1" x="213"/>
        <item m="1" x="210"/>
        <item m="1" x="199"/>
        <item m="1" x="203"/>
        <item m="1" x="204"/>
        <item m="1" x="208"/>
        <item m="1" x="113"/>
        <item m="1" x="209"/>
        <item m="1" x="205"/>
        <item m="1" x="206"/>
        <item m="1" x="207"/>
        <item m="1" x="191"/>
        <item m="1" x="192"/>
        <item m="1" x="193"/>
        <item m="1" x="194"/>
        <item m="1" x="195"/>
        <item m="1" x="197"/>
        <item m="1" x="168"/>
        <item m="1" x="173"/>
        <item m="1" x="180"/>
        <item m="1" x="183"/>
        <item m="1" x="185"/>
        <item m="1" x="186"/>
        <item m="1" x="187"/>
        <item m="1" x="188"/>
        <item m="1" x="189"/>
        <item m="1" x="177"/>
        <item m="1" x="175"/>
        <item m="1" x="174"/>
        <item m="1" x="149"/>
        <item m="1" x="144"/>
        <item m="1" x="129"/>
        <item m="1" x="169"/>
        <item m="1" x="170"/>
        <item m="1" x="172"/>
        <item m="1" x="171"/>
        <item m="1" x="167"/>
        <item m="1" x="100"/>
        <item m="1" x="101"/>
        <item m="1" x="49"/>
        <item m="1" x="44"/>
        <item m="1" x="110"/>
        <item m="1" x="69"/>
        <item m="1" x="70"/>
        <item m="1" x="164"/>
        <item m="1" x="165"/>
        <item m="1" x="138"/>
        <item m="1" x="105"/>
        <item m="1" x="99"/>
        <item m="1" x="166"/>
        <item m="1" x="159"/>
        <item m="1" x="160"/>
        <item m="1" x="161"/>
        <item m="1" x="59"/>
        <item x="5"/>
        <item m="1" x="162"/>
        <item m="1" x="18"/>
        <item m="1" x="163"/>
        <item m="1" x="29"/>
        <item m="1" x="73"/>
        <item m="1" x="150"/>
        <item x="6"/>
        <item m="1" x="27"/>
        <item m="1" x="151"/>
        <item m="1" x="146"/>
        <item m="1" x="37"/>
        <item m="1" x="158"/>
        <item m="1" x="133"/>
        <item m="1" x="152"/>
        <item m="1" x="153"/>
        <item m="1" x="154"/>
        <item m="1" x="155"/>
        <item m="1" x="156"/>
        <item m="1" x="157"/>
        <item m="1" x="98"/>
        <item m="1" x="97"/>
        <item m="1" x="135"/>
        <item m="1" x="132"/>
        <item m="1" x="75"/>
        <item m="1" x="96"/>
        <item m="1" x="9"/>
        <item m="1" x="145"/>
        <item m="1" x="147"/>
        <item m="1" x="148"/>
        <item m="1" x="136"/>
        <item m="1" x="137"/>
        <item m="1" x="16"/>
        <item m="1" x="139"/>
        <item m="1" x="140"/>
        <item m="1" x="141"/>
        <item m="1" x="142"/>
        <item m="1" x="143"/>
        <item m="1" x="130"/>
        <item m="1" x="131"/>
        <item m="1" x="26"/>
        <item m="1" x="128"/>
        <item m="1" x="125"/>
        <item m="1" x="126"/>
        <item m="1" x="104"/>
        <item m="1" x="127"/>
        <item m="1" x="120"/>
        <item m="1" x="123"/>
        <item m="1" x="60"/>
        <item m="1" x="124"/>
        <item m="1" x="72"/>
        <item m="1" x="103"/>
        <item m="1" x="122"/>
        <item m="1" x="121"/>
        <item m="1" x="115"/>
        <item m="1" x="116"/>
        <item m="1" x="117"/>
        <item x="7"/>
        <item m="1" x="119"/>
        <item m="1" x="118"/>
        <item m="1" x="94"/>
        <item m="1" x="95"/>
        <item m="1" x="114"/>
        <item m="1" x="111"/>
        <item m="1" x="112"/>
        <item m="1" x="108"/>
        <item m="1" x="58"/>
        <item m="1" x="107"/>
        <item m="1" x="102"/>
        <item m="1" x="65"/>
        <item m="1" x="77"/>
        <item m="1" x="106"/>
        <item x="8"/>
        <item m="1" x="85"/>
        <item m="1" x="93"/>
        <item m="1" x="78"/>
        <item m="1" x="57"/>
        <item m="1" x="87"/>
        <item m="1" x="88"/>
        <item m="1" x="89"/>
        <item m="1" x="90"/>
        <item m="1" x="91"/>
        <item m="1" x="92"/>
        <item m="1" x="66"/>
        <item m="1" x="67"/>
        <item m="1" x="68"/>
        <item m="1" x="23"/>
        <item m="1" x="45"/>
        <item m="1" x="74"/>
        <item m="1" x="76"/>
        <item m="1" x="14"/>
        <item m="1" x="86"/>
        <item m="1" x="79"/>
        <item m="1" x="80"/>
        <item m="1" x="61"/>
        <item m="1" x="81"/>
        <item m="1" x="82"/>
        <item m="1" x="83"/>
        <item m="1" x="84"/>
        <item m="1" x="11"/>
        <item m="1" x="50"/>
        <item m="1" x="13"/>
        <item m="1" x="54"/>
        <item m="1" x="55"/>
        <item m="1" x="71"/>
        <item m="1" x="62"/>
        <item m="1" x="20"/>
        <item m="1" x="63"/>
        <item m="1" x="64"/>
        <item m="1" x="39"/>
        <item m="1" x="21"/>
        <item m="1" x="30"/>
        <item m="1" x="51"/>
        <item m="1" x="52"/>
        <item m="1" x="53"/>
        <item m="1" x="56"/>
        <item m="1" x="46"/>
        <item m="1" x="47"/>
        <item m="1" x="48"/>
        <item m="1" x="36"/>
        <item m="1" x="40"/>
        <item m="1" x="41"/>
        <item m="1" x="42"/>
        <item m="1" x="43"/>
        <item m="1" x="38"/>
        <item m="1" x="24"/>
        <item m="1" x="25"/>
        <item m="1" x="33"/>
        <item m="1" x="34"/>
        <item m="1" x="35"/>
        <item m="1" x="31"/>
        <item m="1" x="32"/>
        <item m="1" x="28"/>
        <item m="1" x="15"/>
        <item m="1" x="19"/>
        <item m="1" x="22"/>
        <item m="1" x="17"/>
        <item x="3"/>
        <item m="1" x="10"/>
        <item m="1" x="12"/>
      </items>
    </pivotField>
    <pivotField name="FIN EMB. / LIV." axis="axisRow" compact="0" outline="0" showAll="0" defaultSubtotal="0">
      <items count="676">
        <item m="1" x="572"/>
        <item m="1" x="500"/>
        <item m="1" x="591"/>
        <item m="1" x="493"/>
        <item m="1" x="509"/>
        <item m="1" x="617"/>
        <item m="1" x="516"/>
        <item m="1" x="671"/>
        <item m="1" x="631"/>
        <item m="1" x="612"/>
        <item m="1" x="501"/>
        <item m="1" x="483"/>
        <item m="1" x="582"/>
        <item m="1" x="532"/>
        <item m="1" x="590"/>
        <item m="1" x="563"/>
        <item m="1" x="629"/>
        <item m="1" x="502"/>
        <item m="1" x="593"/>
        <item m="1" x="495"/>
        <item m="1" x="588"/>
        <item m="1" x="510"/>
        <item m="1" x="614"/>
        <item m="1" x="553"/>
        <item m="1" x="522"/>
        <item m="1" x="604"/>
        <item m="1" x="669"/>
        <item m="1" x="655"/>
        <item m="1" x="528"/>
        <item m="1" x="620"/>
        <item m="1" x="467"/>
        <item m="1" x="633"/>
        <item m="1" x="656"/>
        <item m="1" x="583"/>
        <item m="1" x="589"/>
        <item m="1" x="623"/>
        <item m="1" x="468"/>
        <item m="1" x="584"/>
        <item m="1" x="673"/>
        <item m="1" x="662"/>
        <item m="1" x="624"/>
        <item m="1" x="498"/>
        <item m="1" x="565"/>
        <item m="1" x="479"/>
        <item m="1" x="469"/>
        <item m="1" x="569"/>
        <item m="1" x="566"/>
        <item m="1" x="560"/>
        <item x="0"/>
        <item x="17"/>
        <item m="1" x="625"/>
        <item m="1" x="650"/>
        <item m="1" x="610"/>
        <item m="1" x="674"/>
        <item m="1" x="519"/>
        <item m="1" x="626"/>
        <item m="1" x="619"/>
        <item m="1" x="463"/>
        <item m="1" x="646"/>
        <item m="1" x="654"/>
        <item m="1" x="508"/>
        <item m="1" x="533"/>
        <item m="1" x="515"/>
        <item m="1" x="594"/>
        <item m="1" x="592"/>
        <item m="1" x="546"/>
        <item m="1" x="484"/>
        <item m="1" x="496"/>
        <item m="1" x="534"/>
        <item m="1" x="575"/>
        <item m="1" x="535"/>
        <item m="1" x="605"/>
        <item m="1" x="627"/>
        <item m="1" x="465"/>
        <item m="1" x="460"/>
        <item m="1" x="602"/>
        <item m="1" x="464"/>
        <item m="1" x="564"/>
        <item m="1" x="541"/>
        <item m="1" x="471"/>
        <item m="1" x="561"/>
        <item m="1" x="642"/>
        <item m="1" x="551"/>
        <item m="1" x="477"/>
        <item m="1" x="667"/>
        <item m="1" x="559"/>
        <item m="1" x="616"/>
        <item m="1" x="488"/>
        <item m="1" x="657"/>
        <item m="1" x="607"/>
        <item m="1" x="587"/>
        <item m="1" x="457"/>
        <item m="1" x="558"/>
        <item m="1" x="603"/>
        <item m="1" x="660"/>
        <item m="1" x="531"/>
        <item m="1" x="643"/>
        <item m="1" x="664"/>
        <item m="1" x="544"/>
        <item m="1" x="599"/>
        <item m="1" x="585"/>
        <item m="1" x="552"/>
        <item m="1" x="513"/>
        <item m="1" x="579"/>
        <item m="1" x="520"/>
        <item m="1" x="486"/>
        <item m="1" x="601"/>
        <item m="1" x="475"/>
        <item m="1" x="647"/>
        <item m="1" x="487"/>
        <item m="1" x="540"/>
        <item m="1" x="665"/>
        <item m="1" x="651"/>
        <item m="1" x="621"/>
        <item m="1" x="644"/>
        <item m="1" x="641"/>
        <item m="1" x="577"/>
        <item m="1" x="555"/>
        <item m="1" x="652"/>
        <item m="1" x="527"/>
        <item m="1" x="459"/>
        <item m="1" x="580"/>
        <item m="1" x="670"/>
        <item m="1" x="542"/>
        <item m="1" x="470"/>
        <item m="1" x="658"/>
        <item m="1" x="636"/>
        <item m="1" x="545"/>
        <item m="1" x="632"/>
        <item m="1" x="526"/>
        <item m="1" x="517"/>
        <item m="1" x="666"/>
        <item m="1" x="537"/>
        <item m="1" x="618"/>
        <item m="1" x="570"/>
        <item m="1" x="512"/>
        <item m="1" x="543"/>
        <item m="1" x="507"/>
        <item m="1" x="598"/>
        <item m="1" x="548"/>
        <item m="1" x="611"/>
        <item m="1" x="672"/>
        <item m="1" x="573"/>
        <item m="1" x="454"/>
        <item m="1" x="640"/>
        <item m="1" x="503"/>
        <item m="1" x="549"/>
        <item m="1" x="476"/>
        <item m="1" x="576"/>
        <item m="1" x="595"/>
        <item m="1" x="462"/>
        <item m="1" x="523"/>
        <item m="1" x="550"/>
        <item m="1" x="648"/>
        <item m="1" x="638"/>
        <item m="1" x="485"/>
        <item m="1" x="556"/>
        <item m="1" x="606"/>
        <item m="1" x="668"/>
        <item m="1" x="505"/>
        <item m="1" x="521"/>
        <item m="1" x="645"/>
        <item m="1" x="554"/>
        <item m="1" x="630"/>
        <item m="1" x="536"/>
        <item m="1" x="504"/>
        <item m="1" x="675"/>
        <item m="1" x="455"/>
        <item m="1" x="578"/>
        <item m="1" x="639"/>
        <item m="1" x="628"/>
        <item m="1" x="622"/>
        <item m="1" x="525"/>
        <item m="1" x="635"/>
        <item m="1" x="574"/>
        <item m="1" x="661"/>
        <item m="1" x="514"/>
        <item m="1" x="529"/>
        <item m="1" x="458"/>
        <item m="1" x="615"/>
        <item m="1" x="637"/>
        <item m="1" x="524"/>
        <item m="1" x="480"/>
        <item m="1" x="538"/>
        <item m="1" x="596"/>
        <item x="1"/>
        <item m="1" x="489"/>
        <item m="1" x="586"/>
        <item m="1" x="481"/>
        <item m="1" x="518"/>
        <item m="1" x="663"/>
        <item m="1" x="466"/>
        <item m="1" x="567"/>
        <item m="1" x="571"/>
        <item m="1" x="478"/>
        <item m="1" x="419"/>
        <item m="1" x="539"/>
        <item m="1" x="443"/>
        <item m="1" x="420"/>
        <item m="1" x="408"/>
        <item m="1" x="422"/>
        <item m="1" x="597"/>
        <item m="1" x="414"/>
        <item m="1" x="447"/>
        <item m="1" x="409"/>
        <item m="1" x="398"/>
        <item m="1" x="415"/>
        <item m="1" x="634"/>
        <item m="1" x="600"/>
        <item m="1" x="384"/>
        <item m="1" x="359"/>
        <item m="1" x="344"/>
        <item m="1" x="349"/>
        <item m="1" x="391"/>
        <item m="1" x="339"/>
        <item m="1" x="341"/>
        <item m="1" x="417"/>
        <item m="1" x="286"/>
        <item m="1" x="295"/>
        <item m="1" x="279"/>
        <item m="1" x="249"/>
        <item m="1" x="547"/>
        <item m="1" x="151"/>
        <item m="1" x="229"/>
        <item m="1" x="187"/>
        <item m="1" x="144"/>
        <item m="1" x="142"/>
        <item m="1" x="202"/>
        <item m="1" x="182"/>
        <item m="1" x="200"/>
        <item m="1" x="167"/>
        <item m="1" x="246"/>
        <item m="1" x="175"/>
        <item m="1" x="494"/>
        <item m="1" x="152"/>
        <item m="1" x="153"/>
        <item m="1" x="608"/>
        <item m="1" x="562"/>
        <item m="1" x="581"/>
        <item m="1" x="649"/>
        <item m="1" x="499"/>
        <item m="1" x="653"/>
        <item m="1" x="423"/>
        <item m="1" x="461"/>
        <item m="1" x="482"/>
        <item m="1" x="490"/>
        <item m="1" x="413"/>
        <item m="1" x="438"/>
        <item m="1" x="557"/>
        <item m="1" x="456"/>
        <item m="1" x="473"/>
        <item m="1" x="427"/>
        <item m="1" x="448"/>
        <item m="1" x="439"/>
        <item m="1" x="433"/>
        <item m="1" x="361"/>
        <item m="1" x="430"/>
        <item m="1" x="400"/>
        <item m="1" x="491"/>
        <item m="1" x="401"/>
        <item m="1" x="375"/>
        <item m="1" x="389"/>
        <item m="1" x="659"/>
        <item m="1" x="428"/>
        <item m="1" x="393"/>
        <item m="1" x="346"/>
        <item m="1" x="323"/>
        <item m="1" x="331"/>
        <item m="1" x="284"/>
        <item m="1" x="269"/>
        <item m="1" x="371"/>
        <item m="1" x="472"/>
        <item m="1" x="395"/>
        <item m="1" x="372"/>
        <item m="1" x="362"/>
        <item m="1" x="383"/>
        <item m="1" x="347"/>
        <item m="1" x="453"/>
        <item m="1" x="394"/>
        <item m="1" x="367"/>
        <item m="1" x="429"/>
        <item m="1" x="354"/>
        <item m="1" x="530"/>
        <item m="1" x="451"/>
        <item m="1" x="410"/>
        <item m="1" x="432"/>
        <item m="1" x="363"/>
        <item m="1" x="366"/>
        <item m="1" x="405"/>
        <item m="1" x="402"/>
        <item m="1" x="407"/>
        <item m="1" x="285"/>
        <item m="1" x="337"/>
        <item m="1" x="365"/>
        <item m="1" x="342"/>
        <item m="1" x="324"/>
        <item m="1" x="326"/>
        <item m="1" x="568"/>
        <item m="1" x="351"/>
        <item m="1" x="390"/>
        <item m="1" x="497"/>
        <item m="1" x="308"/>
        <item m="1" x="311"/>
        <item m="1" x="270"/>
        <item m="1" x="219"/>
        <item m="1" x="431"/>
        <item m="1" x="406"/>
        <item m="1" x="424"/>
        <item m="1" x="397"/>
        <item m="1" x="307"/>
        <item m="1" x="291"/>
        <item m="1" x="368"/>
        <item m="1" x="386"/>
        <item m="1" x="404"/>
        <item m="1" x="396"/>
        <item m="1" x="356"/>
        <item m="1" x="316"/>
        <item m="1" x="377"/>
        <item m="1" x="474"/>
        <item m="1" x="250"/>
        <item m="1" x="388"/>
        <item m="1" x="329"/>
        <item m="1" x="609"/>
        <item m="1" x="303"/>
        <item m="1" x="506"/>
        <item m="1" x="241"/>
        <item m="1" x="352"/>
        <item m="1" x="353"/>
        <item m="1" x="245"/>
        <item m="1" x="336"/>
        <item m="1" x="421"/>
        <item m="1" x="411"/>
        <item m="1" x="613"/>
        <item m="1" x="392"/>
        <item m="1" x="350"/>
        <item m="1" x="374"/>
        <item m="1" x="310"/>
        <item m="1" x="268"/>
        <item m="1" x="492"/>
        <item m="1" x="511"/>
        <item m="1" x="440"/>
        <item m="1" x="315"/>
        <item m="1" x="452"/>
        <item m="1" x="357"/>
        <item m="1" x="358"/>
        <item m="1" x="381"/>
        <item m="1" x="348"/>
        <item m="1" x="449"/>
        <item m="1" x="360"/>
        <item m="1" x="387"/>
        <item m="1" x="364"/>
        <item m="1" x="425"/>
        <item m="1" x="426"/>
        <item m="1" x="437"/>
        <item m="1" x="399"/>
        <item m="1" x="442"/>
        <item m="1" x="382"/>
        <item m="1" x="450"/>
        <item m="1" x="444"/>
        <item m="1" x="445"/>
        <item m="1" x="435"/>
        <item m="1" x="446"/>
        <item m="1" x="434"/>
        <item m="1" x="385"/>
        <item m="1" x="436"/>
        <item m="1" x="441"/>
        <item m="1" x="380"/>
        <item m="1" x="373"/>
        <item m="1" x="340"/>
        <item m="1" x="416"/>
        <item m="1" x="370"/>
        <item m="1" x="333"/>
        <item m="1" x="330"/>
        <item m="1" x="412"/>
        <item m="1" x="318"/>
        <item m="1" x="314"/>
        <item m="1" x="335"/>
        <item m="1" x="312"/>
        <item m="1" x="297"/>
        <item m="1" x="299"/>
        <item m="1" x="265"/>
        <item m="1" x="418"/>
        <item m="1" x="306"/>
        <item m="1" x="325"/>
        <item m="1" x="302"/>
        <item m="1" x="264"/>
        <item m="1" x="338"/>
        <item m="1" x="319"/>
        <item m="1" x="332"/>
        <item m="1" x="252"/>
        <item m="1" x="218"/>
        <item m="1" x="244"/>
        <item m="1" x="293"/>
        <item m="1" x="328"/>
        <item m="1" x="334"/>
        <item m="1" x="301"/>
        <item m="1" x="288"/>
        <item m="1" x="248"/>
        <item m="1" x="267"/>
        <item m="1" x="403"/>
        <item m="1" x="215"/>
        <item m="1" x="191"/>
        <item m="1" x="146"/>
        <item m="1" x="220"/>
        <item m="1" x="179"/>
        <item m="1" x="123"/>
        <item m="1" x="128"/>
        <item m="1" x="217"/>
        <item m="1" x="106"/>
        <item m="1" x="25"/>
        <item m="1" x="247"/>
        <item m="1" x="369"/>
        <item m="1" x="355"/>
        <item m="1" x="327"/>
        <item m="1" x="345"/>
        <item m="1" x="376"/>
        <item m="1" x="280"/>
        <item m="1" x="378"/>
        <item m="1" x="379"/>
        <item m="1" x="211"/>
        <item m="1" x="172"/>
        <item m="1" x="243"/>
        <item m="1" x="199"/>
        <item m="1" x="313"/>
        <item m="1" x="296"/>
        <item m="1" x="278"/>
        <item m="1" x="251"/>
        <item m="1" x="204"/>
        <item m="1" x="292"/>
        <item m="1" x="320"/>
        <item m="1" x="262"/>
        <item m="1" x="235"/>
        <item m="1" x="227"/>
        <item m="1" x="309"/>
        <item m="1" x="263"/>
        <item m="1" x="343"/>
        <item m="1" x="283"/>
        <item m="1" x="304"/>
        <item m="1" x="321"/>
        <item m="1" x="317"/>
        <item m="1" x="322"/>
        <item m="1" x="294"/>
        <item m="1" x="298"/>
        <item m="1" x="305"/>
        <item m="1" x="232"/>
        <item m="1" x="222"/>
        <item m="1" x="138"/>
        <item m="1" x="155"/>
        <item m="1" x="300"/>
        <item m="1" x="208"/>
        <item m="1" x="148"/>
        <item m="1" x="206"/>
        <item m="1" x="122"/>
        <item m="1" x="192"/>
        <item m="1" x="143"/>
        <item m="1" x="131"/>
        <item m="1" x="105"/>
        <item m="1" x="145"/>
        <item m="1" x="140"/>
        <item m="1" x="139"/>
        <item m="1" x="87"/>
        <item m="1" x="290"/>
        <item m="1" x="289"/>
        <item m="1" x="287"/>
        <item m="1" x="201"/>
        <item m="1" x="104"/>
        <item m="1" x="233"/>
        <item m="1" x="90"/>
        <item m="1" x="226"/>
        <item m="1" x="157"/>
        <item m="1" x="137"/>
        <item m="1" x="141"/>
        <item m="1" x="281"/>
        <item m="1" x="177"/>
        <item m="1" x="35"/>
        <item m="1" x="197"/>
        <item m="1" x="282"/>
        <item m="1" x="266"/>
        <item m="1" x="193"/>
        <item m="1" x="150"/>
        <item m="1" x="116"/>
        <item x="6"/>
        <item m="1" x="54"/>
        <item m="1" x="41"/>
        <item m="1" x="277"/>
        <item m="1" x="57"/>
        <item m="1" x="149"/>
        <item m="1" x="47"/>
        <item x="9"/>
        <item m="1" x="55"/>
        <item m="1" x="69"/>
        <item m="1" x="260"/>
        <item m="1" x="83"/>
        <item m="1" x="276"/>
        <item m="1" x="124"/>
        <item m="1" x="86"/>
        <item x="18"/>
        <item m="1" x="271"/>
        <item m="1" x="272"/>
        <item m="1" x="273"/>
        <item m="1" x="274"/>
        <item m="1" x="275"/>
        <item m="1" x="214"/>
        <item m="1" x="194"/>
        <item m="1" x="254"/>
        <item m="1" x="225"/>
        <item m="1" x="242"/>
        <item m="1" x="209"/>
        <item m="1" x="162"/>
        <item m="1" x="77"/>
        <item m="1" x="190"/>
        <item m="1" x="20"/>
        <item m="1" x="92"/>
        <item m="1" x="38"/>
        <item m="1" x="261"/>
        <item m="1" x="213"/>
        <item m="1" x="80"/>
        <item m="1" x="52"/>
        <item m="1" x="30"/>
        <item m="1" x="255"/>
        <item m="1" x="256"/>
        <item m="1" x="257"/>
        <item m="1" x="258"/>
        <item m="1" x="259"/>
        <item m="1" x="253"/>
        <item m="1" x="239"/>
        <item m="1" x="178"/>
        <item m="1" x="240"/>
        <item m="1" x="49"/>
        <item m="1" x="132"/>
        <item m="1" x="88"/>
        <item m="1" x="236"/>
        <item m="1" x="221"/>
        <item m="1" x="224"/>
        <item m="1" x="195"/>
        <item m="1" x="133"/>
        <item m="1" x="198"/>
        <item m="1" x="231"/>
        <item m="1" x="171"/>
        <item m="1" x="121"/>
        <item x="15"/>
        <item m="1" x="181"/>
        <item m="1" x="127"/>
        <item m="1" x="238"/>
        <item m="1" x="156"/>
        <item m="1" x="237"/>
        <item m="1" x="174"/>
        <item m="1" x="203"/>
        <item x="10"/>
        <item x="14"/>
        <item m="1" x="234"/>
        <item m="1" x="163"/>
        <item m="1" x="184"/>
        <item m="1" x="228"/>
        <item m="1" x="186"/>
        <item m="1" x="230"/>
        <item m="1" x="78"/>
        <item m="1" x="185"/>
        <item m="1" x="120"/>
        <item m="1" x="223"/>
        <item m="1" x="188"/>
        <item m="1" x="176"/>
        <item m="1" x="189"/>
        <item m="1" x="183"/>
        <item m="1" x="169"/>
        <item m="1" x="216"/>
        <item m="1" x="212"/>
        <item m="1" x="161"/>
        <item m="1" x="114"/>
        <item m="1" x="207"/>
        <item x="13"/>
        <item m="1" x="210"/>
        <item m="1" x="126"/>
        <item m="1" x="113"/>
        <item x="11"/>
        <item m="1" x="205"/>
        <item m="1" x="166"/>
        <item m="1" x="40"/>
        <item m="1" x="125"/>
        <item m="1" x="154"/>
        <item m="1" x="170"/>
        <item m="1" x="136"/>
        <item x="8"/>
        <item m="1" x="196"/>
        <item m="1" x="110"/>
        <item m="1" x="91"/>
        <item m="1" x="111"/>
        <item m="1" x="173"/>
        <item m="1" x="100"/>
        <item m="1" x="48"/>
        <item m="1" x="61"/>
        <item m="1" x="134"/>
        <item m="1" x="115"/>
        <item m="1" x="180"/>
        <item m="1" x="119"/>
        <item m="1" x="164"/>
        <item x="4"/>
        <item m="1" x="29"/>
        <item m="1" x="168"/>
        <item m="1" x="79"/>
        <item m="1" x="107"/>
        <item m="1" x="159"/>
        <item m="1" x="160"/>
        <item m="1" x="76"/>
        <item m="1" x="26"/>
        <item m="1" x="97"/>
        <item m="1" x="158"/>
        <item m="1" x="147"/>
        <item x="3"/>
        <item m="1" x="27"/>
        <item m="1" x="81"/>
        <item m="1" x="21"/>
        <item m="1" x="46"/>
        <item x="7"/>
        <item m="1" x="165"/>
        <item m="1" x="22"/>
        <item m="1" x="135"/>
        <item m="1" x="75"/>
        <item m="1" x="24"/>
        <item m="1" x="117"/>
        <item m="1" x="82"/>
        <item m="1" x="129"/>
        <item m="1" x="43"/>
        <item m="1" x="66"/>
        <item m="1" x="130"/>
        <item m="1" x="85"/>
        <item m="1" x="44"/>
        <item m="1" x="112"/>
        <item m="1" x="58"/>
        <item m="1" x="51"/>
        <item m="1" x="37"/>
        <item m="1" x="63"/>
        <item m="1" x="108"/>
        <item m="1" x="109"/>
        <item m="1" x="118"/>
        <item m="1" x="89"/>
        <item m="1" x="98"/>
        <item m="1" x="99"/>
        <item m="1" x="102"/>
        <item m="1" x="101"/>
        <item m="1" x="103"/>
        <item m="1" x="23"/>
        <item m="1" x="74"/>
        <item m="1" x="93"/>
        <item m="1" x="94"/>
        <item m="1" x="95"/>
        <item m="1" x="96"/>
        <item m="1" x="50"/>
        <item m="1" x="84"/>
        <item m="1" x="45"/>
        <item m="1" x="68"/>
        <item x="19"/>
        <item m="1" x="70"/>
        <item m="1" x="71"/>
        <item m="1" x="72"/>
        <item m="1" x="73"/>
        <item m="1" x="67"/>
        <item m="1" x="62"/>
        <item m="1" x="64"/>
        <item m="1" x="65"/>
        <item m="1" x="60"/>
        <item m="1" x="53"/>
        <item m="1" x="56"/>
        <item m="1" x="59"/>
        <item m="1" x="28"/>
        <item m="1" x="39"/>
        <item m="1" x="33"/>
        <item m="1" x="34"/>
        <item m="1" x="42"/>
        <item m="1" x="36"/>
        <item m="1" x="31"/>
        <item m="1" x="32"/>
        <item x="2"/>
        <item x="5"/>
        <item x="12"/>
        <item x="16"/>
      </items>
    </pivotField>
    <pivotField compact="0" outline="0" showAll="0"/>
  </pivotFields>
  <rowFields count="20">
    <field x="0"/>
    <field x="2"/>
    <field x="1"/>
    <field x="14"/>
    <field x="24"/>
    <field x="3"/>
    <field x="43"/>
    <field x="44"/>
    <field x="51"/>
    <field x="52"/>
    <field x="45"/>
    <field x="46"/>
    <field x="47"/>
    <field x="48"/>
    <field x="49"/>
    <field x="50"/>
    <field x="54"/>
    <field x="57"/>
    <field x="58"/>
    <field x="59"/>
  </rowFields>
  <rowItems count="19">
    <i>
      <x/>
      <x v="3"/>
      <x v="58"/>
      <x v="1"/>
      <x v="478"/>
      <x v="113"/>
      <x v="1"/>
      <x v="1"/>
      <x v="1"/>
      <x v="1"/>
      <x v="49"/>
      <x v="1"/>
    </i>
    <i>
      <x v="1"/>
      <x v="6"/>
      <x v="42"/>
      <x v="75"/>
      <x v="454"/>
      <x v="134"/>
      <x v="1"/>
      <x v="1"/>
      <x v="1"/>
      <x v="1"/>
      <x v="49"/>
      <x v="1"/>
    </i>
    <i>
      <x v="2"/>
      <x v="3"/>
      <x v="64"/>
      <x v="269"/>
      <x v="466"/>
      <x v="130"/>
      <x v="1"/>
      <x v="557"/>
      <x v="544"/>
      <x v="1"/>
      <x v="450"/>
      <x v="239"/>
      <x v="497"/>
      <x v="1"/>
      <x v="1"/>
      <x v="564"/>
      <x v="637"/>
      <x v="1"/>
      <x v="26"/>
      <x v="596"/>
    </i>
    <i>
      <x v="3"/>
      <x v="3"/>
      <x v="43"/>
      <x v="270"/>
      <x v="467"/>
      <x v="130"/>
      <x v="1"/>
      <x v="558"/>
      <x v="562"/>
      <x v="440"/>
      <x v="450"/>
      <x v="239"/>
      <x v="497"/>
      <x v="1"/>
      <x v="1"/>
      <x v="438"/>
      <x v="499"/>
      <x v="1"/>
      <x v="26"/>
      <x v="673"/>
    </i>
    <i>
      <x v="4"/>
      <x v="2"/>
      <x v="59"/>
      <x v="271"/>
      <x v="468"/>
      <x v="132"/>
      <x v="1"/>
      <x v="520"/>
      <x v="524"/>
      <x v="440"/>
      <x v="538"/>
      <x v="246"/>
      <x v="521"/>
      <x v="1"/>
      <x v="1"/>
      <x v="582"/>
      <x v="638"/>
      <x v="284"/>
      <x v="198"/>
      <x v="481"/>
    </i>
    <i>
      <x v="5"/>
      <x v="3"/>
      <x v="65"/>
      <x v="264"/>
      <x v="450"/>
      <x v="113"/>
      <x v="269"/>
      <x v="537"/>
      <x v="516"/>
      <x v="476"/>
      <x v="455"/>
      <x v="264"/>
      <x v="510"/>
      <x v="1"/>
      <x v="206"/>
      <x v="544"/>
      <x v="516"/>
      <x v="1"/>
      <x v="26"/>
      <x v="613"/>
    </i>
    <i>
      <x v="6"/>
      <x v="3"/>
      <x v="41"/>
      <x v="211"/>
      <x v="469"/>
      <x v="110"/>
      <x v="268"/>
      <x v="559"/>
      <x v="1"/>
      <x v="1"/>
      <x v="49"/>
      <x v="1"/>
    </i>
    <i>
      <x v="7"/>
      <x v="5"/>
      <x v="60"/>
      <x v="125"/>
      <x v="162"/>
      <x v="139"/>
      <x v="268"/>
      <x v="559"/>
      <x v="535"/>
      <x v="474"/>
      <x v="560"/>
      <x v="264"/>
      <x v="554"/>
      <x v="1"/>
      <x v="206"/>
      <x v="580"/>
      <x v="572"/>
      <x v="174"/>
      <x v="205"/>
      <x v="488"/>
    </i>
    <i>
      <x v="8"/>
      <x v="5"/>
      <x v="61"/>
      <x v="127"/>
      <x v="164"/>
      <x v="139"/>
      <x v="270"/>
      <x v="493"/>
      <x v="342"/>
      <x v="474"/>
      <x v="504"/>
      <x v="240"/>
      <x v="412"/>
      <x v="1"/>
      <x v="206"/>
      <x v="583"/>
      <x v="639"/>
      <x v="182"/>
      <x v="255"/>
      <x v="548"/>
    </i>
    <i>
      <x v="9"/>
      <x v="5"/>
      <x v="62"/>
      <x v="128"/>
      <x v="165"/>
      <x v="139"/>
      <x v="270"/>
      <x v="535"/>
      <x v="593"/>
      <x v="477"/>
      <x v="566"/>
      <x v="267"/>
      <x v="475"/>
      <x v="1"/>
      <x v="1"/>
      <x v="583"/>
      <x v="639"/>
      <x v="312"/>
      <x v="270"/>
      <x v="574"/>
    </i>
    <i>
      <x v="10"/>
      <x v="3"/>
      <x v="48"/>
      <x v="155"/>
      <x v="465"/>
      <x v="135"/>
      <x v="1"/>
      <x v="535"/>
      <x v="593"/>
      <x v="1"/>
      <x v="566"/>
      <x v="268"/>
      <x v="1"/>
      <x v="1"/>
      <x v="206"/>
      <x v="583"/>
      <x v="639"/>
      <x v="1"/>
      <x v="26"/>
      <x v="674"/>
    </i>
    <i>
      <x v="11"/>
      <x v="2"/>
      <x v="46"/>
      <x v="272"/>
      <x v="470"/>
      <x v="132"/>
      <x v="1"/>
      <x v="539"/>
      <x v="435"/>
      <x v="477"/>
      <x v="221"/>
      <x v="269"/>
      <x v="530"/>
      <x v="1"/>
      <x v="207"/>
      <x v="561"/>
      <x v="579"/>
      <x v="1"/>
      <x v="26"/>
      <x v="570"/>
    </i>
    <i>
      <x v="12"/>
      <x v="3"/>
      <x v="44"/>
      <x v="273"/>
      <x v="471"/>
      <x v="113"/>
      <x v="266"/>
      <x v="504"/>
      <x v="446"/>
      <x v="477"/>
      <x v="567"/>
      <x v="269"/>
      <x v="530"/>
      <x v="195"/>
      <x v="1"/>
      <x v="584"/>
      <x v="640"/>
      <x v="1"/>
      <x v="26"/>
      <x v="549"/>
    </i>
    <i>
      <x v="13"/>
      <x v="3"/>
      <x v="47"/>
      <x v="263"/>
      <x v="449"/>
      <x v="113"/>
      <x v="223"/>
      <x v="1"/>
      <x v="577"/>
      <x v="478"/>
      <x v="568"/>
      <x v="257"/>
      <x v="414"/>
      <x v="1"/>
      <x v="1"/>
      <x v="521"/>
      <x v="580"/>
      <x v="1"/>
      <x v="26"/>
      <x v="540"/>
    </i>
    <i>
      <x v="14"/>
      <x v="2"/>
      <x v="45"/>
      <x v="254"/>
      <x v="477"/>
      <x v="121"/>
      <x v="1"/>
      <x v="545"/>
      <x v="590"/>
      <x v="479"/>
      <x v="543"/>
      <x v="270"/>
      <x v="552"/>
      <x v="1"/>
      <x v="1"/>
      <x v="585"/>
      <x v="641"/>
      <x v="1"/>
      <x v="26"/>
      <x v="548"/>
    </i>
    <i>
      <x v="15"/>
      <x v="3"/>
      <x v="49"/>
      <x v="274"/>
      <x v="473"/>
      <x v="136"/>
      <x v="271"/>
      <x v="560"/>
      <x v="594"/>
      <x v="1"/>
      <x v="543"/>
      <x v="271"/>
      <x v="555"/>
      <x v="196"/>
      <x v="207"/>
      <x v="571"/>
      <x v="642"/>
      <x v="1"/>
      <x v="26"/>
      <x v="574"/>
    </i>
    <i>
      <x v="16"/>
      <x v="3"/>
      <x v="49"/>
      <x v="275"/>
      <x v="474"/>
      <x v="136"/>
      <x v="271"/>
      <x v="501"/>
      <x v="595"/>
      <x v="480"/>
      <x v="558"/>
      <x v="243"/>
      <x v="556"/>
      <x v="1"/>
      <x v="207"/>
      <x v="586"/>
      <x v="643"/>
      <x v="1"/>
      <x v="26"/>
      <x v="675"/>
    </i>
    <i>
      <x v="18"/>
      <x v="3"/>
      <x v="63"/>
      <x v="191"/>
      <x v="475"/>
      <x v="137"/>
      <x v="272"/>
      <x v="561"/>
      <x v="596"/>
      <x v="480"/>
      <x v="569"/>
      <x v="243"/>
      <x v="556"/>
      <x v="194"/>
      <x v="1"/>
      <x v="440"/>
      <x v="463"/>
      <x v="1"/>
      <x v="26"/>
      <x v="496"/>
    </i>
    <i>
      <x v="19"/>
      <x v="3"/>
      <x v="63"/>
      <x v="276"/>
      <x v="476"/>
      <x v="137"/>
      <x v="272"/>
      <x v="326"/>
      <x v="597"/>
      <x v="481"/>
      <x v="570"/>
      <x v="272"/>
      <x v="557"/>
      <x v="197"/>
      <x v="207"/>
      <x v="441"/>
      <x v="465"/>
      <x v="1"/>
      <x v="26"/>
      <x v="651"/>
    </i>
  </rowItems>
  <colItems count="1">
    <i/>
  </colItems>
  <pageFields count="1">
    <pageField fld="4" hier="-1"/>
  </pageFields>
  <formats count="81">
    <format dxfId="83">
      <pivotArea dataOnly="0" labelOnly="1" outline="0" fieldPosition="0">
        <references count="1">
          <reference field="24" count="0"/>
        </references>
      </pivotArea>
    </format>
    <format dxfId="82">
      <pivotArea dataOnly="0" labelOnly="1" outline="0" fieldPosition="0">
        <references count="1">
          <reference field="14" count="0"/>
        </references>
      </pivotArea>
    </format>
    <format dxfId="81">
      <pivotArea dataOnly="0" labelOnly="1" outline="0" fieldPosition="0">
        <references count="1">
          <reference field="3" count="0"/>
        </references>
      </pivotArea>
    </format>
    <format dxfId="80">
      <pivotArea dataOnly="0" labelOnly="1" outline="0" fieldPosition="0">
        <references count="1">
          <reference field="43" count="0"/>
        </references>
      </pivotArea>
    </format>
    <format dxfId="79">
      <pivotArea dataOnly="0" labelOnly="1" outline="0" fieldPosition="0">
        <references count="1">
          <reference field="44" count="0"/>
        </references>
      </pivotArea>
    </format>
    <format dxfId="78">
      <pivotArea type="all" dataOnly="0" outline="0" fieldPosition="0"/>
    </format>
    <format dxfId="77">
      <pivotArea outline="0" collapsedLevelsAreSubtotals="1" fieldPosition="0"/>
    </format>
    <format dxfId="76">
      <pivotArea type="origin" dataOnly="0" labelOnly="1" outline="0" fieldPosition="0"/>
    </format>
    <format dxfId="75">
      <pivotArea field="0" type="button" dataOnly="0" labelOnly="1" outline="0" axis="axisRow" fieldPosition="0"/>
    </format>
    <format dxfId="74">
      <pivotArea field="2" type="button" dataOnly="0" labelOnly="1" outline="0" axis="axisRow" fieldPosition="1"/>
    </format>
    <format dxfId="73">
      <pivotArea field="1" type="button" dataOnly="0" labelOnly="1" outline="0" axis="axisRow" fieldPosition="2"/>
    </format>
    <format dxfId="72">
      <pivotArea field="14" type="button" dataOnly="0" labelOnly="1" outline="0" axis="axisRow" fieldPosition="3"/>
    </format>
    <format dxfId="71">
      <pivotArea field="24" type="button" dataOnly="0" labelOnly="1" outline="0" axis="axisRow" fieldPosition="4"/>
    </format>
    <format dxfId="70">
      <pivotArea field="3" type="button" dataOnly="0" labelOnly="1" outline="0" axis="axisRow" fieldPosition="5"/>
    </format>
    <format dxfId="69">
      <pivotArea field="43" type="button" dataOnly="0" labelOnly="1" outline="0" axis="axisRow" fieldPosition="6"/>
    </format>
    <format dxfId="68">
      <pivotArea field="44" type="button" dataOnly="0" labelOnly="1" outline="0" axis="axisRow" fieldPosition="7"/>
    </format>
    <format dxfId="67">
      <pivotArea field="51" type="button" dataOnly="0" labelOnly="1" outline="0" axis="axisRow" fieldPosition="8"/>
    </format>
    <format dxfId="66">
      <pivotArea field="52" type="button" dataOnly="0" labelOnly="1" outline="0" axis="axisRow" fieldPosition="9"/>
    </format>
    <format dxfId="65">
      <pivotArea field="45" type="button" dataOnly="0" labelOnly="1" outline="0" axis="axisRow" fieldPosition="10"/>
    </format>
    <format dxfId="64">
      <pivotArea field="38" type="button" dataOnly="0" labelOnly="1" outline="0"/>
    </format>
    <format dxfId="63">
      <pivotArea field="47" type="button" dataOnly="0" labelOnly="1" outline="0" axis="axisRow" fieldPosition="12"/>
    </format>
    <format dxfId="62">
      <pivotArea field="48" type="button" dataOnly="0" labelOnly="1" outline="0" axis="axisRow" fieldPosition="13"/>
    </format>
    <format dxfId="61">
      <pivotArea field="49" type="button" dataOnly="0" labelOnly="1" outline="0" axis="axisRow" fieldPosition="14"/>
    </format>
    <format dxfId="60">
      <pivotArea field="50" type="button" dataOnly="0" labelOnly="1" outline="0" axis="axisRow" fieldPosition="15"/>
    </format>
    <format dxfId="59">
      <pivotArea field="54" type="button" dataOnly="0" labelOnly="1" outline="0" axis="axisRow" fieldPosition="16"/>
    </format>
    <format dxfId="58">
      <pivotArea field="59" type="button" dataOnly="0" labelOnly="1" outline="0" axis="axisRow" fieldPosition="19"/>
    </format>
    <format dxfId="57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6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55">
      <pivotArea dataOnly="0" labelOnly="1" outline="0" fieldPosition="0">
        <references count="1">
          <reference field="0" count="2">
            <x v="100"/>
            <x v="101"/>
          </reference>
        </references>
      </pivotArea>
    </format>
    <format dxfId="54">
      <pivotArea dataOnly="0" labelOnly="1" grandRow="1" outline="0" fieldPosition="0"/>
    </format>
    <format dxfId="53">
      <pivotArea dataOnly="0" labelOnly="1" outline="0" fieldPosition="0">
        <references count="2">
          <reference field="0" count="1" selected="0">
            <x v="0"/>
          </reference>
          <reference field="2" count="1">
            <x v="3"/>
          </reference>
        </references>
      </pivotArea>
    </format>
    <format dxfId="52">
      <pivotArea dataOnly="0" labelOnly="1" outline="0" fieldPosition="0">
        <references count="2">
          <reference field="0" count="1" selected="0">
            <x v="2"/>
          </reference>
          <reference field="2" count="1">
            <x v="2"/>
          </reference>
        </references>
      </pivotArea>
    </format>
    <format dxfId="51">
      <pivotArea dataOnly="0" labelOnly="1" outline="0" fieldPosition="0">
        <references count="2">
          <reference field="0" count="1" selected="0">
            <x v="3"/>
          </reference>
          <reference field="2" count="1">
            <x v="3"/>
          </reference>
        </references>
      </pivotArea>
    </format>
    <format dxfId="50">
      <pivotArea dataOnly="0" labelOnly="1" outline="0" fieldPosition="0">
        <references count="2">
          <reference field="0" count="1" selected="0">
            <x v="7"/>
          </reference>
          <reference field="2" count="1">
            <x v="2"/>
          </reference>
        </references>
      </pivotArea>
    </format>
    <format dxfId="49">
      <pivotArea dataOnly="0" labelOnly="1" outline="0" fieldPosition="0">
        <references count="2">
          <reference field="0" count="1" selected="0">
            <x v="10"/>
          </reference>
          <reference field="2" count="1">
            <x v="3"/>
          </reference>
        </references>
      </pivotArea>
    </format>
    <format dxfId="48">
      <pivotArea dataOnly="0" labelOnly="1" outline="0" fieldPosition="0">
        <references count="2">
          <reference field="0" count="1" selected="0">
            <x v="14"/>
          </reference>
          <reference field="2" count="1">
            <x v="2"/>
          </reference>
        </references>
      </pivotArea>
    </format>
    <format dxfId="47">
      <pivotArea dataOnly="0" labelOnly="1" outline="0" fieldPosition="0">
        <references count="2">
          <reference field="0" count="1" selected="0">
            <x v="27"/>
          </reference>
          <reference field="2" count="1">
            <x v="3"/>
          </reference>
        </references>
      </pivotArea>
    </format>
    <format dxfId="46">
      <pivotArea dataOnly="0" labelOnly="1" outline="0" fieldPosition="0">
        <references count="2">
          <reference field="0" count="1" selected="0">
            <x v="31"/>
          </reference>
          <reference field="2" count="1">
            <x v="2"/>
          </reference>
        </references>
      </pivotArea>
    </format>
    <format dxfId="45">
      <pivotArea dataOnly="0" labelOnly="1" outline="0" fieldPosition="0">
        <references count="2">
          <reference field="0" count="1" selected="0">
            <x v="74"/>
          </reference>
          <reference field="2" count="1">
            <x v="0"/>
          </reference>
        </references>
      </pivotArea>
    </format>
    <format dxfId="44">
      <pivotArea dataOnly="0" labelOnly="1" outline="0" fieldPosition="0">
        <references count="2">
          <reference field="0" count="1" selected="0">
            <x v="99"/>
          </reference>
          <reference field="2" count="1">
            <x v="1"/>
          </reference>
        </references>
      </pivotArea>
    </format>
    <format dxfId="43">
      <pivotArea dataOnly="0" labelOnly="1" outline="0" fieldPosition="0">
        <references count="2">
          <reference field="0" count="1" selected="0">
            <x v="100"/>
          </reference>
          <reference field="2" count="1">
            <x v="4"/>
          </reference>
        </references>
      </pivotArea>
    </format>
    <format dxfId="42">
      <pivotArea dataOnly="0" labelOnly="1" outline="0" fieldPosition="0">
        <references count="3">
          <reference field="0" count="1" selected="0">
            <x v="74"/>
          </reference>
          <reference field="1" count="1">
            <x v="0"/>
          </reference>
          <reference field="2" count="1" selected="0">
            <x v="0"/>
          </reference>
        </references>
      </pivotArea>
    </format>
    <format dxfId="41">
      <pivotArea dataOnly="0" labelOnly="1" outline="0" fieldPosition="0">
        <references count="3">
          <reference field="0" count="1" selected="0">
            <x v="99"/>
          </reference>
          <reference field="1" count="1">
            <x v="1"/>
          </reference>
          <reference field="2" count="1" selected="0">
            <x v="1"/>
          </reference>
        </references>
      </pivotArea>
    </format>
    <format dxfId="40">
      <pivotArea dataOnly="0" labelOnly="1" outline="0" fieldPosition="0">
        <references count="3">
          <reference field="0" count="1" selected="0">
            <x v="100"/>
          </reference>
          <reference field="1" count="1">
            <x v="0"/>
          </reference>
          <reference field="2" count="1" selected="0">
            <x v="4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14" count="1">
            <x v="2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14" count="1">
            <x v="51"/>
          </reference>
        </references>
      </pivotArea>
    </format>
    <format dxfId="37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14" count="1" selected="0">
            <x v="2"/>
          </reference>
          <reference field="24" count="1">
            <x v="1"/>
          </reference>
        </references>
      </pivotArea>
    </format>
    <format dxfId="36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14" count="1" selected="0">
            <x v="51"/>
          </reference>
          <reference field="24" count="1">
            <x v="57"/>
          </reference>
        </references>
      </pivotArea>
    </format>
    <format dxfId="35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2"/>
          </reference>
          <reference field="14" count="1" selected="0">
            <x v="0"/>
          </reference>
          <reference field="24" count="1" selected="0">
            <x v="0"/>
          </reference>
        </references>
      </pivotArea>
    </format>
    <format dxfId="34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0"/>
          </reference>
          <reference field="14" count="1" selected="0">
            <x v="2"/>
          </reference>
          <reference field="24" count="1" selected="0">
            <x v="1"/>
          </reference>
        </references>
      </pivotArea>
    </format>
    <format dxfId="33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35"/>
          </reference>
          <reference field="14" count="1" selected="0">
            <x v="51"/>
          </reference>
          <reference field="24" count="1" selected="0">
            <x v="57"/>
          </reference>
        </references>
      </pivotArea>
    </format>
    <format dxfId="32">
      <pivotArea dataOnly="0" labelOnly="1" outline="0" fieldPosition="0">
        <references count="7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>
            <x v="0"/>
          </reference>
        </references>
      </pivotArea>
    </format>
    <format dxfId="31">
      <pivotArea dataOnly="0" labelOnly="1" outline="0" fieldPosition="0">
        <references count="7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>
            <x v="10"/>
          </reference>
        </references>
      </pivotArea>
    </format>
    <format dxfId="30">
      <pivotArea dataOnly="0" labelOnly="1" outline="0" fieldPosition="0">
        <references count="7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>
            <x v="2"/>
          </reference>
        </references>
      </pivotArea>
    </format>
    <format dxfId="29">
      <pivotArea dataOnly="0" labelOnly="1" outline="0" fieldPosition="0">
        <references count="8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>
            <x v="0"/>
          </reference>
        </references>
      </pivotArea>
    </format>
    <format dxfId="28">
      <pivotArea dataOnly="0" labelOnly="1" outline="0" fieldPosition="0">
        <references count="8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>
            <x v="48"/>
          </reference>
        </references>
      </pivotArea>
    </format>
    <format dxfId="27">
      <pivotArea dataOnly="0" labelOnly="1" outline="0" fieldPosition="0">
        <references count="8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>
            <x v="2"/>
          </reference>
        </references>
      </pivotArea>
    </format>
    <format dxfId="26">
      <pivotArea dataOnly="0" labelOnly="1" outline="0" fieldPosition="0">
        <references count="9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51" count="1">
            <x v="0"/>
          </reference>
        </references>
      </pivotArea>
    </format>
    <format dxfId="25">
      <pivotArea dataOnly="0" labelOnly="1" outline="0" fieldPosition="0">
        <references count="9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51" count="1">
            <x v="52"/>
          </reference>
        </references>
      </pivotArea>
    </format>
    <format dxfId="24">
      <pivotArea dataOnly="0" labelOnly="1" outline="0" fieldPosition="0">
        <references count="9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51" count="1">
            <x v="2"/>
          </reference>
        </references>
      </pivotArea>
    </format>
    <format dxfId="23">
      <pivotArea dataOnly="0" labelOnly="1" outline="0" fieldPosition="0">
        <references count="10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51" count="1" selected="0">
            <x v="0"/>
          </reference>
          <reference field="52" count="1">
            <x v="0"/>
          </reference>
        </references>
      </pivotArea>
    </format>
    <format dxfId="22">
      <pivotArea dataOnly="0" labelOnly="1" outline="0" fieldPosition="0">
        <references count="10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51" count="1" selected="0">
            <x v="52"/>
          </reference>
          <reference field="52" count="1">
            <x v="44"/>
          </reference>
        </references>
      </pivotArea>
    </format>
    <format dxfId="21">
      <pivotArea dataOnly="0" labelOnly="1" outline="0" fieldPosition="0">
        <references count="10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51" count="1" selected="0">
            <x v="2"/>
          </reference>
          <reference field="52" count="1">
            <x v="2"/>
          </reference>
        </references>
      </pivotArea>
    </format>
    <format dxfId="20">
      <pivotArea dataOnly="0" labelOnly="1" outline="0" fieldPosition="0">
        <references count="11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45" count="1">
            <x v="0"/>
          </reference>
          <reference field="51" count="1" selected="0">
            <x v="0"/>
          </reference>
          <reference field="52" count="1" selected="0">
            <x v="0"/>
          </reference>
        </references>
      </pivotArea>
    </format>
    <format dxfId="19">
      <pivotArea dataOnly="0" labelOnly="1" outline="0" fieldPosition="0">
        <references count="11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45" count="1">
            <x v="48"/>
          </reference>
          <reference field="51" count="1" selected="0">
            <x v="52"/>
          </reference>
          <reference field="52" count="1" selected="0">
            <x v="44"/>
          </reference>
        </references>
      </pivotArea>
    </format>
    <format dxfId="18">
      <pivotArea dataOnly="0" labelOnly="1" outline="0" fieldPosition="0">
        <references count="11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45" count="1">
            <x v="1"/>
          </reference>
          <reference field="51" count="1" selected="0">
            <x v="2"/>
          </reference>
          <reference field="52" count="1" selected="0">
            <x v="2"/>
          </reference>
        </references>
      </pivotArea>
    </format>
    <format dxfId="17">
      <pivotArea type="topRight" dataOnly="0" labelOnly="1" outline="0" fieldPosition="0"/>
    </format>
    <format dxfId="16">
      <pivotArea dataOnly="0" labelOnly="1" outline="0" fieldPosition="0">
        <references count="1">
          <reference field="51" count="0"/>
        </references>
      </pivotArea>
    </format>
    <format dxfId="15">
      <pivotArea dataOnly="0" labelOnly="1" outline="0" fieldPosition="0">
        <references count="1">
          <reference field="52" count="0"/>
        </references>
      </pivotArea>
    </format>
    <format dxfId="14">
      <pivotArea dataOnly="0" labelOnly="1" outline="0" fieldPosition="0">
        <references count="1">
          <reference field="45" count="0"/>
        </references>
      </pivotArea>
    </format>
    <format dxfId="13">
      <pivotArea dataOnly="0" labelOnly="1" outline="0" fieldPosition="0">
        <references count="1">
          <reference field="51" count="0"/>
        </references>
      </pivotArea>
    </format>
    <format dxfId="12">
      <pivotArea dataOnly="0" labelOnly="1" outline="0" fieldPosition="0">
        <references count="1">
          <reference field="52" count="0"/>
        </references>
      </pivotArea>
    </format>
    <format dxfId="11">
      <pivotArea dataOnly="0" labelOnly="1" outline="0" fieldPosition="0">
        <references count="1">
          <reference field="45" count="0"/>
        </references>
      </pivotArea>
    </format>
    <format dxfId="10">
      <pivotArea dataOnly="0" labelOnly="1" outline="0" fieldPosition="0">
        <references count="1">
          <reference field="47" count="0"/>
        </references>
      </pivotArea>
    </format>
    <format dxfId="9">
      <pivotArea dataOnly="0" labelOnly="1" outline="0" fieldPosition="0">
        <references count="1">
          <reference field="48" count="0"/>
        </references>
      </pivotArea>
    </format>
    <format dxfId="8">
      <pivotArea dataOnly="0" labelOnly="1" outline="0" fieldPosition="0">
        <references count="1">
          <reference field="49" count="0"/>
        </references>
      </pivotArea>
    </format>
    <format dxfId="7">
      <pivotArea dataOnly="0" labelOnly="1" outline="0" fieldPosition="0">
        <references count="1">
          <reference field="50" count="0"/>
        </references>
      </pivotArea>
    </format>
    <format dxfId="6">
      <pivotArea dataOnly="0" labelOnly="1" outline="0" fieldPosition="0">
        <references count="1">
          <reference field="54" count="0"/>
        </references>
      </pivotArea>
    </format>
    <format dxfId="5">
      <pivotArea dataOnly="0" labelOnly="1" outline="0" fieldPosition="0">
        <references count="1">
          <reference field="59" count="0"/>
        </references>
      </pivotArea>
    </format>
    <format dxfId="4">
      <pivotArea dataOnly="0" labelOnly="1" outline="0" fieldPosition="0">
        <references count="1">
          <reference field="51" count="0"/>
        </references>
      </pivotArea>
    </format>
    <format dxfId="3">
      <pivotArea dataOnly="0" labelOnly="1" outline="0" fieldPosition="0">
        <references count="1">
          <reference field="52" count="0"/>
        </references>
      </pivotArea>
    </format>
  </formats>
  <pivotTableStyleInfo name="Forecast 4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6@15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6F3A4-0B77-45F0-8E5A-3ECD7FAB02F4}">
  <dimension ref="I12"/>
  <sheetViews>
    <sheetView workbookViewId="0">
      <selection activeCell="I13" sqref="I13"/>
    </sheetView>
  </sheetViews>
  <sheetFormatPr defaultColWidth="11.42578125" defaultRowHeight="15" x14ac:dyDescent="0.25"/>
  <sheetData>
    <row r="12" spans="9:9" x14ac:dyDescent="0.25">
      <c r="I12" s="145" t="s">
        <v>145</v>
      </c>
    </row>
  </sheetData>
  <pageMargins left="0.7" right="0.7" top="0.75" bottom="0.75" header="0.3" footer="0.3"/>
  <pageSetup paperSize="1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E0724-647C-4603-9D87-685A54433B94}">
  <sheetPr>
    <tabColor theme="1"/>
  </sheetPr>
  <dimension ref="B2:D76"/>
  <sheetViews>
    <sheetView workbookViewId="0">
      <selection activeCell="C53" sqref="C53"/>
    </sheetView>
  </sheetViews>
  <sheetFormatPr defaultColWidth="11.42578125" defaultRowHeight="15" x14ac:dyDescent="0.25"/>
  <cols>
    <col min="1" max="1" width="2.5703125" style="5" customWidth="1"/>
    <col min="2" max="2" width="6.28515625" style="5" customWidth="1"/>
    <col min="3" max="3" width="6.140625" style="5" customWidth="1"/>
    <col min="4" max="4" width="87" style="5" customWidth="1"/>
    <col min="5" max="5" width="2.85546875" style="5" customWidth="1"/>
    <col min="6" max="16384" width="11.42578125" style="5"/>
  </cols>
  <sheetData>
    <row r="2" spans="2:4" x14ac:dyDescent="0.25">
      <c r="B2" s="51" t="s">
        <v>52</v>
      </c>
      <c r="C2" s="52"/>
      <c r="D2" s="52"/>
    </row>
    <row r="4" spans="2:4" x14ac:dyDescent="0.25">
      <c r="C4" s="55" t="s">
        <v>53</v>
      </c>
      <c r="D4" s="55"/>
    </row>
    <row r="6" spans="2:4" x14ac:dyDescent="0.25">
      <c r="C6" s="7" t="s">
        <v>47</v>
      </c>
      <c r="D6" s="5" t="s">
        <v>54</v>
      </c>
    </row>
    <row r="7" spans="2:4" x14ac:dyDescent="0.25">
      <c r="C7" s="7" t="s">
        <v>47</v>
      </c>
      <c r="D7" s="5" t="s">
        <v>55</v>
      </c>
    </row>
    <row r="8" spans="2:4" x14ac:dyDescent="0.25">
      <c r="C8" s="7" t="s">
        <v>47</v>
      </c>
      <c r="D8" s="5" t="s">
        <v>56</v>
      </c>
    </row>
    <row r="9" spans="2:4" x14ac:dyDescent="0.25">
      <c r="C9" s="7" t="s">
        <v>47</v>
      </c>
      <c r="D9" s="5" t="s">
        <v>59</v>
      </c>
    </row>
    <row r="12" spans="2:4" x14ac:dyDescent="0.25">
      <c r="C12" s="55" t="s">
        <v>57</v>
      </c>
      <c r="D12" s="55"/>
    </row>
    <row r="14" spans="2:4" x14ac:dyDescent="0.25">
      <c r="C14" s="7" t="s">
        <v>47</v>
      </c>
      <c r="D14" s="5" t="s">
        <v>58</v>
      </c>
    </row>
    <row r="17" spans="2:4" x14ac:dyDescent="0.25">
      <c r="B17" s="53" t="s">
        <v>42</v>
      </c>
      <c r="C17" s="54"/>
      <c r="D17" s="54"/>
    </row>
    <row r="19" spans="2:4" x14ac:dyDescent="0.25">
      <c r="C19" s="65" t="s">
        <v>41</v>
      </c>
      <c r="D19" s="56"/>
    </row>
    <row r="21" spans="2:4" x14ac:dyDescent="0.25">
      <c r="C21" s="5" t="s">
        <v>77</v>
      </c>
    </row>
    <row r="23" spans="2:4" x14ac:dyDescent="0.25">
      <c r="C23" s="7" t="s">
        <v>47</v>
      </c>
      <c r="D23" s="5" t="s">
        <v>43</v>
      </c>
    </row>
    <row r="24" spans="2:4" x14ac:dyDescent="0.25">
      <c r="C24" s="7"/>
    </row>
    <row r="25" spans="2:4" x14ac:dyDescent="0.25">
      <c r="C25" s="7" t="s">
        <v>47</v>
      </c>
      <c r="D25" s="5" t="s">
        <v>44</v>
      </c>
    </row>
    <row r="26" spans="2:4" x14ac:dyDescent="0.25">
      <c r="D26" s="5" t="s">
        <v>45</v>
      </c>
    </row>
    <row r="27" spans="2:4" x14ac:dyDescent="0.25">
      <c r="D27" s="5" t="s">
        <v>46</v>
      </c>
    </row>
    <row r="30" spans="2:4" x14ac:dyDescent="0.25">
      <c r="C30" s="56" t="s">
        <v>78</v>
      </c>
      <c r="D30" s="56"/>
    </row>
    <row r="32" spans="2:4" x14ac:dyDescent="0.25">
      <c r="C32" s="7" t="s">
        <v>47</v>
      </c>
      <c r="D32" s="5" t="s">
        <v>79</v>
      </c>
    </row>
    <row r="34" spans="3:4" x14ac:dyDescent="0.25">
      <c r="D34" s="5" t="s">
        <v>80</v>
      </c>
    </row>
    <row r="35" spans="3:4" x14ac:dyDescent="0.25">
      <c r="D35" s="5" t="s">
        <v>81</v>
      </c>
    </row>
    <row r="38" spans="3:4" x14ac:dyDescent="0.25">
      <c r="C38" s="56" t="s">
        <v>48</v>
      </c>
      <c r="D38" s="57"/>
    </row>
    <row r="40" spans="3:4" x14ac:dyDescent="0.25">
      <c r="C40" s="7" t="s">
        <v>47</v>
      </c>
      <c r="D40" s="5" t="s">
        <v>49</v>
      </c>
    </row>
    <row r="41" spans="3:4" x14ac:dyDescent="0.25">
      <c r="C41" s="7" t="s">
        <v>47</v>
      </c>
      <c r="D41" s="5" t="s">
        <v>50</v>
      </c>
    </row>
    <row r="42" spans="3:4" x14ac:dyDescent="0.25">
      <c r="C42" s="7" t="s">
        <v>47</v>
      </c>
      <c r="D42" s="5" t="s">
        <v>51</v>
      </c>
    </row>
    <row r="43" spans="3:4" x14ac:dyDescent="0.25">
      <c r="C43" s="7"/>
    </row>
    <row r="44" spans="3:4" x14ac:dyDescent="0.25">
      <c r="D44" s="58" t="s">
        <v>90</v>
      </c>
    </row>
    <row r="45" spans="3:4" x14ac:dyDescent="0.25">
      <c r="D45" s="58" t="s">
        <v>89</v>
      </c>
    </row>
    <row r="46" spans="3:4" x14ac:dyDescent="0.25">
      <c r="C46" s="7"/>
    </row>
    <row r="47" spans="3:4" x14ac:dyDescent="0.25">
      <c r="C47" s="56" t="s">
        <v>91</v>
      </c>
      <c r="D47" s="57"/>
    </row>
    <row r="49" spans="2:4" x14ac:dyDescent="0.25">
      <c r="C49" s="7" t="s">
        <v>47</v>
      </c>
      <c r="D49" s="5" t="s">
        <v>92</v>
      </c>
    </row>
    <row r="51" spans="2:4" x14ac:dyDescent="0.25">
      <c r="B51" s="59" t="s">
        <v>83</v>
      </c>
      <c r="C51" s="60"/>
      <c r="D51" s="60"/>
    </row>
    <row r="53" spans="2:4" x14ac:dyDescent="0.25">
      <c r="C53" s="61" t="s">
        <v>82</v>
      </c>
      <c r="D53" s="61"/>
    </row>
    <row r="55" spans="2:4" x14ac:dyDescent="0.25">
      <c r="C55" s="7" t="s">
        <v>47</v>
      </c>
      <c r="D55" s="5" t="s">
        <v>84</v>
      </c>
    </row>
    <row r="56" spans="2:4" x14ac:dyDescent="0.25">
      <c r="D56" s="5" t="s">
        <v>85</v>
      </c>
    </row>
    <row r="58" spans="2:4" x14ac:dyDescent="0.25">
      <c r="C58" s="61" t="s">
        <v>86</v>
      </c>
      <c r="D58" s="61"/>
    </row>
    <row r="60" spans="2:4" x14ac:dyDescent="0.25">
      <c r="C60" s="7" t="s">
        <v>47</v>
      </c>
      <c r="D60" s="5" t="s">
        <v>87</v>
      </c>
    </row>
    <row r="61" spans="2:4" x14ac:dyDescent="0.25">
      <c r="D61" s="5" t="s">
        <v>88</v>
      </c>
    </row>
    <row r="63" spans="2:4" x14ac:dyDescent="0.25">
      <c r="D63" s="58" t="s">
        <v>97</v>
      </c>
    </row>
    <row r="64" spans="2:4" x14ac:dyDescent="0.25">
      <c r="D64" s="58" t="s">
        <v>98</v>
      </c>
    </row>
    <row r="65" spans="2:4" x14ac:dyDescent="0.25">
      <c r="D65" s="58"/>
    </row>
    <row r="66" spans="2:4" x14ac:dyDescent="0.25">
      <c r="D66" s="58" t="s">
        <v>99</v>
      </c>
    </row>
    <row r="68" spans="2:4" x14ac:dyDescent="0.25">
      <c r="D68" s="58" t="s">
        <v>96</v>
      </c>
    </row>
    <row r="71" spans="2:4" x14ac:dyDescent="0.25">
      <c r="B71" s="62" t="s">
        <v>61</v>
      </c>
      <c r="C71" s="63"/>
      <c r="D71" s="63"/>
    </row>
    <row r="73" spans="2:4" x14ac:dyDescent="0.25">
      <c r="C73" s="64" t="s">
        <v>93</v>
      </c>
      <c r="D73" s="64"/>
    </row>
    <row r="75" spans="2:4" x14ac:dyDescent="0.25">
      <c r="C75" s="7" t="s">
        <v>47</v>
      </c>
      <c r="D75" s="5" t="s">
        <v>94</v>
      </c>
    </row>
    <row r="76" spans="2:4" x14ac:dyDescent="0.25">
      <c r="D76" s="5" t="s">
        <v>95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40973-E325-48A0-9DC3-7C708E4BA03D}">
  <sheetPr>
    <tabColor theme="1"/>
  </sheetPr>
  <dimension ref="A1:L47"/>
  <sheetViews>
    <sheetView workbookViewId="0">
      <selection activeCell="D2" sqref="D2:D13"/>
    </sheetView>
  </sheetViews>
  <sheetFormatPr defaultColWidth="11.42578125" defaultRowHeight="19.5" customHeight="1" x14ac:dyDescent="0.25"/>
  <cols>
    <col min="1" max="1" width="11.42578125" style="5"/>
    <col min="2" max="2" width="24" style="6" bestFit="1" customWidth="1"/>
    <col min="3" max="3" width="53.5703125" style="6" customWidth="1"/>
    <col min="4" max="4" width="13.28515625" style="5" bestFit="1" customWidth="1"/>
    <col min="5" max="5" width="15.140625" style="7" bestFit="1" customWidth="1"/>
    <col min="6" max="6" width="13.28515625" style="7" bestFit="1" customWidth="1"/>
    <col min="7" max="7" width="13.5703125" style="7" bestFit="1" customWidth="1"/>
    <col min="8" max="8" width="13.140625" style="7" bestFit="1" customWidth="1"/>
    <col min="9" max="9" width="13.140625" style="7" customWidth="1"/>
    <col min="10" max="10" width="11.85546875" style="5" bestFit="1" customWidth="1"/>
    <col min="11" max="11" width="15.85546875" style="5" bestFit="1" customWidth="1"/>
    <col min="12" max="12" width="42.85546875" style="5" bestFit="1" customWidth="1"/>
    <col min="13" max="14" width="11.42578125" style="5"/>
    <col min="15" max="15" width="14.42578125" style="5" bestFit="1" customWidth="1"/>
    <col min="16" max="16384" width="11.42578125" style="5"/>
  </cols>
  <sheetData>
    <row r="1" spans="1:12" ht="19.5" customHeight="1" x14ac:dyDescent="0.25">
      <c r="B1" s="4" t="s">
        <v>3</v>
      </c>
      <c r="C1" s="4" t="s">
        <v>15</v>
      </c>
      <c r="D1" s="4" t="s">
        <v>6</v>
      </c>
      <c r="E1" s="4" t="s">
        <v>100</v>
      </c>
      <c r="F1" s="4" t="s">
        <v>19</v>
      </c>
      <c r="G1" s="4" t="s">
        <v>5</v>
      </c>
      <c r="H1" s="4" t="s">
        <v>26</v>
      </c>
      <c r="I1" s="4" t="s">
        <v>144</v>
      </c>
    </row>
    <row r="2" spans="1:12" ht="19.5" customHeight="1" x14ac:dyDescent="0.25">
      <c r="B2" s="12" t="s">
        <v>14</v>
      </c>
      <c r="C2" s="91" t="s">
        <v>9</v>
      </c>
      <c r="D2" s="92">
        <f t="shared" ref="D2:D12" ca="1" si="0">+TODAY()</f>
        <v>45754</v>
      </c>
      <c r="E2" s="93">
        <v>500</v>
      </c>
      <c r="F2" s="93">
        <v>2</v>
      </c>
      <c r="G2" s="93">
        <f>F2*8</f>
        <v>16</v>
      </c>
      <c r="H2" s="4">
        <f>+E2*G2</f>
        <v>8000</v>
      </c>
      <c r="I2" s="142">
        <f>H2*5</f>
        <v>40000</v>
      </c>
      <c r="J2" s="140">
        <f>I2</f>
        <v>40000</v>
      </c>
      <c r="L2" s="93">
        <v>1</v>
      </c>
    </row>
    <row r="3" spans="1:12" ht="19.5" customHeight="1" x14ac:dyDescent="0.25">
      <c r="B3" s="12" t="s">
        <v>35</v>
      </c>
      <c r="C3" s="91" t="s">
        <v>27</v>
      </c>
      <c r="D3" s="92">
        <f t="shared" ca="1" si="0"/>
        <v>45754</v>
      </c>
      <c r="E3" s="93">
        <v>600</v>
      </c>
      <c r="F3" s="93">
        <v>1.5</v>
      </c>
      <c r="G3" s="93">
        <f t="shared" ref="G3:G5" si="1">F3*8</f>
        <v>12</v>
      </c>
      <c r="H3" s="4">
        <f t="shared" ref="H3:H5" si="2">+E3*G3</f>
        <v>7200</v>
      </c>
      <c r="I3" s="142">
        <f t="shared" ref="I3:I5" si="3">H3*5</f>
        <v>36000</v>
      </c>
      <c r="J3" s="140">
        <f>I3</f>
        <v>36000</v>
      </c>
      <c r="L3" s="93">
        <v>1.5</v>
      </c>
    </row>
    <row r="4" spans="1:12" ht="19.5" customHeight="1" x14ac:dyDescent="0.25">
      <c r="B4" s="12" t="s">
        <v>36</v>
      </c>
      <c r="C4" s="91" t="s">
        <v>28</v>
      </c>
      <c r="D4" s="92">
        <f t="shared" ca="1" si="0"/>
        <v>45754</v>
      </c>
      <c r="E4" s="93">
        <v>400</v>
      </c>
      <c r="F4" s="93">
        <v>2</v>
      </c>
      <c r="G4" s="93">
        <f t="shared" si="1"/>
        <v>16</v>
      </c>
      <c r="H4" s="4">
        <f t="shared" si="2"/>
        <v>6400</v>
      </c>
      <c r="I4" s="142">
        <f t="shared" si="3"/>
        <v>32000</v>
      </c>
      <c r="J4" s="140">
        <f t="shared" ref="J4:J10" si="4">I4</f>
        <v>32000</v>
      </c>
      <c r="L4" s="93">
        <v>3</v>
      </c>
    </row>
    <row r="5" spans="1:12" ht="19.5" customHeight="1" x14ac:dyDescent="0.25">
      <c r="B5" s="12" t="s">
        <v>37</v>
      </c>
      <c r="C5" s="91" t="s">
        <v>10</v>
      </c>
      <c r="D5" s="92">
        <f t="shared" ca="1" si="0"/>
        <v>45754</v>
      </c>
      <c r="E5" s="93">
        <v>300</v>
      </c>
      <c r="F5" s="93">
        <v>2</v>
      </c>
      <c r="G5" s="93">
        <f t="shared" si="1"/>
        <v>16</v>
      </c>
      <c r="H5" s="4">
        <f t="shared" si="2"/>
        <v>4800</v>
      </c>
      <c r="I5" s="142">
        <f t="shared" si="3"/>
        <v>24000</v>
      </c>
      <c r="J5" s="140">
        <f t="shared" si="4"/>
        <v>24000</v>
      </c>
      <c r="L5" s="93">
        <v>3</v>
      </c>
    </row>
    <row r="6" spans="1:12" ht="19.5" customHeight="1" x14ac:dyDescent="0.25">
      <c r="B6" s="12" t="s">
        <v>102</v>
      </c>
      <c r="C6" s="12"/>
      <c r="D6" s="87">
        <f t="shared" ca="1" si="0"/>
        <v>45754</v>
      </c>
      <c r="E6" s="4"/>
      <c r="F6" s="4"/>
      <c r="G6" s="4"/>
      <c r="H6" s="4"/>
      <c r="I6" s="142"/>
      <c r="J6" s="140">
        <v>0</v>
      </c>
      <c r="K6" s="47"/>
      <c r="L6" s="4"/>
    </row>
    <row r="7" spans="1:12" ht="19.5" customHeight="1" x14ac:dyDescent="0.25">
      <c r="B7" s="12" t="s">
        <v>38</v>
      </c>
      <c r="C7" s="91" t="s">
        <v>29</v>
      </c>
      <c r="D7" s="92">
        <f t="shared" ca="1" si="0"/>
        <v>45754</v>
      </c>
      <c r="E7" s="93">
        <v>200</v>
      </c>
      <c r="F7" s="93">
        <v>1</v>
      </c>
      <c r="G7" s="93">
        <f t="shared" ref="G7:G9" si="5">F7*8</f>
        <v>8</v>
      </c>
      <c r="H7" s="4">
        <f t="shared" ref="H7:H12" si="6">+E7*G7</f>
        <v>1600</v>
      </c>
      <c r="I7" s="142">
        <f t="shared" ref="I7:I11" si="7">H7*5</f>
        <v>8000</v>
      </c>
      <c r="J7" s="140">
        <f t="shared" si="4"/>
        <v>8000</v>
      </c>
      <c r="L7" s="93">
        <v>1</v>
      </c>
    </row>
    <row r="8" spans="1:12" ht="19.5" customHeight="1" x14ac:dyDescent="0.25">
      <c r="B8" s="12" t="s">
        <v>39</v>
      </c>
      <c r="C8" s="91" t="s">
        <v>30</v>
      </c>
      <c r="D8" s="92">
        <f t="shared" ca="1" si="0"/>
        <v>45754</v>
      </c>
      <c r="E8" s="93">
        <v>121</v>
      </c>
      <c r="F8" s="93">
        <v>2</v>
      </c>
      <c r="G8" s="93">
        <f t="shared" si="5"/>
        <v>16</v>
      </c>
      <c r="H8" s="4">
        <f t="shared" si="6"/>
        <v>1936</v>
      </c>
      <c r="I8" s="142">
        <f t="shared" si="7"/>
        <v>9680</v>
      </c>
      <c r="J8" s="140">
        <f t="shared" si="4"/>
        <v>9680</v>
      </c>
      <c r="L8" s="93">
        <v>1</v>
      </c>
    </row>
    <row r="9" spans="1:12" ht="19.5" customHeight="1" x14ac:dyDescent="0.25">
      <c r="B9" s="12" t="s">
        <v>40</v>
      </c>
      <c r="C9" s="91" t="s">
        <v>11</v>
      </c>
      <c r="D9" s="92">
        <f t="shared" ca="1" si="0"/>
        <v>45754</v>
      </c>
      <c r="E9" s="93">
        <v>750</v>
      </c>
      <c r="F9" s="93">
        <v>1</v>
      </c>
      <c r="G9" s="93">
        <f t="shared" si="5"/>
        <v>8</v>
      </c>
      <c r="H9" s="4">
        <f t="shared" si="6"/>
        <v>6000</v>
      </c>
      <c r="I9" s="142">
        <f t="shared" si="7"/>
        <v>30000</v>
      </c>
      <c r="J9" s="140">
        <f t="shared" si="4"/>
        <v>30000</v>
      </c>
      <c r="L9" s="93">
        <v>1</v>
      </c>
    </row>
    <row r="10" spans="1:12" ht="19.5" customHeight="1" x14ac:dyDescent="0.25">
      <c r="B10" s="12" t="s">
        <v>12</v>
      </c>
      <c r="C10" s="91" t="s">
        <v>12</v>
      </c>
      <c r="D10" s="92">
        <f t="shared" ca="1" si="0"/>
        <v>45754</v>
      </c>
      <c r="E10" s="93">
        <v>250</v>
      </c>
      <c r="F10" s="93">
        <v>1</v>
      </c>
      <c r="G10" s="93">
        <f>F10*8</f>
        <v>8</v>
      </c>
      <c r="H10" s="4">
        <f t="shared" si="6"/>
        <v>2000</v>
      </c>
      <c r="I10" s="142">
        <f t="shared" si="7"/>
        <v>10000</v>
      </c>
      <c r="J10" s="140">
        <f t="shared" si="4"/>
        <v>10000</v>
      </c>
      <c r="L10" s="93">
        <v>1</v>
      </c>
    </row>
    <row r="11" spans="1:12" ht="19.5" customHeight="1" x14ac:dyDescent="0.25">
      <c r="B11" s="12" t="s">
        <v>4</v>
      </c>
      <c r="C11" s="91" t="s">
        <v>13</v>
      </c>
      <c r="D11" s="92">
        <f t="shared" ca="1" si="0"/>
        <v>45754</v>
      </c>
      <c r="E11" s="93">
        <v>1</v>
      </c>
      <c r="F11" s="93">
        <v>6</v>
      </c>
      <c r="G11" s="93">
        <f>F11*8</f>
        <v>48</v>
      </c>
      <c r="H11" s="4">
        <f t="shared" si="6"/>
        <v>48</v>
      </c>
      <c r="I11" s="142">
        <f t="shared" si="7"/>
        <v>240</v>
      </c>
      <c r="J11" s="140">
        <v>0</v>
      </c>
      <c r="L11" s="93">
        <v>6</v>
      </c>
    </row>
    <row r="12" spans="1:12" ht="19.5" customHeight="1" x14ac:dyDescent="0.25">
      <c r="B12" s="12" t="s">
        <v>122</v>
      </c>
      <c r="C12" s="91" t="s">
        <v>149</v>
      </c>
      <c r="D12" s="92">
        <f t="shared" ca="1" si="0"/>
        <v>45754</v>
      </c>
      <c r="E12" s="93">
        <v>1</v>
      </c>
      <c r="F12" s="93">
        <v>1</v>
      </c>
      <c r="G12" s="93">
        <v>8</v>
      </c>
      <c r="H12" s="4">
        <f t="shared" si="6"/>
        <v>8</v>
      </c>
      <c r="I12" s="142">
        <f>H12*5</f>
        <v>40</v>
      </c>
      <c r="L12" s="93">
        <v>1</v>
      </c>
    </row>
    <row r="13" spans="1:12" ht="19.5" customHeight="1" x14ac:dyDescent="0.25">
      <c r="J13" s="140">
        <f>SUM(J2:J9)</f>
        <v>179680</v>
      </c>
      <c r="K13" s="141">
        <f>J13*4.2</f>
        <v>754656</v>
      </c>
      <c r="L13" s="140">
        <f>J13*48</f>
        <v>8624640</v>
      </c>
    </row>
    <row r="14" spans="1:12" ht="19.5" customHeight="1" x14ac:dyDescent="0.25">
      <c r="J14" s="5" t="s">
        <v>142</v>
      </c>
      <c r="K14" s="5" t="s">
        <v>143</v>
      </c>
      <c r="L14" s="5" t="s">
        <v>171</v>
      </c>
    </row>
    <row r="15" spans="1:12" ht="19.5" customHeight="1" x14ac:dyDescent="0.25">
      <c r="E15" s="158"/>
      <c r="F15" s="93">
        <v>2</v>
      </c>
      <c r="J15" s="5" t="s">
        <v>8</v>
      </c>
      <c r="K15" s="5" t="s">
        <v>8</v>
      </c>
    </row>
    <row r="16" spans="1:12" ht="19.5" customHeight="1" x14ac:dyDescent="0.25">
      <c r="A16" s="6" t="s">
        <v>127</v>
      </c>
      <c r="B16" s="6" t="s">
        <v>128</v>
      </c>
      <c r="C16" s="5" t="s">
        <v>129</v>
      </c>
      <c r="F16" s="93">
        <v>4</v>
      </c>
      <c r="J16" s="5" t="s">
        <v>8</v>
      </c>
      <c r="K16" s="5" t="s">
        <v>8</v>
      </c>
    </row>
    <row r="17" spans="1:7" ht="19.5" customHeight="1" x14ac:dyDescent="0.25">
      <c r="A17" s="6" t="s">
        <v>130</v>
      </c>
      <c r="B17" s="6" t="s">
        <v>131</v>
      </c>
      <c r="C17" s="5" t="s">
        <v>129</v>
      </c>
      <c r="F17" s="93">
        <v>4</v>
      </c>
    </row>
    <row r="18" spans="1:7" ht="19.5" customHeight="1" x14ac:dyDescent="0.25">
      <c r="A18" s="6" t="s">
        <v>132</v>
      </c>
      <c r="B18" s="6" t="s">
        <v>133</v>
      </c>
      <c r="C18" s="5" t="s">
        <v>129</v>
      </c>
      <c r="F18" s="93">
        <v>4</v>
      </c>
    </row>
    <row r="19" spans="1:7" ht="19.5" customHeight="1" x14ac:dyDescent="0.25">
      <c r="A19" s="6" t="s">
        <v>134</v>
      </c>
      <c r="B19" s="6" t="s">
        <v>135</v>
      </c>
      <c r="C19" s="5" t="s">
        <v>129</v>
      </c>
      <c r="F19" s="4"/>
    </row>
    <row r="20" spans="1:7" ht="19.5" customHeight="1" x14ac:dyDescent="0.25">
      <c r="A20" s="6" t="s">
        <v>136</v>
      </c>
      <c r="B20" s="6" t="s">
        <v>139</v>
      </c>
      <c r="C20" s="5" t="s">
        <v>137</v>
      </c>
      <c r="F20" s="93">
        <v>2</v>
      </c>
    </row>
    <row r="21" spans="1:7" ht="19.5" customHeight="1" x14ac:dyDescent="0.25">
      <c r="A21" s="6" t="s">
        <v>138</v>
      </c>
      <c r="B21" s="151" t="s">
        <v>141</v>
      </c>
      <c r="C21" s="5" t="s">
        <v>137</v>
      </c>
      <c r="F21" s="93">
        <v>2</v>
      </c>
    </row>
    <row r="22" spans="1:7" ht="19.5" customHeight="1" x14ac:dyDescent="0.25">
      <c r="A22" s="6" t="s">
        <v>140</v>
      </c>
      <c r="B22" s="6" t="s">
        <v>172</v>
      </c>
      <c r="C22" s="5" t="s">
        <v>137</v>
      </c>
      <c r="F22" s="93">
        <v>2</v>
      </c>
    </row>
    <row r="23" spans="1:7" ht="19.5" customHeight="1" x14ac:dyDescent="0.25">
      <c r="F23" s="93">
        <v>1</v>
      </c>
    </row>
    <row r="24" spans="1:7" ht="19.5" customHeight="1" x14ac:dyDescent="0.25">
      <c r="D24" s="14"/>
      <c r="F24" s="93">
        <v>6</v>
      </c>
    </row>
    <row r="25" spans="1:7" ht="19.5" customHeight="1" x14ac:dyDescent="0.25">
      <c r="D25" s="14"/>
      <c r="F25" s="93">
        <v>1</v>
      </c>
    </row>
    <row r="26" spans="1:7" ht="19.5" customHeight="1" x14ac:dyDescent="0.25">
      <c r="D26" s="14"/>
      <c r="G26" s="14"/>
    </row>
    <row r="27" spans="1:7" ht="19.5" customHeight="1" x14ac:dyDescent="0.25">
      <c r="D27" s="14"/>
      <c r="G27" s="14"/>
    </row>
    <row r="28" spans="1:7" ht="19.5" customHeight="1" x14ac:dyDescent="0.25">
      <c r="D28" s="14"/>
      <c r="G28" s="14"/>
    </row>
    <row r="29" spans="1:7" ht="19.5" customHeight="1" x14ac:dyDescent="0.25">
      <c r="D29" s="14"/>
      <c r="G29" s="14"/>
    </row>
    <row r="30" spans="1:7" ht="19.5" customHeight="1" x14ac:dyDescent="0.25">
      <c r="D30" s="14"/>
      <c r="G30" s="14"/>
    </row>
    <row r="31" spans="1:7" ht="19.5" customHeight="1" x14ac:dyDescent="0.25">
      <c r="D31" s="14"/>
      <c r="G31" s="14"/>
    </row>
    <row r="32" spans="1:7" ht="19.5" customHeight="1" x14ac:dyDescent="0.25">
      <c r="D32" s="14"/>
      <c r="G32" s="14"/>
    </row>
    <row r="33" spans="4:7" ht="19.5" customHeight="1" x14ac:dyDescent="0.25">
      <c r="D33" s="14"/>
      <c r="G33" s="14"/>
    </row>
    <row r="34" spans="4:7" ht="19.5" customHeight="1" x14ac:dyDescent="0.25">
      <c r="D34" s="14"/>
      <c r="G34" s="14"/>
    </row>
    <row r="35" spans="4:7" ht="19.5" customHeight="1" x14ac:dyDescent="0.25">
      <c r="D35" s="14"/>
      <c r="G35" s="14"/>
    </row>
    <row r="36" spans="4:7" ht="19.5" customHeight="1" x14ac:dyDescent="0.25">
      <c r="D36" s="14"/>
      <c r="G36" s="14"/>
    </row>
    <row r="37" spans="4:7" ht="19.5" customHeight="1" x14ac:dyDescent="0.25">
      <c r="D37" s="14"/>
      <c r="G37" s="14"/>
    </row>
    <row r="38" spans="4:7" ht="19.5" customHeight="1" x14ac:dyDescent="0.25">
      <c r="D38" s="14"/>
    </row>
    <row r="39" spans="4:7" ht="19.5" customHeight="1" x14ac:dyDescent="0.25">
      <c r="D39" s="14"/>
    </row>
    <row r="40" spans="4:7" ht="19.5" customHeight="1" x14ac:dyDescent="0.25">
      <c r="D40" s="14"/>
    </row>
    <row r="41" spans="4:7" ht="19.5" customHeight="1" x14ac:dyDescent="0.25">
      <c r="D41" s="14"/>
    </row>
    <row r="42" spans="4:7" ht="19.5" customHeight="1" x14ac:dyDescent="0.25">
      <c r="D42" s="14"/>
    </row>
    <row r="43" spans="4:7" ht="19.5" customHeight="1" x14ac:dyDescent="0.25">
      <c r="D43" s="14"/>
    </row>
    <row r="44" spans="4:7" ht="19.5" customHeight="1" x14ac:dyDescent="0.25">
      <c r="D44" s="14"/>
    </row>
    <row r="45" spans="4:7" ht="19.5" customHeight="1" x14ac:dyDescent="0.25">
      <c r="D45" s="14"/>
    </row>
    <row r="46" spans="4:7" ht="19.5" customHeight="1" x14ac:dyDescent="0.25">
      <c r="D46" s="14"/>
    </row>
    <row r="47" spans="4:7" ht="19.5" customHeight="1" x14ac:dyDescent="0.25">
      <c r="D47" s="14"/>
    </row>
  </sheetData>
  <hyperlinks>
    <hyperlink ref="B9" r:id="rId1" display="6@15" xr:uid="{FDE2199D-D1C8-42BD-99BC-33CECA68FE43}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63272-7853-4004-AAAD-3C6E3466FEC6}">
  <sheetPr>
    <tabColor theme="1"/>
  </sheetPr>
  <dimension ref="A1:H80"/>
  <sheetViews>
    <sheetView topLeftCell="A2" workbookViewId="0">
      <selection activeCell="F83" sqref="F83"/>
    </sheetView>
  </sheetViews>
  <sheetFormatPr defaultColWidth="11.42578125" defaultRowHeight="15" x14ac:dyDescent="0.25"/>
  <cols>
    <col min="2" max="2" width="25.140625" customWidth="1"/>
    <col min="3" max="3" width="17.85546875" style="1" customWidth="1"/>
  </cols>
  <sheetData>
    <row r="1" spans="2:8" ht="15.75" thickBot="1" x14ac:dyDescent="0.3"/>
    <row r="2" spans="2:8" x14ac:dyDescent="0.25">
      <c r="B2" s="152">
        <v>2024</v>
      </c>
      <c r="C2" s="20"/>
      <c r="E2" s="5"/>
      <c r="F2" s="5"/>
      <c r="G2" s="5"/>
      <c r="H2" s="5"/>
    </row>
    <row r="3" spans="2:8" x14ac:dyDescent="0.25">
      <c r="B3" s="108"/>
      <c r="C3" s="110"/>
      <c r="D3" s="5"/>
      <c r="E3" s="5"/>
      <c r="F3" s="5"/>
      <c r="G3" s="5"/>
      <c r="H3" s="5"/>
    </row>
    <row r="4" spans="2:8" x14ac:dyDescent="0.25">
      <c r="B4" s="108" t="s">
        <v>62</v>
      </c>
      <c r="C4" s="111">
        <f>+DATE($B2,1,1)</f>
        <v>45292</v>
      </c>
      <c r="D4" s="5"/>
      <c r="E4" s="5"/>
      <c r="F4" s="5"/>
      <c r="G4" s="5"/>
      <c r="H4" s="5"/>
    </row>
    <row r="5" spans="2:8" x14ac:dyDescent="0.25">
      <c r="B5" s="108" t="s">
        <v>67</v>
      </c>
      <c r="C5" s="110">
        <v>45383</v>
      </c>
      <c r="D5" s="5"/>
      <c r="E5" s="5"/>
      <c r="F5" s="5"/>
      <c r="G5" s="5"/>
      <c r="H5" s="5"/>
    </row>
    <row r="6" spans="2:8" x14ac:dyDescent="0.25">
      <c r="B6" s="108" t="s">
        <v>63</v>
      </c>
      <c r="C6" s="111">
        <f>+C5+1</f>
        <v>45384</v>
      </c>
      <c r="D6" s="5"/>
      <c r="E6" s="5"/>
      <c r="F6" s="5"/>
      <c r="G6" s="5"/>
      <c r="H6" s="5"/>
    </row>
    <row r="7" spans="2:8" x14ac:dyDescent="0.25">
      <c r="B7" s="108" t="s">
        <v>68</v>
      </c>
      <c r="C7" s="143">
        <v>45432</v>
      </c>
      <c r="D7" s="13"/>
      <c r="E7" s="5"/>
      <c r="F7" s="5"/>
      <c r="G7" s="5"/>
      <c r="H7" s="5"/>
    </row>
    <row r="8" spans="2:8" x14ac:dyDescent="0.25">
      <c r="B8" s="108" t="s">
        <v>65</v>
      </c>
      <c r="C8" s="111">
        <f>+ DATE($B2,6,24)</f>
        <v>45467</v>
      </c>
      <c r="D8" s="5"/>
      <c r="E8" s="5"/>
      <c r="F8" s="5"/>
      <c r="G8" s="5"/>
      <c r="H8" s="5"/>
    </row>
    <row r="9" spans="2:8" x14ac:dyDescent="0.25">
      <c r="B9" s="108" t="s">
        <v>69</v>
      </c>
      <c r="C9" s="111">
        <f>+ DATE($B2,7,1)</f>
        <v>45474</v>
      </c>
      <c r="D9" s="5"/>
      <c r="E9" s="5"/>
      <c r="F9" s="5"/>
      <c r="G9" s="5"/>
      <c r="H9" s="5"/>
    </row>
    <row r="10" spans="2:8" x14ac:dyDescent="0.25">
      <c r="B10" s="108" t="s">
        <v>71</v>
      </c>
      <c r="C10" s="143">
        <v>45495</v>
      </c>
      <c r="D10" s="5"/>
      <c r="E10" s="5"/>
      <c r="F10" s="5"/>
      <c r="G10" s="5"/>
      <c r="H10" s="5"/>
    </row>
    <row r="11" spans="2:8" x14ac:dyDescent="0.25">
      <c r="B11" s="108" t="s">
        <v>71</v>
      </c>
      <c r="C11" s="111">
        <f>1+C10</f>
        <v>45496</v>
      </c>
      <c r="D11" s="5"/>
      <c r="E11" s="5"/>
      <c r="F11" s="5"/>
      <c r="G11" s="5"/>
      <c r="H11" s="5"/>
    </row>
    <row r="12" spans="2:8" x14ac:dyDescent="0.25">
      <c r="B12" s="108" t="s">
        <v>71</v>
      </c>
      <c r="C12" s="111">
        <f>1+C11</f>
        <v>45497</v>
      </c>
      <c r="D12" s="5"/>
      <c r="E12" s="5"/>
      <c r="F12" s="5"/>
      <c r="G12" s="5"/>
      <c r="H12" s="5"/>
    </row>
    <row r="13" spans="2:8" x14ac:dyDescent="0.25">
      <c r="B13" s="108" t="s">
        <v>71</v>
      </c>
      <c r="C13" s="111">
        <f>1+C12</f>
        <v>45498</v>
      </c>
      <c r="D13" s="5"/>
      <c r="E13" s="5"/>
      <c r="F13" s="5"/>
      <c r="G13" s="5"/>
      <c r="H13" s="5"/>
    </row>
    <row r="14" spans="2:8" x14ac:dyDescent="0.25">
      <c r="B14" s="108" t="s">
        <v>71</v>
      </c>
      <c r="C14" s="111">
        <f>1+C13</f>
        <v>45499</v>
      </c>
      <c r="D14" s="5"/>
      <c r="E14" s="5"/>
      <c r="F14" s="5"/>
      <c r="G14" s="5"/>
      <c r="H14" s="5"/>
    </row>
    <row r="15" spans="2:8" x14ac:dyDescent="0.25">
      <c r="B15" s="108" t="s">
        <v>71</v>
      </c>
      <c r="C15" s="111">
        <f>C14+3</f>
        <v>45502</v>
      </c>
      <c r="D15" s="5"/>
    </row>
    <row r="16" spans="2:8" x14ac:dyDescent="0.25">
      <c r="B16" s="108" t="s">
        <v>71</v>
      </c>
      <c r="C16" s="111">
        <f>1+C15</f>
        <v>45503</v>
      </c>
      <c r="D16" s="5"/>
    </row>
    <row r="17" spans="2:4" x14ac:dyDescent="0.25">
      <c r="B17" s="108" t="s">
        <v>71</v>
      </c>
      <c r="C17" s="111">
        <f>1+C16</f>
        <v>45504</v>
      </c>
      <c r="D17" s="5"/>
    </row>
    <row r="18" spans="2:4" x14ac:dyDescent="0.25">
      <c r="B18" s="108" t="s">
        <v>71</v>
      </c>
      <c r="C18" s="111">
        <f>1+C17</f>
        <v>45505</v>
      </c>
      <c r="D18" s="5"/>
    </row>
    <row r="19" spans="2:4" x14ac:dyDescent="0.25">
      <c r="B19" s="108" t="s">
        <v>71</v>
      </c>
      <c r="C19" s="111">
        <f>1+C18</f>
        <v>45506</v>
      </c>
      <c r="D19" s="5"/>
    </row>
    <row r="20" spans="2:4" x14ac:dyDescent="0.25">
      <c r="B20" s="108" t="s">
        <v>71</v>
      </c>
      <c r="C20" s="111">
        <f>C19+3</f>
        <v>45509</v>
      </c>
      <c r="D20" s="13"/>
    </row>
    <row r="21" spans="2:4" x14ac:dyDescent="0.25">
      <c r="B21" s="108" t="s">
        <v>71</v>
      </c>
      <c r="C21" s="111">
        <f>1+C20</f>
        <v>45510</v>
      </c>
      <c r="D21" s="13"/>
    </row>
    <row r="22" spans="2:4" x14ac:dyDescent="0.25">
      <c r="B22" s="108" t="s">
        <v>71</v>
      </c>
      <c r="C22" s="111">
        <f>1+C21</f>
        <v>45511</v>
      </c>
      <c r="D22" s="5"/>
    </row>
    <row r="23" spans="2:4" x14ac:dyDescent="0.25">
      <c r="B23" s="108" t="s">
        <v>71</v>
      </c>
      <c r="C23" s="111">
        <f>1+C22</f>
        <v>45512</v>
      </c>
      <c r="D23" s="5"/>
    </row>
    <row r="24" spans="2:4" x14ac:dyDescent="0.25">
      <c r="B24" s="108" t="s">
        <v>71</v>
      </c>
      <c r="C24" s="111">
        <f>1+C23</f>
        <v>45513</v>
      </c>
      <c r="D24" s="5"/>
    </row>
    <row r="25" spans="2:4" x14ac:dyDescent="0.25">
      <c r="B25" s="108" t="s">
        <v>64</v>
      </c>
      <c r="C25" s="143">
        <v>45537</v>
      </c>
      <c r="D25" s="5"/>
    </row>
    <row r="26" spans="2:4" x14ac:dyDescent="0.25">
      <c r="B26" s="108" t="s">
        <v>70</v>
      </c>
      <c r="C26" s="143">
        <v>45579</v>
      </c>
      <c r="D26" s="5"/>
    </row>
    <row r="27" spans="2:4" x14ac:dyDescent="0.25">
      <c r="B27" s="108" t="s">
        <v>66</v>
      </c>
      <c r="C27" s="111">
        <f>+DATE($B$2,12,23)</f>
        <v>45649</v>
      </c>
      <c r="D27" s="5"/>
    </row>
    <row r="28" spans="2:4" x14ac:dyDescent="0.25">
      <c r="B28" s="108" t="s">
        <v>66</v>
      </c>
      <c r="C28" s="111">
        <f>+DATE($B$2,12,24)</f>
        <v>45650</v>
      </c>
      <c r="D28" s="5"/>
    </row>
    <row r="29" spans="2:4" x14ac:dyDescent="0.25">
      <c r="B29" s="108" t="s">
        <v>66</v>
      </c>
      <c r="C29" s="111">
        <f>+DATE($B$2,12,25)</f>
        <v>45651</v>
      </c>
      <c r="D29" s="5"/>
    </row>
    <row r="30" spans="2:4" x14ac:dyDescent="0.25">
      <c r="B30" s="108" t="s">
        <v>66</v>
      </c>
      <c r="C30" s="111">
        <f>+DATE($B$2,12,26)</f>
        <v>45652</v>
      </c>
      <c r="D30" s="5"/>
    </row>
    <row r="31" spans="2:4" x14ac:dyDescent="0.25">
      <c r="B31" s="108" t="s">
        <v>66</v>
      </c>
      <c r="C31" s="111">
        <f>+DATE($B$2,12,27)</f>
        <v>45653</v>
      </c>
      <c r="D31" s="5"/>
    </row>
    <row r="32" spans="2:4" x14ac:dyDescent="0.25">
      <c r="B32" s="108" t="s">
        <v>66</v>
      </c>
      <c r="C32" s="111">
        <f>+DATE($B$2,12,28)</f>
        <v>45654</v>
      </c>
      <c r="D32" s="5"/>
    </row>
    <row r="33" spans="2:4" x14ac:dyDescent="0.25">
      <c r="B33" s="108" t="s">
        <v>66</v>
      </c>
      <c r="C33" s="111">
        <f>+DATE($B$2,12,29)</f>
        <v>45655</v>
      </c>
      <c r="D33" s="5"/>
    </row>
    <row r="34" spans="2:4" x14ac:dyDescent="0.25">
      <c r="B34" s="108" t="s">
        <v>66</v>
      </c>
      <c r="C34" s="111">
        <f>+DATE($B$2,12,30)</f>
        <v>45656</v>
      </c>
    </row>
    <row r="35" spans="2:4" x14ac:dyDescent="0.25">
      <c r="B35" s="108" t="s">
        <v>66</v>
      </c>
      <c r="C35" s="111">
        <f>+DATE($B$2,12,31)</f>
        <v>45657</v>
      </c>
    </row>
    <row r="36" spans="2:4" x14ac:dyDescent="0.25">
      <c r="B36" s="108" t="s">
        <v>66</v>
      </c>
      <c r="C36" s="111">
        <f>+DATE($B$2+1,1,1)</f>
        <v>45658</v>
      </c>
    </row>
    <row r="37" spans="2:4" x14ac:dyDescent="0.25">
      <c r="B37" s="108" t="s">
        <v>66</v>
      </c>
      <c r="C37" s="111">
        <f>+DATE($B$2+1,1,2)</f>
        <v>45659</v>
      </c>
    </row>
    <row r="38" spans="2:4" x14ac:dyDescent="0.25">
      <c r="B38" s="108" t="s">
        <v>66</v>
      </c>
      <c r="C38" s="111">
        <f>+DATE($B$2+1,1,3)</f>
        <v>45660</v>
      </c>
      <c r="D38" s="5"/>
    </row>
    <row r="39" spans="2:4" x14ac:dyDescent="0.25">
      <c r="B39" s="112"/>
      <c r="C39" s="110"/>
      <c r="D39" s="5"/>
    </row>
    <row r="40" spans="2:4" x14ac:dyDescent="0.25">
      <c r="B40" s="112"/>
      <c r="C40" s="110"/>
      <c r="D40" s="5"/>
    </row>
    <row r="41" spans="2:4" ht="15.75" thickBot="1" x14ac:dyDescent="0.3">
      <c r="B41" s="112"/>
      <c r="C41" s="110"/>
      <c r="D41" s="5"/>
    </row>
    <row r="42" spans="2:4" x14ac:dyDescent="0.25">
      <c r="B42" s="152">
        <v>2025</v>
      </c>
      <c r="C42" s="20"/>
      <c r="D42" s="13"/>
    </row>
    <row r="43" spans="2:4" x14ac:dyDescent="0.25">
      <c r="B43" s="108"/>
      <c r="C43" s="109"/>
      <c r="D43" s="5"/>
    </row>
    <row r="44" spans="2:4" x14ac:dyDescent="0.25">
      <c r="B44" s="108" t="s">
        <v>62</v>
      </c>
      <c r="C44" s="111">
        <f>+DATE($B42,1,1)</f>
        <v>45658</v>
      </c>
      <c r="D44" s="5"/>
    </row>
    <row r="45" spans="2:4" x14ac:dyDescent="0.25">
      <c r="B45" s="108" t="s">
        <v>67</v>
      </c>
      <c r="C45" s="110">
        <v>45382</v>
      </c>
    </row>
    <row r="46" spans="2:4" x14ac:dyDescent="0.25">
      <c r="B46" s="108" t="s">
        <v>63</v>
      </c>
      <c r="C46" s="111">
        <f>+C45+1</f>
        <v>45383</v>
      </c>
    </row>
    <row r="47" spans="2:4" x14ac:dyDescent="0.25">
      <c r="B47" s="108" t="s">
        <v>68</v>
      </c>
      <c r="C47" s="143">
        <v>45432</v>
      </c>
      <c r="D47" s="5"/>
    </row>
    <row r="48" spans="2:4" x14ac:dyDescent="0.25">
      <c r="B48" s="108" t="s">
        <v>65</v>
      </c>
      <c r="C48" s="111">
        <f>+ DATE($B42,6,24)</f>
        <v>45832</v>
      </c>
      <c r="D48" s="5"/>
    </row>
    <row r="49" spans="2:4" x14ac:dyDescent="0.25">
      <c r="B49" s="108" t="s">
        <v>69</v>
      </c>
      <c r="C49" s="111">
        <f>+ DATE($B42,7,1)</f>
        <v>45839</v>
      </c>
    </row>
    <row r="50" spans="2:4" x14ac:dyDescent="0.25">
      <c r="B50" s="108" t="s">
        <v>71</v>
      </c>
      <c r="C50" s="143">
        <v>45859</v>
      </c>
    </row>
    <row r="51" spans="2:4" x14ac:dyDescent="0.25">
      <c r="B51" s="108" t="s">
        <v>71</v>
      </c>
      <c r="C51" s="111">
        <f>1+C50</f>
        <v>45860</v>
      </c>
    </row>
    <row r="52" spans="2:4" x14ac:dyDescent="0.25">
      <c r="B52" s="108" t="s">
        <v>71</v>
      </c>
      <c r="C52" s="111">
        <f>1+C51</f>
        <v>45861</v>
      </c>
    </row>
    <row r="53" spans="2:4" x14ac:dyDescent="0.25">
      <c r="B53" s="108" t="s">
        <v>71</v>
      </c>
      <c r="C53" s="111">
        <f>1+C52</f>
        <v>45862</v>
      </c>
    </row>
    <row r="54" spans="2:4" x14ac:dyDescent="0.25">
      <c r="B54" s="108" t="s">
        <v>71</v>
      </c>
      <c r="C54" s="111">
        <f>1+C53</f>
        <v>45863</v>
      </c>
    </row>
    <row r="55" spans="2:4" x14ac:dyDescent="0.25">
      <c r="B55" s="108" t="s">
        <v>71</v>
      </c>
      <c r="C55" s="111">
        <f>C54+3</f>
        <v>45866</v>
      </c>
      <c r="D55" s="13"/>
    </row>
    <row r="56" spans="2:4" x14ac:dyDescent="0.25">
      <c r="B56" s="108" t="s">
        <v>71</v>
      </c>
      <c r="C56" s="111">
        <f>1+C55</f>
        <v>45867</v>
      </c>
      <c r="D56" s="13"/>
    </row>
    <row r="57" spans="2:4" x14ac:dyDescent="0.25">
      <c r="B57" s="108" t="s">
        <v>71</v>
      </c>
      <c r="C57" s="111">
        <f>1+C56</f>
        <v>45868</v>
      </c>
    </row>
    <row r="58" spans="2:4" x14ac:dyDescent="0.25">
      <c r="B58" s="108" t="s">
        <v>71</v>
      </c>
      <c r="C58" s="111">
        <f>1+C57</f>
        <v>45869</v>
      </c>
    </row>
    <row r="59" spans="2:4" x14ac:dyDescent="0.25">
      <c r="B59" s="108" t="s">
        <v>71</v>
      </c>
      <c r="C59" s="111">
        <f>1+C58</f>
        <v>45870</v>
      </c>
    </row>
    <row r="60" spans="2:4" x14ac:dyDescent="0.25">
      <c r="B60" s="108" t="s">
        <v>71</v>
      </c>
      <c r="C60" s="111">
        <f>C59+3</f>
        <v>45873</v>
      </c>
    </row>
    <row r="61" spans="2:4" x14ac:dyDescent="0.25">
      <c r="B61" s="108" t="s">
        <v>71</v>
      </c>
      <c r="C61" s="111">
        <f>1+C60</f>
        <v>45874</v>
      </c>
    </row>
    <row r="62" spans="2:4" x14ac:dyDescent="0.25">
      <c r="B62" s="108" t="s">
        <v>71</v>
      </c>
      <c r="C62" s="111">
        <f>1+C61</f>
        <v>45875</v>
      </c>
    </row>
    <row r="63" spans="2:4" x14ac:dyDescent="0.25">
      <c r="B63" s="108" t="s">
        <v>71</v>
      </c>
      <c r="C63" s="111">
        <f>1+C62</f>
        <v>45876</v>
      </c>
    </row>
    <row r="64" spans="2:4" x14ac:dyDescent="0.25">
      <c r="B64" s="108" t="s">
        <v>71</v>
      </c>
      <c r="C64" s="111">
        <f>1+C63</f>
        <v>45877</v>
      </c>
    </row>
    <row r="65" spans="1:3" x14ac:dyDescent="0.25">
      <c r="B65" s="108" t="s">
        <v>64</v>
      </c>
      <c r="C65" s="143">
        <v>45902</v>
      </c>
    </row>
    <row r="66" spans="1:3" x14ac:dyDescent="0.25">
      <c r="B66" s="108" t="s">
        <v>70</v>
      </c>
      <c r="C66" s="143">
        <v>45943</v>
      </c>
    </row>
    <row r="67" spans="1:3" x14ac:dyDescent="0.25">
      <c r="B67" s="108" t="s">
        <v>66</v>
      </c>
      <c r="C67" s="111">
        <f>+DATE($B$42,12,23)</f>
        <v>46014</v>
      </c>
    </row>
    <row r="68" spans="1:3" x14ac:dyDescent="0.25">
      <c r="B68" s="108" t="s">
        <v>66</v>
      </c>
      <c r="C68" s="111">
        <f>+DATE($B$42,12,24)</f>
        <v>46015</v>
      </c>
    </row>
    <row r="69" spans="1:3" x14ac:dyDescent="0.25">
      <c r="B69" s="108" t="s">
        <v>66</v>
      </c>
      <c r="C69" s="111">
        <f>+DATE($B$42,12,25)</f>
        <v>46016</v>
      </c>
    </row>
    <row r="70" spans="1:3" x14ac:dyDescent="0.25">
      <c r="B70" s="108" t="s">
        <v>66</v>
      </c>
      <c r="C70" s="111">
        <f>+DATE($B$42,12,26)</f>
        <v>46017</v>
      </c>
    </row>
    <row r="71" spans="1:3" x14ac:dyDescent="0.25">
      <c r="B71" s="108" t="s">
        <v>66</v>
      </c>
      <c r="C71" s="111">
        <f>+DATE($B$42,12,27)</f>
        <v>46018</v>
      </c>
    </row>
    <row r="72" spans="1:3" x14ac:dyDescent="0.25">
      <c r="B72" s="108" t="s">
        <v>66</v>
      </c>
      <c r="C72" s="111">
        <f>+DATE($B$42,12,28)</f>
        <v>46019</v>
      </c>
    </row>
    <row r="73" spans="1:3" x14ac:dyDescent="0.25">
      <c r="B73" s="108" t="s">
        <v>66</v>
      </c>
      <c r="C73" s="111">
        <f>+DATE($B$42,12,29)</f>
        <v>46020</v>
      </c>
    </row>
    <row r="74" spans="1:3" x14ac:dyDescent="0.25">
      <c r="B74" s="108" t="s">
        <v>66</v>
      </c>
      <c r="C74" s="111">
        <f>+DATE($B$42,12,30)</f>
        <v>46021</v>
      </c>
    </row>
    <row r="75" spans="1:3" x14ac:dyDescent="0.25">
      <c r="B75" s="108" t="s">
        <v>66</v>
      </c>
      <c r="C75" s="111">
        <f>+DATE($B$42,12,31)</f>
        <v>46022</v>
      </c>
    </row>
    <row r="76" spans="1:3" x14ac:dyDescent="0.25">
      <c r="B76" s="108" t="s">
        <v>66</v>
      </c>
      <c r="C76" s="111">
        <f>+DATE($B$42+1,1,1)</f>
        <v>46023</v>
      </c>
    </row>
    <row r="77" spans="1:3" x14ac:dyDescent="0.25">
      <c r="B77" s="108" t="s">
        <v>66</v>
      </c>
      <c r="C77" s="111">
        <f>+DATE($B$42+1,1,2)</f>
        <v>46024</v>
      </c>
    </row>
    <row r="78" spans="1:3" x14ac:dyDescent="0.25">
      <c r="B78" s="108" t="s">
        <v>66</v>
      </c>
      <c r="C78" s="111">
        <f>+DATE($B$42+1,1,3)</f>
        <v>46025</v>
      </c>
    </row>
    <row r="79" spans="1:3" ht="15.75" thickBot="1" x14ac:dyDescent="0.3">
      <c r="B79" s="113"/>
      <c r="C79" s="114"/>
    </row>
    <row r="80" spans="1:3" x14ac:dyDescent="0.25">
      <c r="A80" s="144"/>
      <c r="B80" t="s">
        <v>162</v>
      </c>
    </row>
  </sheetData>
  <sheetProtection formatCells="0" insertRows="0" deleteRows="0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05189-AE78-4EEA-896A-4B9CDAF82742}">
  <sheetPr>
    <tabColor theme="1"/>
  </sheetPr>
  <dimension ref="A1:BN115"/>
  <sheetViews>
    <sheetView tabSelected="1" topLeftCell="A3" zoomScale="98" zoomScaleNormal="98" workbookViewId="0">
      <selection activeCell="D19" sqref="D19"/>
    </sheetView>
  </sheetViews>
  <sheetFormatPr defaultColWidth="11.42578125" defaultRowHeight="15" outlineLevelRow="1" x14ac:dyDescent="0.25"/>
  <cols>
    <col min="1" max="1" width="16.140625" style="10" bestFit="1" customWidth="1"/>
    <col min="2" max="2" width="17" style="10" bestFit="1" customWidth="1"/>
    <col min="3" max="3" width="20.5703125" style="15" bestFit="1" customWidth="1"/>
    <col min="4" max="4" width="20.5703125" style="15" customWidth="1"/>
    <col min="5" max="5" width="15.85546875" style="189" customWidth="1"/>
    <col min="6" max="6" width="11.140625" style="15" customWidth="1"/>
    <col min="7" max="7" width="22.42578125" style="15" customWidth="1"/>
    <col min="8" max="8" width="9.42578125" style="15" customWidth="1"/>
    <col min="9" max="12" width="11.28515625" style="15" customWidth="1"/>
    <col min="13" max="13" width="11.42578125" style="15" customWidth="1"/>
    <col min="14" max="14" width="14.28515625" style="15" customWidth="1"/>
    <col min="15" max="16" width="16.5703125" style="15" customWidth="1"/>
    <col min="17" max="17" width="22.85546875" style="15" customWidth="1"/>
    <col min="18" max="20" width="15.85546875" style="15" customWidth="1"/>
    <col min="21" max="23" width="13.85546875" style="15" customWidth="1"/>
    <col min="24" max="24" width="14.7109375" style="15" customWidth="1"/>
    <col min="25" max="26" width="17" style="15" customWidth="1"/>
    <col min="27" max="27" width="21" style="15" customWidth="1"/>
    <col min="28" max="30" width="15.85546875" style="15" customWidth="1"/>
    <col min="31" max="33" width="13.85546875" style="15" customWidth="1"/>
    <col min="34" max="34" width="13" style="15" customWidth="1"/>
    <col min="35" max="35" width="15.140625" style="15" customWidth="1"/>
    <col min="36" max="36" width="14.5703125" style="9" customWidth="1"/>
    <col min="37" max="44" width="13.5703125" style="9" customWidth="1"/>
    <col min="45" max="45" width="14.5703125" style="9" customWidth="1"/>
    <col min="46" max="54" width="13.5703125" style="9" customWidth="1"/>
    <col min="55" max="56" width="16.5703125" style="9" customWidth="1"/>
    <col min="57" max="57" width="17" style="130" customWidth="1"/>
    <col min="58" max="58" width="15.140625" style="130" customWidth="1"/>
    <col min="59" max="60" width="13.5703125" style="137" customWidth="1"/>
    <col min="61" max="61" width="17.85546875" style="137" customWidth="1"/>
    <col min="62" max="62" width="15.85546875" style="15" bestFit="1" customWidth="1"/>
    <col min="63" max="63" width="13.5703125" style="9" bestFit="1" customWidth="1"/>
    <col min="64" max="64" width="13.42578125" style="74" bestFit="1" customWidth="1"/>
    <col min="65" max="65" width="13.42578125" style="2" bestFit="1" customWidth="1"/>
    <col min="66" max="66" width="13.42578125" style="74" bestFit="1" customWidth="1"/>
  </cols>
  <sheetData>
    <row r="1" spans="1:66" x14ac:dyDescent="0.25">
      <c r="A1" s="49" t="s">
        <v>73</v>
      </c>
      <c r="B1" s="49"/>
      <c r="C1" s="18" t="s">
        <v>75</v>
      </c>
      <c r="D1" s="18" t="s">
        <v>107</v>
      </c>
      <c r="E1" s="186" t="s">
        <v>72</v>
      </c>
      <c r="F1" s="19" t="s">
        <v>24</v>
      </c>
      <c r="G1" s="40" t="str">
        <f>+CONCATENATE(POSTE!$B2,"-","MARQ")</f>
        <v>RADIAL (WF + C)-MARQ</v>
      </c>
      <c r="H1" s="41" t="str">
        <f>+CONCATENATE(POSTE!$B3,"-","MARQ")</f>
        <v>LS-MARQ</v>
      </c>
      <c r="I1" s="41" t="str">
        <f>+CONCATENATE(POSTE!$B4,"-","MARQ")</f>
        <v>LC-MARQ</v>
      </c>
      <c r="J1" s="41" t="str">
        <f>+CONCATENATE(POSTE!$B5,"-","MARQ")</f>
        <v>LB-MARQ</v>
      </c>
      <c r="K1" s="41" t="str">
        <f>+CONCATENATE(POSTE!$B7,"-","MARQ")</f>
        <v>PL+-MARQ</v>
      </c>
      <c r="L1" s="41" t="str">
        <f>+CONCATENATE(POSTE!$B8,"-","MARQ")</f>
        <v>PL--MARQ</v>
      </c>
      <c r="M1" s="41" t="str">
        <f>+CONCATENATE(POSTE!$B9,"-","MARQ")</f>
        <v>6a15-MARQ</v>
      </c>
      <c r="N1" s="41" t="str">
        <f>+CONCATENATE(POSTE!$B10,"-","MARQ")</f>
        <v>DIVERS-MARQ</v>
      </c>
      <c r="O1" s="42" t="str">
        <f>+CONCATENATE(POSTE!$B11,"-","MARQ")</f>
        <v>SOUDURE-MARQ</v>
      </c>
      <c r="P1" s="115" t="s">
        <v>110</v>
      </c>
      <c r="Q1" s="34" t="str">
        <f>+CONCATENATE(POSTE!$B2,"-","POIDS")</f>
        <v>RADIAL (WF + C)-POIDS</v>
      </c>
      <c r="R1" s="35" t="str">
        <f>+CONCATENATE(POSTE!$B3,"-","POIDS")</f>
        <v>LS-POIDS</v>
      </c>
      <c r="S1" s="35" t="str">
        <f>+CONCATENATE(POSTE!$B4,"-","POIDS")</f>
        <v>LC-POIDS</v>
      </c>
      <c r="T1" s="35" t="str">
        <f>+CONCATENATE(POSTE!$B5,"-","POIDS")</f>
        <v>LB-POIDS</v>
      </c>
      <c r="U1" s="35" t="str">
        <f>+CONCATENATE(POSTE!$B7,"-","POIDS")</f>
        <v>PL+-POIDS</v>
      </c>
      <c r="V1" s="35" t="str">
        <f>+CONCATENATE(POSTE!$B8,"-","POIDS")</f>
        <v>PL--POIDS</v>
      </c>
      <c r="W1" s="35" t="str">
        <f>+CONCATENATE(POSTE!$B9,"-","POIDS")</f>
        <v>6a15-POIDS</v>
      </c>
      <c r="X1" s="35" t="str">
        <f>+CONCATENATE(POSTE!$B10,"-","POIDS")</f>
        <v>DIVERS-POIDS</v>
      </c>
      <c r="Y1" s="36" t="str">
        <f>+CONCATENATE(POSTE!$B11,"-","POIDS")</f>
        <v>SOUDURE-POIDS</v>
      </c>
      <c r="Z1" s="117" t="s">
        <v>111</v>
      </c>
      <c r="AA1" s="40" t="str">
        <f>+CONCATENATE(POSTE!$B2,"-","CUM")</f>
        <v>RADIAL (WF + C)-CUM</v>
      </c>
      <c r="AB1" s="41" t="str">
        <f>+CONCATENATE(POSTE!$B3,"-","CUM")</f>
        <v>LS-CUM</v>
      </c>
      <c r="AC1" s="41" t="str">
        <f>+CONCATENATE(POSTE!$B4,"-","CUM")</f>
        <v>LC-CUM</v>
      </c>
      <c r="AD1" s="41" t="str">
        <f>+CONCATENATE(POSTE!$B5,"-","CUM")</f>
        <v>LB-CUM</v>
      </c>
      <c r="AE1" s="41" t="str">
        <f>+CONCATENATE(POSTE!$B7,"-","CUM")</f>
        <v>PL+-CUM</v>
      </c>
      <c r="AF1" s="41" t="str">
        <f>+CONCATENATE(POSTE!$B8,"-","CUM")</f>
        <v>PL--CUM</v>
      </c>
      <c r="AG1" s="41" t="str">
        <f>+CONCATENATE(POSTE!$B9,"-","CUM")</f>
        <v>6a15-CUM</v>
      </c>
      <c r="AH1" s="41" t="str">
        <f>+CONCATENATE(POSTE!$B10,"-","CUM")</f>
        <v>DIVERS-CUM</v>
      </c>
      <c r="AI1" s="42" t="str">
        <f>+CONCATENATE(POSTE!$B11,"-","CUM")</f>
        <v>SOUDURE-CUM</v>
      </c>
      <c r="AJ1" s="80" t="s">
        <v>14</v>
      </c>
      <c r="AK1" s="81" t="s">
        <v>35</v>
      </c>
      <c r="AL1" s="81" t="s">
        <v>36</v>
      </c>
      <c r="AM1" s="81" t="s">
        <v>37</v>
      </c>
      <c r="AN1" s="81" t="s">
        <v>38</v>
      </c>
      <c r="AO1" s="81" t="s">
        <v>39</v>
      </c>
      <c r="AP1" s="81" t="s">
        <v>40</v>
      </c>
      <c r="AQ1" s="81" t="s">
        <v>12</v>
      </c>
      <c r="AR1" s="33" t="s">
        <v>4</v>
      </c>
      <c r="AS1" s="84" t="s">
        <v>14</v>
      </c>
      <c r="AT1" s="85" t="s">
        <v>35</v>
      </c>
      <c r="AU1" s="85" t="s">
        <v>102</v>
      </c>
      <c r="AV1" s="85" t="s">
        <v>38</v>
      </c>
      <c r="AW1" s="85" t="s">
        <v>39</v>
      </c>
      <c r="AX1" s="85" t="s">
        <v>40</v>
      </c>
      <c r="AY1" s="85" t="s">
        <v>12</v>
      </c>
      <c r="AZ1" s="85" t="s">
        <v>4</v>
      </c>
      <c r="BA1" s="85" t="s">
        <v>36</v>
      </c>
      <c r="BB1" s="85" t="s">
        <v>37</v>
      </c>
      <c r="BC1" s="17" t="s">
        <v>31</v>
      </c>
      <c r="BD1" s="17" t="s">
        <v>32</v>
      </c>
      <c r="BE1" s="127" t="s">
        <v>124</v>
      </c>
      <c r="BF1" s="131" t="str">
        <f>+CONCATENATE(POSTE!$B12,"-","CUM")</f>
        <v>MONTAGE-CUM</v>
      </c>
      <c r="BG1" s="133" t="s">
        <v>122</v>
      </c>
      <c r="BH1" s="133" t="s">
        <v>122</v>
      </c>
      <c r="BI1" s="138" t="s">
        <v>109</v>
      </c>
      <c r="BJ1" s="40" t="s">
        <v>102</v>
      </c>
      <c r="BK1" s="75" t="s">
        <v>104</v>
      </c>
      <c r="BL1" s="76" t="s">
        <v>104</v>
      </c>
      <c r="BM1" s="88" t="s">
        <v>104</v>
      </c>
      <c r="BN1" s="76" t="s">
        <v>104</v>
      </c>
    </row>
    <row r="2" spans="1:66" ht="15.75" thickBot="1" x14ac:dyDescent="0.3">
      <c r="A2" s="49"/>
      <c r="B2" s="49"/>
      <c r="C2" s="18">
        <v>0</v>
      </c>
      <c r="D2" s="18"/>
      <c r="E2" s="186"/>
      <c r="F2" s="19"/>
      <c r="G2" s="40"/>
      <c r="H2" s="41"/>
      <c r="I2" s="41"/>
      <c r="J2" s="41"/>
      <c r="K2" s="41"/>
      <c r="L2" s="41"/>
      <c r="M2" s="41"/>
      <c r="N2" s="41"/>
      <c r="O2" s="42"/>
      <c r="P2" s="115"/>
      <c r="Q2" s="34"/>
      <c r="R2" s="35"/>
      <c r="S2" s="35"/>
      <c r="T2" s="35"/>
      <c r="U2" s="35"/>
      <c r="V2" s="35"/>
      <c r="W2" s="35"/>
      <c r="X2" s="35"/>
      <c r="Y2" s="36"/>
      <c r="Z2" s="117"/>
      <c r="AA2" s="40"/>
      <c r="AB2" s="41"/>
      <c r="AC2" s="41"/>
      <c r="AD2" s="41"/>
      <c r="AE2" s="41"/>
      <c r="AF2" s="41"/>
      <c r="AG2" s="41"/>
      <c r="AH2" s="41"/>
      <c r="AI2" s="42"/>
      <c r="AJ2" s="80" t="s">
        <v>25</v>
      </c>
      <c r="AK2" s="81" t="s">
        <v>25</v>
      </c>
      <c r="AL2" s="81" t="s">
        <v>25</v>
      </c>
      <c r="AM2" s="81" t="s">
        <v>25</v>
      </c>
      <c r="AN2" s="81" t="s">
        <v>25</v>
      </c>
      <c r="AO2" s="81" t="s">
        <v>25</v>
      </c>
      <c r="AP2" s="81" t="s">
        <v>25</v>
      </c>
      <c r="AQ2" s="81" t="s">
        <v>25</v>
      </c>
      <c r="AR2" s="33" t="s">
        <v>25</v>
      </c>
      <c r="AS2" s="84" t="s">
        <v>23</v>
      </c>
      <c r="AT2" s="85" t="s">
        <v>23</v>
      </c>
      <c r="AU2" s="85" t="s">
        <v>23</v>
      </c>
      <c r="AV2" s="85" t="s">
        <v>23</v>
      </c>
      <c r="AW2" s="85" t="s">
        <v>23</v>
      </c>
      <c r="AX2" s="85" t="s">
        <v>23</v>
      </c>
      <c r="AY2" s="85" t="s">
        <v>23</v>
      </c>
      <c r="AZ2" s="85" t="s">
        <v>23</v>
      </c>
      <c r="BA2" s="85" t="s">
        <v>23</v>
      </c>
      <c r="BB2" s="85" t="s">
        <v>23</v>
      </c>
      <c r="BC2" s="17"/>
      <c r="BD2" s="17"/>
      <c r="BE2" s="127"/>
      <c r="BF2" s="127"/>
      <c r="BG2" s="134" t="s">
        <v>25</v>
      </c>
      <c r="BH2" s="134" t="s">
        <v>23</v>
      </c>
      <c r="BI2" s="138"/>
      <c r="BJ2" s="40" t="s">
        <v>103</v>
      </c>
      <c r="BK2" s="17" t="s">
        <v>6</v>
      </c>
      <c r="BL2" s="17" t="s">
        <v>105</v>
      </c>
      <c r="BM2" s="70" t="s">
        <v>20</v>
      </c>
      <c r="BN2" s="17" t="s">
        <v>106</v>
      </c>
    </row>
    <row r="3" spans="1:66" s="24" customFormat="1" ht="15.75" outlineLevel="1" thickBot="1" x14ac:dyDescent="0.3">
      <c r="A3" s="48" t="s">
        <v>199</v>
      </c>
      <c r="B3" s="48"/>
      <c r="C3" s="203">
        <v>5</v>
      </c>
      <c r="D3" s="203">
        <v>4</v>
      </c>
      <c r="E3" s="204">
        <v>7</v>
      </c>
      <c r="F3" s="203">
        <v>15</v>
      </c>
      <c r="G3" s="48">
        <f t="shared" ref="E3:BN3" si="0">+COLUMN()-2</f>
        <v>5</v>
      </c>
      <c r="H3" s="48">
        <f t="shared" si="0"/>
        <v>6</v>
      </c>
      <c r="I3" s="48">
        <f t="shared" si="0"/>
        <v>7</v>
      </c>
      <c r="J3" s="48">
        <f t="shared" si="0"/>
        <v>8</v>
      </c>
      <c r="K3" s="48">
        <f t="shared" si="0"/>
        <v>9</v>
      </c>
      <c r="L3" s="48">
        <f t="shared" si="0"/>
        <v>10</v>
      </c>
      <c r="M3" s="48">
        <f t="shared" si="0"/>
        <v>11</v>
      </c>
      <c r="N3" s="48">
        <f t="shared" si="0"/>
        <v>12</v>
      </c>
      <c r="O3" s="48">
        <f t="shared" si="0"/>
        <v>13</v>
      </c>
      <c r="P3" s="48">
        <f t="shared" si="0"/>
        <v>14</v>
      </c>
      <c r="Q3" s="48">
        <f t="shared" si="0"/>
        <v>15</v>
      </c>
      <c r="R3" s="48">
        <f t="shared" si="0"/>
        <v>16</v>
      </c>
      <c r="S3" s="48">
        <f t="shared" si="0"/>
        <v>17</v>
      </c>
      <c r="T3" s="48">
        <f t="shared" si="0"/>
        <v>18</v>
      </c>
      <c r="U3" s="48">
        <f t="shared" si="0"/>
        <v>19</v>
      </c>
      <c r="V3" s="48">
        <f t="shared" si="0"/>
        <v>20</v>
      </c>
      <c r="W3" s="48">
        <f t="shared" si="0"/>
        <v>21</v>
      </c>
      <c r="X3" s="48">
        <f t="shared" si="0"/>
        <v>22</v>
      </c>
      <c r="Y3" s="48">
        <f t="shared" si="0"/>
        <v>23</v>
      </c>
      <c r="Z3" s="48">
        <f t="shared" si="0"/>
        <v>24</v>
      </c>
      <c r="AA3" s="48">
        <f t="shared" si="0"/>
        <v>25</v>
      </c>
      <c r="AB3" s="48">
        <f t="shared" si="0"/>
        <v>26</v>
      </c>
      <c r="AC3" s="48">
        <f t="shared" si="0"/>
        <v>27</v>
      </c>
      <c r="AD3" s="48">
        <f t="shared" si="0"/>
        <v>28</v>
      </c>
      <c r="AE3" s="48">
        <f t="shared" si="0"/>
        <v>29</v>
      </c>
      <c r="AF3" s="48">
        <f t="shared" si="0"/>
        <v>30</v>
      </c>
      <c r="AG3" s="48">
        <f t="shared" si="0"/>
        <v>31</v>
      </c>
      <c r="AH3" s="48">
        <f t="shared" si="0"/>
        <v>32</v>
      </c>
      <c r="AI3" s="48">
        <f t="shared" si="0"/>
        <v>33</v>
      </c>
      <c r="AJ3" s="48">
        <f t="shared" si="0"/>
        <v>34</v>
      </c>
      <c r="AK3" s="48">
        <f t="shared" si="0"/>
        <v>35</v>
      </c>
      <c r="AL3" s="48">
        <f t="shared" si="0"/>
        <v>36</v>
      </c>
      <c r="AM3" s="48">
        <f t="shared" si="0"/>
        <v>37</v>
      </c>
      <c r="AN3" s="48">
        <f t="shared" si="0"/>
        <v>38</v>
      </c>
      <c r="AO3" s="48">
        <f t="shared" si="0"/>
        <v>39</v>
      </c>
      <c r="AP3" s="48">
        <f t="shared" si="0"/>
        <v>40</v>
      </c>
      <c r="AQ3" s="48">
        <f t="shared" si="0"/>
        <v>41</v>
      </c>
      <c r="AR3" s="48">
        <f t="shared" si="0"/>
        <v>42</v>
      </c>
      <c r="AS3" s="48">
        <f t="shared" si="0"/>
        <v>43</v>
      </c>
      <c r="AT3" s="48">
        <f t="shared" si="0"/>
        <v>44</v>
      </c>
      <c r="AU3" s="48">
        <f t="shared" si="0"/>
        <v>45</v>
      </c>
      <c r="AV3" s="48">
        <f t="shared" si="0"/>
        <v>46</v>
      </c>
      <c r="AW3" s="48">
        <f t="shared" si="0"/>
        <v>47</v>
      </c>
      <c r="AX3" s="48">
        <f t="shared" si="0"/>
        <v>48</v>
      </c>
      <c r="AY3" s="48">
        <f t="shared" si="0"/>
        <v>49</v>
      </c>
      <c r="AZ3" s="48">
        <f t="shared" si="0"/>
        <v>50</v>
      </c>
      <c r="BA3" s="48">
        <f t="shared" si="0"/>
        <v>51</v>
      </c>
      <c r="BB3" s="48">
        <f t="shared" si="0"/>
        <v>52</v>
      </c>
      <c r="BC3" s="48">
        <f t="shared" si="0"/>
        <v>53</v>
      </c>
      <c r="BD3" s="48">
        <f t="shared" si="0"/>
        <v>54</v>
      </c>
      <c r="BE3" s="48">
        <f t="shared" si="0"/>
        <v>55</v>
      </c>
      <c r="BF3" s="48">
        <f t="shared" si="0"/>
        <v>56</v>
      </c>
      <c r="BG3" s="48">
        <f t="shared" si="0"/>
        <v>57</v>
      </c>
      <c r="BH3" s="48">
        <f t="shared" si="0"/>
        <v>58</v>
      </c>
      <c r="BI3" s="48">
        <f t="shared" si="0"/>
        <v>59</v>
      </c>
      <c r="BJ3" s="48">
        <f t="shared" si="0"/>
        <v>60</v>
      </c>
      <c r="BK3" s="48">
        <f t="shared" si="0"/>
        <v>61</v>
      </c>
      <c r="BL3" s="48">
        <f t="shared" si="0"/>
        <v>62</v>
      </c>
      <c r="BM3" s="48">
        <f t="shared" si="0"/>
        <v>63</v>
      </c>
      <c r="BN3" s="48">
        <f t="shared" si="0"/>
        <v>64</v>
      </c>
    </row>
    <row r="4" spans="1:66" s="24" customFormat="1" ht="15.75" outlineLevel="1" thickBot="1" x14ac:dyDescent="0.3">
      <c r="A4" s="67" t="s">
        <v>200</v>
      </c>
      <c r="B4" s="67" t="s">
        <v>238</v>
      </c>
      <c r="C4" s="67">
        <v>0</v>
      </c>
      <c r="D4" s="67"/>
      <c r="E4" s="18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>
        <v>0</v>
      </c>
      <c r="AB4" s="69">
        <v>0</v>
      </c>
      <c r="AC4" s="69">
        <v>0</v>
      </c>
      <c r="AD4" s="69">
        <v>0</v>
      </c>
      <c r="AE4" s="69">
        <v>0</v>
      </c>
      <c r="AF4" s="69">
        <v>0</v>
      </c>
      <c r="AG4" s="69">
        <v>0</v>
      </c>
      <c r="AH4" s="69">
        <v>0</v>
      </c>
      <c r="AI4" s="69">
        <v>0</v>
      </c>
      <c r="AJ4" s="82"/>
      <c r="AK4" s="82"/>
      <c r="AL4" s="82"/>
      <c r="AM4" s="82"/>
      <c r="AN4" s="82"/>
      <c r="AO4" s="82"/>
      <c r="AP4" s="82"/>
      <c r="AQ4" s="82"/>
      <c r="AR4" s="83"/>
      <c r="AS4" s="82"/>
      <c r="AT4" s="86"/>
      <c r="AU4" s="86"/>
      <c r="AV4" s="86"/>
      <c r="AW4" s="86"/>
      <c r="AX4" s="86"/>
      <c r="AY4" s="86"/>
      <c r="AZ4" s="86"/>
      <c r="BA4" s="86"/>
      <c r="BB4" s="86"/>
      <c r="BC4" s="69"/>
      <c r="BD4" s="69"/>
      <c r="BE4" s="128"/>
      <c r="BF4" s="132">
        <v>0</v>
      </c>
      <c r="BG4" s="135"/>
      <c r="BH4" s="135" t="s">
        <v>34</v>
      </c>
      <c r="BI4" s="139"/>
      <c r="BJ4" s="69"/>
      <c r="BK4" s="69"/>
      <c r="BL4" s="69"/>
      <c r="BM4" s="89"/>
      <c r="BN4" s="69"/>
    </row>
    <row r="5" spans="1:66" ht="15.75" thickTop="1" x14ac:dyDescent="0.25">
      <c r="A5" s="49">
        <f>+ROW()-ROW($A$4)</f>
        <v>1</v>
      </c>
      <c r="B5" s="185" cm="1">
        <f t="array" ref="B5">_xlfn.LET(_xlpm.CORR,IF(DATA!$B$4:$B$104="",IF(DATA!$A$4:$A$104="","--",DATA!$A$4:$A$104),DATA!$B$4:$B$104),_xlpm.Rx,SMALL(_xlpm.CORR,A5),IFERROR(MATCH(_xlpm.Rx,_xlpm.CORR,0),0))</f>
        <v>7</v>
      </c>
      <c r="C5" s="191" t="str" cm="1">
        <f t="array" ref="C5">IF($B5=0,"",INDEX(Données,$B5,C$3))</f>
        <v>Traail 7</v>
      </c>
      <c r="D5" s="192" t="str" cm="1">
        <f t="array" ref="D5">IF($B5=0,"",INDEX(Données,$B5,D$3))</f>
        <v>Client 7</v>
      </c>
      <c r="E5" s="193" cm="1">
        <f t="array" ref="E5">IF($B5=0,"",INDEX(Données,$B5,E$3))</f>
        <v>45782</v>
      </c>
      <c r="F5" s="194" t="str" cm="1">
        <f t="array" ref="F5">IF($B5=0,"",INDEX(Données,$B5,F$3))</f>
        <v>OUI</v>
      </c>
      <c r="G5" s="173">
        <f>+IF($F5="oui",+VLOOKUP($A5,DATA!$A:$AG,DATA!$P$3,FALSE),0)</f>
        <v>7</v>
      </c>
      <c r="H5" s="44">
        <f>+IF($F5="oui",+VLOOKUP($A5,DATA!$A:$AG,DATA!$R$3,FALSE),0)</f>
        <v>2</v>
      </c>
      <c r="I5" s="44">
        <f>+IF($F5="oui",+VLOOKUP($A5,DATA!$A:$AG,DATA!$T$3,FALSE),0)</f>
        <v>0</v>
      </c>
      <c r="J5" s="44">
        <f>+IF($F5="oui",+VLOOKUP($A5,DATA!$A:$AG,DATA!$V$3,FALSE),0)</f>
        <v>0</v>
      </c>
      <c r="K5" s="44">
        <f>+IF($F5="oui",+VLOOKUP($A5,DATA!$A:$AG,DATA!$X$3,FALSE),0)</f>
        <v>0</v>
      </c>
      <c r="L5" s="44">
        <f>+IF($F5="oui",+VLOOKUP($A5,DATA!$A:$AG,DATA!$Z$3,FALSE),0)</f>
        <v>0</v>
      </c>
      <c r="M5" s="44">
        <f>+IF($F5="oui",+VLOOKUP($A5,DATA!$A:$AG,DATA!$AB$3,FALSE),0)</f>
        <v>0</v>
      </c>
      <c r="N5" s="44">
        <f>+IF($F5="oui",+VLOOKUP($A5,DATA!$A:$AG,DATA!$AD$3,FALSE),0)</f>
        <v>0</v>
      </c>
      <c r="O5" s="45">
        <f>+IF($F5="oui",+VLOOKUP($A5,DATA!$A:$AG,DATA!$AF$3,FALSE),0)</f>
        <v>5</v>
      </c>
      <c r="P5" s="116">
        <f>SUM(G5:O5)</f>
        <v>14</v>
      </c>
      <c r="Q5" s="21">
        <f>+IF($F5="oui",+VLOOKUP($A5,DATA!$A:$AG,DATA!$Q$3,FALSE),0)</f>
        <v>46958</v>
      </c>
      <c r="R5" s="22">
        <f>+IF($F5="oui",+VLOOKUP($A5,DATA!$A:$AG,DATA!$S$3,FALSE),0)</f>
        <v>3672</v>
      </c>
      <c r="S5" s="22">
        <f>+IF($F5="oui",+VLOOKUP($A5,DATA!$A:$AG,DATA!$U$3,FALSE),0)</f>
        <v>0</v>
      </c>
      <c r="T5" s="22">
        <f>+IF($F5="oui",+VLOOKUP($A5,DATA!$A:$AG,DATA!$W$3,FALSE),0)</f>
        <v>0</v>
      </c>
      <c r="U5" s="22">
        <f>+IF($F5="oui",+VLOOKUP($A5,DATA!$A:$AG,DATA!$Y$3,FALSE),0)</f>
        <v>0</v>
      </c>
      <c r="V5" s="22">
        <f>+IF($F5="oui",+VLOOKUP($A5,DATA!$A:$AG,DATA!$AA$3,FALSE),0)</f>
        <v>0</v>
      </c>
      <c r="W5" s="22">
        <f>+IF($F5="oui",+VLOOKUP($A5,DATA!$A:$AG,DATA!$AC$3,FALSE),0)</f>
        <v>0</v>
      </c>
      <c r="X5" s="22">
        <f>+IF($F5="oui",+VLOOKUP($A5,DATA!$A:$AG,DATA!$AE$3,FALSE),0)</f>
        <v>0</v>
      </c>
      <c r="Y5" s="23">
        <f>+IF($F5="oui",+VLOOKUP($A5,DATA!$A:$AG,DATA!$AG$3,FALSE),0)</f>
        <v>384</v>
      </c>
      <c r="Z5" s="118">
        <f t="shared" ref="Z5:Z36" si="1">SUM(Q5:Y5)</f>
        <v>51014</v>
      </c>
      <c r="AA5" s="43">
        <f t="shared" ref="AA5:AA36" si="2">+AA4+Q5</f>
        <v>46958</v>
      </c>
      <c r="AB5" s="44">
        <f t="shared" ref="AB5:AB36" si="3">+AB4+R5</f>
        <v>3672</v>
      </c>
      <c r="AC5" s="44">
        <f t="shared" ref="AC5:AC36" si="4">+AC4+S5</f>
        <v>0</v>
      </c>
      <c r="AD5" s="44">
        <f t="shared" ref="AD5:AD36" si="5">+AD4+T5</f>
        <v>0</v>
      </c>
      <c r="AE5" s="44">
        <f t="shared" ref="AE5:AE36" si="6">+AE4+U5</f>
        <v>0</v>
      </c>
      <c r="AF5" s="44">
        <f t="shared" ref="AF5:AF36" si="7">+AF4+V5</f>
        <v>0</v>
      </c>
      <c r="AG5" s="44">
        <f t="shared" ref="AG5:AG36" si="8">+AG4+W5</f>
        <v>0</v>
      </c>
      <c r="AH5" s="44">
        <f t="shared" ref="AH5:AH36" si="9">+AH4+X5</f>
        <v>0</v>
      </c>
      <c r="AI5" s="45">
        <f t="shared" ref="AI5:AI36" si="10">+AI4+Y5</f>
        <v>384</v>
      </c>
      <c r="AJ5" s="70">
        <f ca="1">+IF(Q5=0," ",+WORKDAY.INTL(+VLOOKUP(AJ$1,POSTE!$B:$G,3,FALSE),+CUM!AA4/+VLOOKUP(AJ$1,POSTE!$B:$H,7,FALSE),,CONGÉ!$C$2:$C$80))</f>
        <v>45754</v>
      </c>
      <c r="AK5" s="50">
        <f ca="1">+IF(R5=0," ",+WORKDAY.INTL(+VLOOKUP(AK$1,POSTE!$B:$G,3,FALSE),+CUM!AB4/+VLOOKUP(AK$1,POSTE!$B:$H,7,FALSE),,CONGÉ!$C$2:$C$80))</f>
        <v>45754</v>
      </c>
      <c r="AL5" s="50" t="str">
        <f>+IF(S5=0," ",+WORKDAY.INTL(+VLOOKUP(AL$1,POSTE!$B:$G,3,FALSE),+CUM!AC4/+VLOOKUP(AL$1,POSTE!$B:$H,7,FALSE),,CONGÉ!$C$2:$C$80))</f>
        <v xml:space="preserve"> </v>
      </c>
      <c r="AM5" s="50" t="str">
        <f>+IF(T5=0," ",+WORKDAY.INTL(+VLOOKUP(AM$1,POSTE!$B:$G,3,FALSE),+CUM!AD4/+VLOOKUP(AM$1,POSTE!$B:$H,7,FALSE),,CONGÉ!$C$2:$C$80))</f>
        <v xml:space="preserve"> </v>
      </c>
      <c r="AN5" s="50" t="str">
        <f>+IF(U5=0," ",+WORKDAY.INTL(+VLOOKUP(AN$1,POSTE!$B:$G,3,FALSE),+CUM!AE4/+VLOOKUP(AN$1,POSTE!$B:$H,7,FALSE),,CONGÉ!$C$2:$C$80))</f>
        <v xml:space="preserve"> </v>
      </c>
      <c r="AO5" s="50" t="str">
        <f>+IF(V5=0," ",+WORKDAY.INTL(+VLOOKUP(AO$1,POSTE!$B:$G,3,FALSE),+CUM!AF4/+VLOOKUP(AO$1,POSTE!$B:$H,7,FALSE),,CONGÉ!$C$2:$C$80))</f>
        <v xml:space="preserve"> </v>
      </c>
      <c r="AP5" s="50" t="str">
        <f>+IF(W5=0," ",+WORKDAY.INTL(+VLOOKUP(AP$1,POSTE!$B:$G,3,FALSE),+CUM!AG4/+VLOOKUP(AP$1,POSTE!$B:$H,7,FALSE),,CONGÉ!$C$2:$C$80))</f>
        <v xml:space="preserve"> </v>
      </c>
      <c r="AQ5" s="50" t="str">
        <f>+IF(X5=0," ",+WORKDAY.INTL(+VLOOKUP(AQ$1,POSTE!$B:$G,3,FALSE),+CUM!AH4/+VLOOKUP(AQ$1,POSTE!$B:$H,7,FALSE),,CONGÉ!$C$2:$C$80))</f>
        <v xml:space="preserve"> </v>
      </c>
      <c r="AR5" s="71">
        <f ca="1">+IF(Y5=0," ",+WORKDAY.INTL(+VLOOKUP(AR$1,POSTE!$B:$G,3,FALSE),+CUM!AI4/+VLOOKUP(AR$1,POSTE!$B:$H,7,FALSE),,CONGÉ!$C$2:$C$80))</f>
        <v>45754</v>
      </c>
      <c r="AS5" s="72">
        <f ca="1">+IF(Q5=0," ",+WORKDAY.INTL(+VLOOKUP(AS$1,POSTE!$B:$G,3,FALSE),+CUM!AA5/+VLOOKUP(AS$1,POSTE!$B:$H,7,FALSE),,CONGÉ!$C$2:$C$80))</f>
        <v>45761</v>
      </c>
      <c r="AT5" s="73">
        <f ca="1">+IF(R5=0," ",+WORKDAY.INTL(+VLOOKUP(AT$1,POSTE!$B:$G,3,FALSE),+CUM!AB5/+VLOOKUP(AT$1,POSTE!$B:$H,7,FALSE),,CONGÉ!$C$2:$C$80))</f>
        <v>45754</v>
      </c>
      <c r="AU5" s="73" t="str">
        <f>+IF(AND(S5=0,T5=0)," ",+WORKDAY.INTL(+VLOOKUP($AS$1,POSTE!B:J,3,FALSE),+(((AC5*POSTE!$H$5)+(CUM!AD5*POSTE!$H$4))/(POSTE!$H$4*POSTE!$H$5*2)),,CONGÉ!$C$2:$C$80))</f>
        <v xml:space="preserve"> </v>
      </c>
      <c r="AV5" s="73" t="str">
        <f>+IF(U5=0," ",+WORKDAY.INTL(+VLOOKUP(AV$1,POSTE!$B:$G,3,FALSE),+CUM!AE5/+VLOOKUP(AV$1,POSTE!$B:$H,7,FALSE),,CONGÉ!$C$2:$C$80))</f>
        <v xml:space="preserve"> </v>
      </c>
      <c r="AW5" s="73" t="str">
        <f>+IF(V5=0," ",+WORKDAY.INTL(+VLOOKUP(AW$1,POSTE!$B:$G,3,FALSE),+CUM!AF5/+VLOOKUP(AW$1,POSTE!$B:$H,7,FALSE),,CONGÉ!$C$2:$C$80))</f>
        <v xml:space="preserve"> </v>
      </c>
      <c r="AX5" s="73" t="str">
        <f>+IF(W5=0," ",+WORKDAY.INTL(+VLOOKUP(AX$1,POSTE!$B:$G,3,FALSE),+CUM!AG5/+VLOOKUP(AX$1,POSTE!$B:$H,7,FALSE),,CONGÉ!$C$2:$C$80))</f>
        <v xml:space="preserve"> </v>
      </c>
      <c r="AY5" s="73" t="str">
        <f>+IF(X5=0," ",+WORKDAY.INTL(+VLOOKUP(AY$1,POSTE!$B:$G,3,FALSE),+CUM!AH5/+VLOOKUP(AY$1,POSTE!$B:$H,7,FALSE),,CONGÉ!$C$2:$C$80))</f>
        <v xml:space="preserve"> </v>
      </c>
      <c r="AZ5" s="73">
        <f ca="1">+IF(Y5=0," ",+WORKDAY.INTL(+VLOOKUP(AZ$1,POSTE!$B:$G,3,FALSE),+CUM!AI5/+VLOOKUP(AZ$1,POSTE!$B:$H,7,FALSE),,CONGÉ!$C$2:$C$80))</f>
        <v>45764</v>
      </c>
      <c r="BA5" s="73" t="str">
        <f>+IF(S5=0," ",+WORKDAY.INTL(+VLOOKUP(BA$1,POSTE!$B:$G,3,FALSE),+CUM!AC5/+VLOOKUP(BA$1,POSTE!$B:$H,7,FALSE),,CONGÉ!$C$2:$C$80))</f>
        <v xml:space="preserve"> </v>
      </c>
      <c r="BB5" s="73" t="str">
        <f>+IF(T5=0," ",+WORKDAY.INTL(+VLOOKUP(BB$1,POSTE!$B:$G,3,FALSE),+CUM!AD5/+VLOOKUP(BB$1,POSTE!$B:$H,7,FALSE),,CONGÉ!$C$2:$C$80))</f>
        <v xml:space="preserve"> </v>
      </c>
      <c r="BC5" s="70">
        <f ca="1">+IF(+MIN(AJ5:AZ5)&gt;0,+MIN(AJ5:AZ5)," ")</f>
        <v>45754</v>
      </c>
      <c r="BD5" s="70">
        <f ca="1">+IF(+MAX(AS5:AZ5)&gt;0,+MAX(AS5:AZ5)," ")</f>
        <v>45764</v>
      </c>
      <c r="BE5" s="129">
        <f>+IF($F5="oui",+VLOOKUP($A5,DATA!$A:$AH,DATA!$AH$3,FALSE),0)</f>
        <v>0</v>
      </c>
      <c r="BF5" s="129">
        <f>+BF4+BE5</f>
        <v>0</v>
      </c>
      <c r="BG5" s="136" t="str">
        <f>+IF(BE5&gt;0,+MAX((BH$4:BH4),BD5),"")</f>
        <v/>
      </c>
      <c r="BH5" s="136" t="str">
        <f>+IF(BE5&gt;0,+MAX((BH$4:BH4),+WORKDAY.INTL(BG5,+BE5/8,,CONGÉ!$C$2:$C$73)),"")</f>
        <v/>
      </c>
      <c r="BI5" s="136">
        <f ca="1">+IF(BE5=0,+IFERROR(+EDATE(BD5,1)," "),+EDATE(BH5,1))</f>
        <v>45794</v>
      </c>
      <c r="BJ5" s="43">
        <f t="shared" ref="BJ5:BJ36" si="11">+AC5+AD5</f>
        <v>0</v>
      </c>
      <c r="BK5" s="77">
        <f ca="1">+TODAY()</f>
        <v>45754</v>
      </c>
      <c r="BL5" s="78">
        <f>+(((AC5*POSTE!$H$5)+(CUM!AD5*POSTE!$H$4))/(POSTE!$H$4*POSTE!$H$5*2))</f>
        <v>0</v>
      </c>
      <c r="BM5" s="90">
        <f ca="1">+WORKDAY.INTL(BK5,BL5,,CONGÉ!C$4:C$72)</f>
        <v>45754</v>
      </c>
      <c r="BN5" s="78" t="e">
        <f ca="1">+AU5-BM5</f>
        <v>#VALUE!</v>
      </c>
    </row>
    <row r="6" spans="1:66" x14ac:dyDescent="0.25">
      <c r="A6" s="49">
        <f>+ROW()-ROW($A$4)</f>
        <v>2</v>
      </c>
      <c r="B6" s="185" cm="1">
        <f t="array" ref="B6">_xlfn.LET(_xlpm.CORR,IF(DATA!$B$4:$B$104="",IF(DATA!$A$4:$A$104="","--",DATA!$A$4:$A$104),DATA!$B$4:$B$104),_xlpm.Rx,SMALL(_xlpm.CORR,A6),IFERROR(MATCH(_xlpm.Rx,_xlpm.CORR,0),0))</f>
        <v>10</v>
      </c>
      <c r="C6" s="195" t="str" cm="1">
        <f t="array" ref="C6">IF($B6=0,"",INDEX(Données,$B6,C$3))</f>
        <v>Traail 10</v>
      </c>
      <c r="D6" s="196" t="str" cm="1">
        <f t="array" ref="D6">IF($B6=0,"",INDEX(Données,$B6,D$3))</f>
        <v>Client 10</v>
      </c>
      <c r="E6" s="197" cm="1">
        <f t="array" ref="E6">IF($B6=0,"",INDEX(Données,$B6,E$3))</f>
        <v>45777</v>
      </c>
      <c r="F6" s="198" t="str" cm="1">
        <f t="array" ref="F6">IF($B6=0,"",INDEX(Données,$B6,F$3))</f>
        <v>OUI</v>
      </c>
      <c r="G6" s="173">
        <f>+IF($F6="oui",+VLOOKUP($A6,DATA!$A:$AG,DATA!$P$3,FALSE),0)</f>
        <v>6</v>
      </c>
      <c r="H6" s="44">
        <f>+IF($F6="oui",+VLOOKUP($A6,DATA!$A:$AG,DATA!$R$3,FALSE),0)</f>
        <v>27</v>
      </c>
      <c r="I6" s="44">
        <f>+IF($F6="oui",+VLOOKUP($A6,DATA!$A:$AG,DATA!$T$3,FALSE),0)</f>
        <v>102</v>
      </c>
      <c r="J6" s="44">
        <f>+IF($F6="oui",+VLOOKUP($A6,DATA!$A:$AG,DATA!$V$3,FALSE),0)</f>
        <v>76</v>
      </c>
      <c r="K6" s="44">
        <f>+IF($F6="oui",+VLOOKUP($A6,DATA!$A:$AG,DATA!$X$3,FALSE),0)</f>
        <v>14</v>
      </c>
      <c r="L6" s="44">
        <f>+IF($F6="oui",+VLOOKUP($A6,DATA!$A:$AG,DATA!$Z$3,FALSE),0)</f>
        <v>75</v>
      </c>
      <c r="M6" s="44">
        <f>+IF($F6="oui",+VLOOKUP($A6,DATA!$A:$AG,DATA!$AB$3,FALSE),0)</f>
        <v>0</v>
      </c>
      <c r="N6" s="44">
        <f>+IF($F6="oui",+VLOOKUP($A6,DATA!$A:$AG,DATA!$AD$3,FALSE),0)</f>
        <v>0</v>
      </c>
      <c r="O6" s="45">
        <f>+IF($F6="oui",+VLOOKUP($A6,DATA!$A:$AG,DATA!$AF$3,FALSE),0)</f>
        <v>15</v>
      </c>
      <c r="P6" s="116">
        <f t="shared" ref="P6:P69" si="12">SUM(G6:O6)</f>
        <v>315</v>
      </c>
      <c r="Q6" s="21">
        <f>+IF($F6="oui",+VLOOKUP($A6,DATA!$A:$AG,DATA!$Q$3,FALSE),0)</f>
        <v>77</v>
      </c>
      <c r="R6" s="22">
        <f>+IF($F6="oui",+VLOOKUP($A6,DATA!$A:$AG,DATA!$S$3,FALSE),0)</f>
        <v>25939</v>
      </c>
      <c r="S6" s="22">
        <f>+IF($F6="oui",+VLOOKUP($A6,DATA!$A:$AG,DATA!$U$3,FALSE),0)</f>
        <v>40115</v>
      </c>
      <c r="T6" s="22">
        <f>+IF($F6="oui",+VLOOKUP($A6,DATA!$A:$AG,DATA!$W$3,FALSE),0)</f>
        <v>3466</v>
      </c>
      <c r="U6" s="22">
        <f>+IF($F6="oui",+VLOOKUP($A6,DATA!$A:$AG,DATA!$Y$3,FALSE),0)</f>
        <v>2223</v>
      </c>
      <c r="V6" s="22">
        <f>+IF($F6="oui",+VLOOKUP($A6,DATA!$A:$AG,DATA!$AA$3,FALSE),0)</f>
        <v>4177</v>
      </c>
      <c r="W6" s="22">
        <f>+IF($F6="oui",+VLOOKUP($A6,DATA!$A:$AG,DATA!$AC$3,FALSE),0)</f>
        <v>0</v>
      </c>
      <c r="X6" s="22">
        <f>+IF($F6="oui",+VLOOKUP($A6,DATA!$A:$AG,DATA!$AE$3,FALSE),0)</f>
        <v>0</v>
      </c>
      <c r="Y6" s="23">
        <f>+IF($F6="oui",+VLOOKUP($A6,DATA!$A:$AG,DATA!$AG$3,FALSE),0)</f>
        <v>23</v>
      </c>
      <c r="Z6" s="118">
        <f t="shared" si="1"/>
        <v>76020</v>
      </c>
      <c r="AA6" s="43">
        <f t="shared" si="2"/>
        <v>47035</v>
      </c>
      <c r="AB6" s="44">
        <f t="shared" si="3"/>
        <v>29611</v>
      </c>
      <c r="AC6" s="44">
        <f t="shared" si="4"/>
        <v>40115</v>
      </c>
      <c r="AD6" s="44">
        <f t="shared" si="5"/>
        <v>3466</v>
      </c>
      <c r="AE6" s="44">
        <f t="shared" si="6"/>
        <v>2223</v>
      </c>
      <c r="AF6" s="44">
        <f t="shared" si="7"/>
        <v>4177</v>
      </c>
      <c r="AG6" s="44">
        <f t="shared" si="8"/>
        <v>0</v>
      </c>
      <c r="AH6" s="44">
        <f t="shared" si="9"/>
        <v>0</v>
      </c>
      <c r="AI6" s="45">
        <f t="shared" si="10"/>
        <v>407</v>
      </c>
      <c r="AJ6" s="70">
        <f ca="1">+IF(Q6=0," ",+WORKDAY.INTL(+VLOOKUP(AJ$1,POSTE!$B:$G,3,FALSE),+CUM!AA5/+VLOOKUP(AJ$1,POSTE!$B:$H,7,FALSE),,CONGÉ!$C$2:$C$80))</f>
        <v>45761</v>
      </c>
      <c r="AK6" s="50">
        <f ca="1">+IF(R6=0," ",+WORKDAY.INTL(+VLOOKUP(AK$1,POSTE!$B:$G,3,FALSE),+CUM!AB5/+VLOOKUP(AK$1,POSTE!$B:$H,7,FALSE),,CONGÉ!$C$2:$C$80))</f>
        <v>45754</v>
      </c>
      <c r="AL6" s="50">
        <f ca="1">+IF(S6=0," ",+WORKDAY.INTL(+VLOOKUP(AL$1,POSTE!$B:$G,3,FALSE),+CUM!AC5/+VLOOKUP(AL$1,POSTE!$B:$H,7,FALSE),,CONGÉ!$C$2:$C$80))</f>
        <v>45754</v>
      </c>
      <c r="AM6" s="50">
        <f ca="1">+IF(T6=0," ",+WORKDAY.INTL(+VLOOKUP(AM$1,POSTE!$B:$G,3,FALSE),+CUM!AD5/+VLOOKUP(AM$1,POSTE!$B:$H,7,FALSE),,CONGÉ!$C$2:$C$80))</f>
        <v>45754</v>
      </c>
      <c r="AN6" s="50">
        <f ca="1">+IF(U6=0," ",+WORKDAY.INTL(+VLOOKUP(AN$1,POSTE!$B:$G,3,FALSE),+CUM!AE5/+VLOOKUP(AN$1,POSTE!$B:$H,7,FALSE),,CONGÉ!$C$2:$C$80))</f>
        <v>45754</v>
      </c>
      <c r="AO6" s="50">
        <f ca="1">+IF(V6=0," ",+WORKDAY.INTL(+VLOOKUP(AO$1,POSTE!$B:$G,3,FALSE),+CUM!AF5/+VLOOKUP(AO$1,POSTE!$B:$H,7,FALSE),,CONGÉ!$C$2:$C$80))</f>
        <v>45754</v>
      </c>
      <c r="AP6" s="50" t="str">
        <f>+IF(W6=0," ",+WORKDAY.INTL(+VLOOKUP(AP$1,POSTE!$B:$G,3,FALSE),+CUM!AG5/+VLOOKUP(AP$1,POSTE!$B:$H,7,FALSE),,CONGÉ!$C$2:$C$80))</f>
        <v xml:space="preserve"> </v>
      </c>
      <c r="AQ6" s="50" t="str">
        <f>+IF(X6=0," ",+WORKDAY.INTL(+VLOOKUP(AQ$1,POSTE!$B:$G,3,FALSE),+CUM!AH5/+VLOOKUP(AQ$1,POSTE!$B:$H,7,FALSE),,CONGÉ!$C$2:$C$80))</f>
        <v xml:space="preserve"> </v>
      </c>
      <c r="AR6" s="71">
        <f ca="1">+IF(Y6=0," ",+WORKDAY.INTL(+VLOOKUP(AR$1,POSTE!$B:$G,3,FALSE),+CUM!AI5/+VLOOKUP(AR$1,POSTE!$B:$H,7,FALSE),,CONGÉ!$C$2:$C$80))</f>
        <v>45764</v>
      </c>
      <c r="AS6" s="72">
        <f ca="1">+IF(Q6=0," ",+WORKDAY.INTL(+VLOOKUP(AS$1,POSTE!$B:$G,3,FALSE),+CUM!AA6/+VLOOKUP(AS$1,POSTE!$B:$H,7,FALSE),,CONGÉ!$C$2:$C$80))</f>
        <v>45761</v>
      </c>
      <c r="AT6" s="73">
        <f ca="1">+IF(R6=0," ",+WORKDAY.INTL(+VLOOKUP(AT$1,POSTE!$B:$G,3,FALSE),+CUM!AB6/+VLOOKUP(AT$1,POSTE!$B:$H,7,FALSE),,CONGÉ!$C$2:$C$80))</f>
        <v>45758</v>
      </c>
      <c r="AU6" s="73">
        <f ca="1">+IF(AND(S6=0,T6=0)," ",+WORKDAY.INTL(+VLOOKUP($AS$1,POSTE!B:J,3,FALSE),+(((AC6*POSTE!$H$5)+(CUM!AD6*POSTE!$H$4))/(POSTE!$H$4*POSTE!$H$5*2)),,CONGÉ!$C$2:$C$80))</f>
        <v>45757</v>
      </c>
      <c r="AV6" s="73">
        <f ca="1">+IF(U6=0," ",+WORKDAY.INTL(+VLOOKUP(AV$1,POSTE!$B:$G,3,FALSE),+CUM!AE6/+VLOOKUP(AV$1,POSTE!$B:$H,7,FALSE),,CONGÉ!$C$2:$C$80))</f>
        <v>45755</v>
      </c>
      <c r="AW6" s="73">
        <f ca="1">+IF(V6=0," ",+WORKDAY.INTL(+VLOOKUP(AW$1,POSTE!$B:$G,3,FALSE),+CUM!AF6/+VLOOKUP(AW$1,POSTE!$B:$H,7,FALSE),,CONGÉ!$C$2:$C$80))</f>
        <v>45756</v>
      </c>
      <c r="AX6" s="73" t="str">
        <f>+IF(W6=0," ",+WORKDAY.INTL(+VLOOKUP(AX$1,POSTE!$B:$G,3,FALSE),+CUM!AG6/+VLOOKUP(AX$1,POSTE!$B:$H,7,FALSE),,CONGÉ!$C$2:$C$80))</f>
        <v xml:space="preserve"> </v>
      </c>
      <c r="AY6" s="73" t="str">
        <f>+IF(X6=0," ",+WORKDAY.INTL(+VLOOKUP(AY$1,POSTE!$B:$G,3,FALSE),+CUM!AH6/+VLOOKUP(AY$1,POSTE!$B:$H,7,FALSE),,CONGÉ!$C$2:$C$80))</f>
        <v xml:space="preserve"> </v>
      </c>
      <c r="AZ6" s="73">
        <f ca="1">+IF(Y6=0," ",+WORKDAY.INTL(+VLOOKUP(AZ$1,POSTE!$B:$G,3,FALSE),+CUM!AI6/+VLOOKUP(AZ$1,POSTE!$B:$H,7,FALSE),,CONGÉ!$C$2:$C$80))</f>
        <v>45764</v>
      </c>
      <c r="BA6" s="73">
        <f ca="1">+IF(S6=0," ",+WORKDAY.INTL(+VLOOKUP(BA$1,POSTE!$B:$G,3,FALSE),+CUM!AC6/+VLOOKUP(BA$1,POSTE!$B:$H,7,FALSE),,CONGÉ!$C$2:$C$80))</f>
        <v>45762</v>
      </c>
      <c r="BB6" s="73">
        <f ca="1">+IF(T6=0," ",+WORKDAY.INTL(+VLOOKUP(BB$1,POSTE!$B:$G,3,FALSE),+CUM!AD6/+VLOOKUP(BB$1,POSTE!$B:$H,7,FALSE),,CONGÉ!$C$2:$C$80))</f>
        <v>45754</v>
      </c>
      <c r="BC6" s="70">
        <f t="shared" ref="BC6:BC69" ca="1" si="13">+IF(+MIN(AJ6:AZ6)&gt;0,+MIN(AJ6:AZ6)," ")</f>
        <v>45754</v>
      </c>
      <c r="BD6" s="70">
        <f t="shared" ref="BD6:BD69" ca="1" si="14">+IF(+MAX(AS6:AZ6)&gt;0,+MAX(AS6:AZ6)," ")</f>
        <v>45764</v>
      </c>
      <c r="BE6" s="129">
        <f>+IF($F6="oui",+VLOOKUP($A6,DATA!$A:$AH,DATA!$AH$3,FALSE),0)</f>
        <v>80</v>
      </c>
      <c r="BF6" s="129">
        <f t="shared" ref="BF6:BF69" si="15">+BF5+BE6</f>
        <v>80</v>
      </c>
      <c r="BG6" s="136">
        <f ca="1">+IF(BE6&gt;0,+MAX((BH$4:BH5),BD6),"")</f>
        <v>45764</v>
      </c>
      <c r="BH6" s="136">
        <f ca="1">+IF(BE6&gt;0,+MAX((BH$4:BH5),+WORKDAY.INTL(BG6,+BE6/8,,CONGÉ!$C$2:$C$73)),"")</f>
        <v>45778</v>
      </c>
      <c r="BI6" s="136">
        <f t="shared" ref="BI6:BI69" ca="1" si="16">+IF(BE6=0,+IFERROR(+EDATE(BD6,1)," "),+EDATE(BH6,1))</f>
        <v>45809</v>
      </c>
      <c r="BJ6" s="43">
        <f t="shared" si="11"/>
        <v>43581</v>
      </c>
      <c r="BK6" s="77">
        <f t="shared" ref="BK6:BK69" ca="1" si="17">+TODAY()</f>
        <v>45754</v>
      </c>
      <c r="BL6" s="78">
        <f>+(((AC6*POSTE!$H$5)+(CUM!AD6*POSTE!$H$4))/(POSTE!$H$4*POSTE!$H$5*2))</f>
        <v>3.4950260416666667</v>
      </c>
      <c r="BM6" s="90">
        <f ca="1">+WORKDAY.INTL(BK6,BL6,,CONGÉ!C$4:C$72)</f>
        <v>45757</v>
      </c>
      <c r="BN6" s="78">
        <f t="shared" ref="BN6:BN69" ca="1" si="18">+AU6-BM6</f>
        <v>0</v>
      </c>
    </row>
    <row r="7" spans="1:66" x14ac:dyDescent="0.25">
      <c r="A7" s="49">
        <f t="shared" ref="A7:A69" si="19">+ROW()-ROW($A$4)</f>
        <v>3</v>
      </c>
      <c r="B7" s="185" cm="1">
        <f t="array" ref="B7">_xlfn.LET(_xlpm.CORR,IF(DATA!$B$4:$B$104="",IF(DATA!$A$4:$A$104="","--",DATA!$A$4:$A$104),DATA!$B$4:$B$104),_xlpm.Rx,SMALL(_xlpm.CORR,A7),IFERROR(MATCH(_xlpm.Rx,_xlpm.CORR,0),0))</f>
        <v>3</v>
      </c>
      <c r="C7" s="195" t="str" cm="1">
        <f t="array" ref="C7">IF($B7=0,"",INDEX(Données,$B7,C$3))</f>
        <v>Traail 3</v>
      </c>
      <c r="D7" s="196" t="str" cm="1">
        <f t="array" ref="D7">IF($B7=0,"",INDEX(Données,$B7,D$3))</f>
        <v>Client 3</v>
      </c>
      <c r="E7" s="197" cm="1">
        <f t="array" ref="E7">IF($B7=0,"",INDEX(Données,$B7,E$3))</f>
        <v>45898</v>
      </c>
      <c r="F7" s="198" t="str" cm="1">
        <f t="array" ref="F7">IF($B7=0,"",INDEX(Données,$B7,F$3))</f>
        <v>OUI</v>
      </c>
      <c r="G7" s="173">
        <f>+IF($F7="oui",+VLOOKUP($A7,DATA!$A:$AG,DATA!$P$3,FALSE),0)</f>
        <v>0</v>
      </c>
      <c r="H7" s="44">
        <f>+IF($F7="oui",+VLOOKUP($A7,DATA!$A:$AG,DATA!$R$3,FALSE),0)</f>
        <v>11</v>
      </c>
      <c r="I7" s="44">
        <f>+IF($F7="oui",+VLOOKUP($A7,DATA!$A:$AG,DATA!$T$3,FALSE),0)</f>
        <v>19</v>
      </c>
      <c r="J7" s="44">
        <f>+IF($F7="oui",+VLOOKUP($A7,DATA!$A:$AG,DATA!$V$3,FALSE),0)</f>
        <v>0</v>
      </c>
      <c r="K7" s="44">
        <f>+IF($F7="oui",+VLOOKUP($A7,DATA!$A:$AG,DATA!$X$3,FALSE),0)</f>
        <v>3</v>
      </c>
      <c r="L7" s="44">
        <f>+IF($F7="oui",+VLOOKUP($A7,DATA!$A:$AG,DATA!$Z$3,FALSE),0)</f>
        <v>3</v>
      </c>
      <c r="M7" s="44">
        <f>+IF($F7="oui",+VLOOKUP($A7,DATA!$A:$AG,DATA!$AB$3,FALSE),0)</f>
        <v>0</v>
      </c>
      <c r="N7" s="44">
        <f>+IF($F7="oui",+VLOOKUP($A7,DATA!$A:$AG,DATA!$AD$3,FALSE),0)</f>
        <v>0</v>
      </c>
      <c r="O7" s="45">
        <f>+IF($F7="oui",+VLOOKUP($A7,DATA!$A:$AG,DATA!$AF$3,FALSE),0)</f>
        <v>24</v>
      </c>
      <c r="P7" s="116">
        <f t="shared" si="12"/>
        <v>60</v>
      </c>
      <c r="Q7" s="21">
        <f>+IF($F7="oui",+VLOOKUP($A7,DATA!$A:$AG,DATA!$Q$3,FALSE),0)</f>
        <v>0</v>
      </c>
      <c r="R7" s="22">
        <f>+IF($F7="oui",+VLOOKUP($A7,DATA!$A:$AG,DATA!$S$3,FALSE),0)</f>
        <v>18233</v>
      </c>
      <c r="S7" s="22">
        <f>+IF($F7="oui",+VLOOKUP($A7,DATA!$A:$AG,DATA!$U$3,FALSE),0)</f>
        <v>2999</v>
      </c>
      <c r="T7" s="22">
        <f>+IF($F7="oui",+VLOOKUP($A7,DATA!$A:$AG,DATA!$W$3,FALSE),0)</f>
        <v>0</v>
      </c>
      <c r="U7" s="22">
        <f>+IF($F7="oui",+VLOOKUP($A7,DATA!$A:$AG,DATA!$Y$3,FALSE),0)</f>
        <v>43</v>
      </c>
      <c r="V7" s="22">
        <f>+IF($F7="oui",+VLOOKUP($A7,DATA!$A:$AG,DATA!$AA$3,FALSE),0)</f>
        <v>16</v>
      </c>
      <c r="W7" s="22">
        <f>+IF($F7="oui",+VLOOKUP($A7,DATA!$A:$AG,DATA!$AC$3,FALSE),0)</f>
        <v>0</v>
      </c>
      <c r="X7" s="22">
        <f>+IF($F7="oui",+VLOOKUP($A7,DATA!$A:$AG,DATA!$AE$3,FALSE),0)</f>
        <v>0</v>
      </c>
      <c r="Y7" s="23">
        <f>+IF($F7="oui",+VLOOKUP($A7,DATA!$A:$AG,DATA!$AG$3,FALSE),0)</f>
        <v>50</v>
      </c>
      <c r="Z7" s="118">
        <f t="shared" si="1"/>
        <v>21341</v>
      </c>
      <c r="AA7" s="43">
        <f t="shared" si="2"/>
        <v>47035</v>
      </c>
      <c r="AB7" s="44">
        <f t="shared" si="3"/>
        <v>47844</v>
      </c>
      <c r="AC7" s="44">
        <f t="shared" si="4"/>
        <v>43114</v>
      </c>
      <c r="AD7" s="44">
        <f t="shared" si="5"/>
        <v>3466</v>
      </c>
      <c r="AE7" s="44">
        <f t="shared" si="6"/>
        <v>2266</v>
      </c>
      <c r="AF7" s="44">
        <f t="shared" si="7"/>
        <v>4193</v>
      </c>
      <c r="AG7" s="44">
        <f t="shared" si="8"/>
        <v>0</v>
      </c>
      <c r="AH7" s="44">
        <f t="shared" si="9"/>
        <v>0</v>
      </c>
      <c r="AI7" s="45">
        <f t="shared" si="10"/>
        <v>457</v>
      </c>
      <c r="AJ7" s="70" t="str">
        <f>+IF(Q7=0," ",+WORKDAY.INTL(+VLOOKUP(AJ$1,POSTE!$B:$G,3,FALSE),+CUM!AA6/+VLOOKUP(AJ$1,POSTE!$B:$H,7,FALSE),,CONGÉ!$C$2:$C$80))</f>
        <v xml:space="preserve"> </v>
      </c>
      <c r="AK7" s="50">
        <f ca="1">+IF(R7=0," ",+WORKDAY.INTL(+VLOOKUP(AK$1,POSTE!$B:$G,3,FALSE),+CUM!AB6/+VLOOKUP(AK$1,POSTE!$B:$H,7,FALSE),,CONGÉ!$C$2:$C$80))</f>
        <v>45758</v>
      </c>
      <c r="AL7" s="50">
        <f ca="1">+IF(S7=0," ",+WORKDAY.INTL(+VLOOKUP(AL$1,POSTE!$B:$G,3,FALSE),+CUM!AC6/+VLOOKUP(AL$1,POSTE!$B:$H,7,FALSE),,CONGÉ!$C$2:$C$80))</f>
        <v>45762</v>
      </c>
      <c r="AM7" s="50" t="str">
        <f>+IF(T7=0," ",+WORKDAY.INTL(+VLOOKUP(AM$1,POSTE!$B:$G,3,FALSE),+CUM!AD6/+VLOOKUP(AM$1,POSTE!$B:$H,7,FALSE),,CONGÉ!$C$2:$C$80))</f>
        <v xml:space="preserve"> </v>
      </c>
      <c r="AN7" s="50">
        <f ca="1">+IF(U7=0," ",+WORKDAY.INTL(+VLOOKUP(AN$1,POSTE!$B:$G,3,FALSE),+CUM!AE6/+VLOOKUP(AN$1,POSTE!$B:$H,7,FALSE),,CONGÉ!$C$2:$C$80))</f>
        <v>45755</v>
      </c>
      <c r="AO7" s="50">
        <f ca="1">+IF(V7=0," ",+WORKDAY.INTL(+VLOOKUP(AO$1,POSTE!$B:$G,3,FALSE),+CUM!AF6/+VLOOKUP(AO$1,POSTE!$B:$H,7,FALSE),,CONGÉ!$C$2:$C$80))</f>
        <v>45756</v>
      </c>
      <c r="AP7" s="50" t="str">
        <f>+IF(W7=0," ",+WORKDAY.INTL(+VLOOKUP(AP$1,POSTE!$B:$G,3,FALSE),+CUM!AG6/+VLOOKUP(AP$1,POSTE!$B:$H,7,FALSE),,CONGÉ!$C$2:$C$80))</f>
        <v xml:space="preserve"> </v>
      </c>
      <c r="AQ7" s="50" t="str">
        <f>+IF(X7=0," ",+WORKDAY.INTL(+VLOOKUP(AQ$1,POSTE!$B:$G,3,FALSE),+CUM!AH6/+VLOOKUP(AQ$1,POSTE!$B:$H,7,FALSE),,CONGÉ!$C$2:$C$80))</f>
        <v xml:space="preserve"> </v>
      </c>
      <c r="AR7" s="71">
        <f ca="1">+IF(Y7=0," ",+WORKDAY.INTL(+VLOOKUP(AR$1,POSTE!$B:$G,3,FALSE),+CUM!AI6/+VLOOKUP(AR$1,POSTE!$B:$H,7,FALSE),,CONGÉ!$C$2:$C$80))</f>
        <v>45764</v>
      </c>
      <c r="AS7" s="72" t="str">
        <f>+IF(Q7=0," ",+WORKDAY.INTL(+VLOOKUP(AS$1,POSTE!$B:$G,3,FALSE),+CUM!AA7/+VLOOKUP(AS$1,POSTE!$B:$H,7,FALSE),,CONGÉ!$C$2:$C$80))</f>
        <v xml:space="preserve"> </v>
      </c>
      <c r="AT7" s="73">
        <f ca="1">+IF(R7=0," ",+WORKDAY.INTL(+VLOOKUP(AT$1,POSTE!$B:$G,3,FALSE),+CUM!AB7/+VLOOKUP(AT$1,POSTE!$B:$H,7,FALSE),,CONGÉ!$C$2:$C$80))</f>
        <v>45762</v>
      </c>
      <c r="AU7" s="73">
        <f ca="1">+IF(AND(S7=0,T7=0)," ",+WORKDAY.INTL(+VLOOKUP($AS$1,POSTE!B:J,3,FALSE),+(((AC7*POSTE!$H$5)+(CUM!AD7*POSTE!$H$4))/(POSTE!$H$4*POSTE!$H$5*2)),,CONGÉ!$C$2:$C$80))</f>
        <v>45757</v>
      </c>
      <c r="AV7" s="73">
        <f ca="1">+IF(U7=0," ",+WORKDAY.INTL(+VLOOKUP(AV$1,POSTE!$B:$G,3,FALSE),+CUM!AE7/+VLOOKUP(AV$1,POSTE!$B:$H,7,FALSE),,CONGÉ!$C$2:$C$80))</f>
        <v>45755</v>
      </c>
      <c r="AW7" s="73">
        <f ca="1">+IF(V7=0," ",+WORKDAY.INTL(+VLOOKUP(AW$1,POSTE!$B:$G,3,FALSE),+CUM!AF7/+VLOOKUP(AW$1,POSTE!$B:$H,7,FALSE),,CONGÉ!$C$2:$C$80))</f>
        <v>45756</v>
      </c>
      <c r="AX7" s="73" t="str">
        <f>+IF(W7=0," ",+WORKDAY.INTL(+VLOOKUP(AX$1,POSTE!$B:$G,3,FALSE),+CUM!AG7/+VLOOKUP(AX$1,POSTE!$B:$H,7,FALSE),,CONGÉ!$C$2:$C$80))</f>
        <v xml:space="preserve"> </v>
      </c>
      <c r="AY7" s="73" t="str">
        <f>+IF(X7=0," ",+WORKDAY.INTL(+VLOOKUP(AY$1,POSTE!$B:$G,3,FALSE),+CUM!AH7/+VLOOKUP(AY$1,POSTE!$B:$H,7,FALSE),,CONGÉ!$C$2:$C$80))</f>
        <v xml:space="preserve"> </v>
      </c>
      <c r="AZ7" s="73">
        <f ca="1">+IF(Y7=0," ",+WORKDAY.INTL(+VLOOKUP(AZ$1,POSTE!$B:$G,3,FALSE),+CUM!AI7/+VLOOKUP(AZ$1,POSTE!$B:$H,7,FALSE),,CONGÉ!$C$2:$C$80))</f>
        <v>45765</v>
      </c>
      <c r="BA7" s="73">
        <f ca="1">+IF(S7=0," ",+WORKDAY.INTL(+VLOOKUP(BA$1,POSTE!$B:$G,3,FALSE),+CUM!AC7/+VLOOKUP(BA$1,POSTE!$B:$H,7,FALSE),,CONGÉ!$C$2:$C$80))</f>
        <v>45762</v>
      </c>
      <c r="BB7" s="73" t="str">
        <f>+IF(T7=0," ",+WORKDAY.INTL(+VLOOKUP(BB$1,POSTE!$B:$G,3,FALSE),+CUM!AD7/+VLOOKUP(BB$1,POSTE!$B:$H,7,FALSE),,CONGÉ!$C$2:$C$80))</f>
        <v xml:space="preserve"> </v>
      </c>
      <c r="BC7" s="70">
        <f t="shared" ca="1" si="13"/>
        <v>45755</v>
      </c>
      <c r="BD7" s="70">
        <f t="shared" ca="1" si="14"/>
        <v>45765</v>
      </c>
      <c r="BE7" s="129">
        <f>+IF($F7="oui",+VLOOKUP($A7,DATA!$A:$AH,DATA!$AH$3,FALSE),0)</f>
        <v>0</v>
      </c>
      <c r="BF7" s="129">
        <f t="shared" si="15"/>
        <v>80</v>
      </c>
      <c r="BG7" s="136" t="str">
        <f>+IF(BE7&gt;0,+MAX((BH$4:BH6),BD7),"")</f>
        <v/>
      </c>
      <c r="BH7" s="136" t="str">
        <f>+IF(BE7&gt;0,+MAX((BH$4:BH6),+WORKDAY.INTL(BG7,+BE7/8,,CONGÉ!$C$2:$C$73)),"")</f>
        <v/>
      </c>
      <c r="BI7" s="136">
        <f t="shared" ca="1" si="16"/>
        <v>45795</v>
      </c>
      <c r="BJ7" s="43">
        <f t="shared" si="11"/>
        <v>46580</v>
      </c>
      <c r="BK7" s="77">
        <f t="shared" ca="1" si="17"/>
        <v>45754</v>
      </c>
      <c r="BL7" s="78">
        <f>+(((AC7*POSTE!$H$5)+(CUM!AD7*POSTE!$H$4))/(POSTE!$H$4*POSTE!$H$5*2))</f>
        <v>3.7293229166666668</v>
      </c>
      <c r="BM7" s="90">
        <f ca="1">+WORKDAY.INTL(BK7,BL7,,CONGÉ!C$4:C$72)</f>
        <v>45757</v>
      </c>
      <c r="BN7" s="90">
        <f ca="1">+AU7-BM7</f>
        <v>0</v>
      </c>
    </row>
    <row r="8" spans="1:66" x14ac:dyDescent="0.25">
      <c r="A8" s="49">
        <f t="shared" si="19"/>
        <v>4</v>
      </c>
      <c r="B8" s="185" cm="1">
        <f t="array" ref="B8">_xlfn.LET(_xlpm.CORR,IF(DATA!$B$4:$B$104="",IF(DATA!$A$4:$A$104="","--",DATA!$A$4:$A$104),DATA!$B$4:$B$104),_xlpm.Rx,SMALL(_xlpm.CORR,A8),IFERROR(MATCH(_xlpm.Rx,_xlpm.CORR,0),0))</f>
        <v>8</v>
      </c>
      <c r="C8" s="195" t="str" cm="1">
        <f t="array" ref="C8">IF($B8=0,"",INDEX(Données,$B8,C$3))</f>
        <v>Traail 8</v>
      </c>
      <c r="D8" s="196" t="str" cm="1">
        <f t="array" ref="D8">IF($B8=0,"",INDEX(Données,$B8,D$3))</f>
        <v>Client 8</v>
      </c>
      <c r="E8" s="197" cm="1">
        <f t="array" ref="E8">IF($B8=0,"",INDEX(Données,$B8,E$3))</f>
        <v>45777</v>
      </c>
      <c r="F8" s="198" t="str" cm="1">
        <f t="array" ref="F8">IF($B8=0,"",INDEX(Données,$B8,F$3))</f>
        <v>OUI</v>
      </c>
      <c r="G8" s="173">
        <f>+IF($F8="oui",+VLOOKUP($A8,DATA!$A:$AG,DATA!$P$3,FALSE),0)</f>
        <v>0</v>
      </c>
      <c r="H8" s="44">
        <f>+IF($F8="oui",+VLOOKUP($A8,DATA!$A:$AG,DATA!$R$3,FALSE),0)</f>
        <v>0</v>
      </c>
      <c r="I8" s="44">
        <f>+IF($F8="oui",+VLOOKUP($A8,DATA!$A:$AG,DATA!$T$3,FALSE),0)</f>
        <v>0</v>
      </c>
      <c r="J8" s="44">
        <f>+IF($F8="oui",+VLOOKUP($A8,DATA!$A:$AG,DATA!$V$3,FALSE),0)</f>
        <v>0</v>
      </c>
      <c r="K8" s="44">
        <f>+IF($F8="oui",+VLOOKUP($A8,DATA!$A:$AG,DATA!$X$3,FALSE),0)</f>
        <v>0</v>
      </c>
      <c r="L8" s="44">
        <f>+IF($F8="oui",+VLOOKUP($A8,DATA!$A:$AG,DATA!$Z$3,FALSE),0)</f>
        <v>5</v>
      </c>
      <c r="M8" s="44">
        <f>+IF($F8="oui",+VLOOKUP($A8,DATA!$A:$AG,DATA!$AB$3,FALSE),0)</f>
        <v>0</v>
      </c>
      <c r="N8" s="44">
        <f>+IF($F8="oui",+VLOOKUP($A8,DATA!$A:$AG,DATA!$AD$3,FALSE),0)</f>
        <v>0</v>
      </c>
      <c r="O8" s="45">
        <f>+IF($F8="oui",+VLOOKUP($A8,DATA!$A:$AG,DATA!$AF$3,FALSE),0)</f>
        <v>0</v>
      </c>
      <c r="P8" s="116">
        <f t="shared" si="12"/>
        <v>5</v>
      </c>
      <c r="Q8" s="21">
        <f>+IF($F8="oui",+VLOOKUP($A8,DATA!$A:$AG,DATA!$Q$3,FALSE),0)</f>
        <v>0</v>
      </c>
      <c r="R8" s="22">
        <f>+IF($F8="oui",+VLOOKUP($A8,DATA!$A:$AG,DATA!$S$3,FALSE),0)</f>
        <v>0</v>
      </c>
      <c r="S8" s="22">
        <f>+IF($F8="oui",+VLOOKUP($A8,DATA!$A:$AG,DATA!$U$3,FALSE),0)</f>
        <v>0</v>
      </c>
      <c r="T8" s="22">
        <f>+IF($F8="oui",+VLOOKUP($A8,DATA!$A:$AG,DATA!$W$3,FALSE),0)</f>
        <v>0</v>
      </c>
      <c r="U8" s="22">
        <f>+IF($F8="oui",+VLOOKUP($A8,DATA!$A:$AG,DATA!$Y$3,FALSE),0)</f>
        <v>0</v>
      </c>
      <c r="V8" s="22">
        <f>+IF($F8="oui",+VLOOKUP($A8,DATA!$A:$AG,DATA!$AA$3,FALSE),0)</f>
        <v>527</v>
      </c>
      <c r="W8" s="22">
        <f>+IF($F8="oui",+VLOOKUP($A8,DATA!$A:$AG,DATA!$AC$3,FALSE),0)</f>
        <v>0</v>
      </c>
      <c r="X8" s="22">
        <f>+IF($F8="oui",+VLOOKUP($A8,DATA!$A:$AG,DATA!$AE$3,FALSE),0)</f>
        <v>0</v>
      </c>
      <c r="Y8" s="23">
        <f>+IF($F8="oui",+VLOOKUP($A8,DATA!$A:$AG,DATA!$AG$3,FALSE),0)</f>
        <v>0</v>
      </c>
      <c r="Z8" s="118">
        <f t="shared" si="1"/>
        <v>527</v>
      </c>
      <c r="AA8" s="43">
        <f t="shared" si="2"/>
        <v>47035</v>
      </c>
      <c r="AB8" s="44">
        <f t="shared" si="3"/>
        <v>47844</v>
      </c>
      <c r="AC8" s="44">
        <f t="shared" si="4"/>
        <v>43114</v>
      </c>
      <c r="AD8" s="44">
        <f t="shared" si="5"/>
        <v>3466</v>
      </c>
      <c r="AE8" s="44">
        <f t="shared" si="6"/>
        <v>2266</v>
      </c>
      <c r="AF8" s="44">
        <f t="shared" si="7"/>
        <v>4720</v>
      </c>
      <c r="AG8" s="44">
        <f t="shared" si="8"/>
        <v>0</v>
      </c>
      <c r="AH8" s="44">
        <f t="shared" si="9"/>
        <v>0</v>
      </c>
      <c r="AI8" s="45">
        <f t="shared" si="10"/>
        <v>457</v>
      </c>
      <c r="AJ8" s="70" t="str">
        <f>+IF(Q8=0," ",+WORKDAY.INTL(+VLOOKUP(AJ$1,POSTE!$B:$G,3,FALSE),+CUM!AA7/+VLOOKUP(AJ$1,POSTE!$B:$H,7,FALSE),,CONGÉ!$C$2:$C$80))</f>
        <v xml:space="preserve"> </v>
      </c>
      <c r="AK8" s="50" t="str">
        <f>+IF(R8=0," ",+WORKDAY.INTL(+VLOOKUP(AK$1,POSTE!$B:$G,3,FALSE),+CUM!AB7/+VLOOKUP(AK$1,POSTE!$B:$H,7,FALSE),,CONGÉ!$C$2:$C$80))</f>
        <v xml:space="preserve"> </v>
      </c>
      <c r="AL8" s="50" t="str">
        <f>+IF(S8=0," ",+WORKDAY.INTL(+VLOOKUP(AL$1,POSTE!$B:$G,3,FALSE),+CUM!AC7/+VLOOKUP(AL$1,POSTE!$B:$H,7,FALSE),,CONGÉ!$C$2:$C$80))</f>
        <v xml:space="preserve"> </v>
      </c>
      <c r="AM8" s="50" t="str">
        <f>+IF(T8=0," ",+WORKDAY.INTL(+VLOOKUP(AM$1,POSTE!$B:$G,3,FALSE),+CUM!AD7/+VLOOKUP(AM$1,POSTE!$B:$H,7,FALSE),,CONGÉ!$C$2:$C$80))</f>
        <v xml:space="preserve"> </v>
      </c>
      <c r="AN8" s="50" t="str">
        <f>+IF(U8=0," ",+WORKDAY.INTL(+VLOOKUP(AN$1,POSTE!$B:$G,3,FALSE),+CUM!AE7/+VLOOKUP(AN$1,POSTE!$B:$H,7,FALSE),,CONGÉ!$C$2:$C$80))</f>
        <v xml:space="preserve"> </v>
      </c>
      <c r="AO8" s="50">
        <f ca="1">+IF(V8=0," ",+WORKDAY.INTL(+VLOOKUP(AO$1,POSTE!$B:$G,3,FALSE),+CUM!AF7/+VLOOKUP(AO$1,POSTE!$B:$H,7,FALSE),,CONGÉ!$C$2:$C$80))</f>
        <v>45756</v>
      </c>
      <c r="AP8" s="50" t="str">
        <f>+IF(W8=0," ",+WORKDAY.INTL(+VLOOKUP(AP$1,POSTE!$B:$G,3,FALSE),+CUM!AG7/+VLOOKUP(AP$1,POSTE!$B:$H,7,FALSE),,CONGÉ!$C$2:$C$80))</f>
        <v xml:space="preserve"> </v>
      </c>
      <c r="AQ8" s="50" t="str">
        <f>+IF(X8=0," ",+WORKDAY.INTL(+VLOOKUP(AQ$1,POSTE!$B:$G,3,FALSE),+CUM!AH7/+VLOOKUP(AQ$1,POSTE!$B:$H,7,FALSE),,CONGÉ!$C$2:$C$80))</f>
        <v xml:space="preserve"> </v>
      </c>
      <c r="AR8" s="71" t="str">
        <f>+IF(Y8=0," ",+WORKDAY.INTL(+VLOOKUP(AR$1,POSTE!$B:$G,3,FALSE),+CUM!AI7/+VLOOKUP(AR$1,POSTE!$B:$H,7,FALSE),,CONGÉ!$C$2:$C$80))</f>
        <v xml:space="preserve"> </v>
      </c>
      <c r="AS8" s="72" t="str">
        <f>+IF(Q8=0," ",+WORKDAY.INTL(+VLOOKUP(AS$1,POSTE!$B:$G,3,FALSE),+CUM!AA8/+VLOOKUP(AS$1,POSTE!$B:$H,7,FALSE),,CONGÉ!$C$2:$C$80))</f>
        <v xml:space="preserve"> </v>
      </c>
      <c r="AT8" s="73" t="str">
        <f>+IF(R8=0," ",+WORKDAY.INTL(+VLOOKUP(AT$1,POSTE!$B:$G,3,FALSE),+CUM!AB8/+VLOOKUP(AT$1,POSTE!$B:$H,7,FALSE),,CONGÉ!$C$2:$C$80))</f>
        <v xml:space="preserve"> </v>
      </c>
      <c r="AU8" s="73" t="str">
        <f>+IF(AND(S8=0,T8=0)," ",+WORKDAY.INTL(+VLOOKUP($AS$1,POSTE!B:J,3,FALSE),+(((AC8*POSTE!$H$5)+(CUM!AD8*POSTE!$H$4))/(POSTE!$H$4*POSTE!$H$5*2)),,CONGÉ!$C$2:$C$80))</f>
        <v xml:space="preserve"> </v>
      </c>
      <c r="AV8" s="73" t="str">
        <f>+IF(U8=0," ",+WORKDAY.INTL(+VLOOKUP(AV$1,POSTE!$B:$G,3,FALSE),+CUM!AE8/+VLOOKUP(AV$1,POSTE!$B:$H,7,FALSE),,CONGÉ!$C$2:$C$80))</f>
        <v xml:space="preserve"> </v>
      </c>
      <c r="AW8" s="73">
        <f ca="1">+IF(V8=0," ",+WORKDAY.INTL(+VLOOKUP(AW$1,POSTE!$B:$G,3,FALSE),+CUM!AF8/+VLOOKUP(AW$1,POSTE!$B:$H,7,FALSE),,CONGÉ!$C$2:$C$80))</f>
        <v>45756</v>
      </c>
      <c r="AX8" s="73" t="str">
        <f>+IF(W8=0," ",+WORKDAY.INTL(+VLOOKUP(AX$1,POSTE!$B:$G,3,FALSE),+CUM!AG8/+VLOOKUP(AX$1,POSTE!$B:$H,7,FALSE),,CONGÉ!$C$2:$C$80))</f>
        <v xml:space="preserve"> </v>
      </c>
      <c r="AY8" s="73" t="str">
        <f>+IF(X8=0," ",+WORKDAY.INTL(+VLOOKUP(AY$1,POSTE!$B:$G,3,FALSE),+CUM!AH8/+VLOOKUP(AY$1,POSTE!$B:$H,7,FALSE),,CONGÉ!$C$2:$C$80))</f>
        <v xml:space="preserve"> </v>
      </c>
      <c r="AZ8" s="73" t="str">
        <f>+IF(Y8=0," ",+WORKDAY.INTL(+VLOOKUP(AZ$1,POSTE!$B:$G,3,FALSE),+CUM!AI8/+VLOOKUP(AZ$1,POSTE!$B:$H,7,FALSE),,CONGÉ!$C$2:$C$80))</f>
        <v xml:space="preserve"> </v>
      </c>
      <c r="BA8" s="73" t="str">
        <f>+IF(S8=0," ",+WORKDAY.INTL(+VLOOKUP(BA$1,POSTE!$B:$G,3,FALSE),+CUM!AC8/+VLOOKUP(BA$1,POSTE!$B:$H,7,FALSE),,CONGÉ!$C$2:$C$80))</f>
        <v xml:space="preserve"> </v>
      </c>
      <c r="BB8" s="73" t="str">
        <f>+IF(T8=0," ",+WORKDAY.INTL(+VLOOKUP(BB$1,POSTE!$B:$G,3,FALSE),+CUM!AD8/+VLOOKUP(BB$1,POSTE!$B:$H,7,FALSE),,CONGÉ!$C$2:$C$80))</f>
        <v xml:space="preserve"> </v>
      </c>
      <c r="BC8" s="70">
        <f t="shared" ca="1" si="13"/>
        <v>45756</v>
      </c>
      <c r="BD8" s="70">
        <f t="shared" ca="1" si="14"/>
        <v>45756</v>
      </c>
      <c r="BE8" s="129">
        <f>+IF($F8="oui",+VLOOKUP($A8,DATA!$A:$AH,DATA!$AH$3,FALSE),0)</f>
        <v>40</v>
      </c>
      <c r="BF8" s="129">
        <f t="shared" si="15"/>
        <v>120</v>
      </c>
      <c r="BG8" s="136">
        <f ca="1">+IF(BE8&gt;0,+MAX((BH$4:BH7),BD8),"")</f>
        <v>45778</v>
      </c>
      <c r="BH8" s="136">
        <f ca="1">+IF(BE8&gt;0,+MAX((BH$4:BH7),+WORKDAY.INTL(BG8,+BE8/8,,CONGÉ!$C$2:$C$73)),"")</f>
        <v>45785</v>
      </c>
      <c r="BI8" s="136">
        <f t="shared" ca="1" si="16"/>
        <v>45816</v>
      </c>
      <c r="BJ8" s="43">
        <f t="shared" si="11"/>
        <v>46580</v>
      </c>
      <c r="BK8" s="77">
        <f t="shared" ca="1" si="17"/>
        <v>45754</v>
      </c>
      <c r="BL8" s="78">
        <f>+(((AC8*POSTE!$H$5)+(CUM!AD8*POSTE!$H$4))/(POSTE!$H$4*POSTE!$H$5*2))</f>
        <v>3.7293229166666668</v>
      </c>
      <c r="BM8" s="90">
        <f ca="1">+WORKDAY.INTL(BK8,BL8,,CONGÉ!C$4:C$72)</f>
        <v>45757</v>
      </c>
      <c r="BN8" s="78" t="e">
        <f t="shared" ca="1" si="18"/>
        <v>#VALUE!</v>
      </c>
    </row>
    <row r="9" spans="1:66" x14ac:dyDescent="0.25">
      <c r="A9" s="49">
        <f t="shared" si="19"/>
        <v>5</v>
      </c>
      <c r="B9" s="185" cm="1">
        <f t="array" ref="B9">_xlfn.LET(_xlpm.CORR,IF(DATA!$B$4:$B$104="",IF(DATA!$A$4:$A$104="","--",DATA!$A$4:$A$104),DATA!$B$4:$B$104),_xlpm.Rx,SMALL(_xlpm.CORR,A9),IFERROR(MATCH(_xlpm.Rx,_xlpm.CORR,0),0))</f>
        <v>9</v>
      </c>
      <c r="C9" s="195" t="str" cm="1">
        <f t="array" ref="C9">IF($B9=0,"",INDEX(Données,$B9,C$3))</f>
        <v>Traail 9</v>
      </c>
      <c r="D9" s="196" t="str" cm="1">
        <f t="array" ref="D9">IF($B9=0,"",INDEX(Données,$B9,D$3))</f>
        <v>Client 9</v>
      </c>
      <c r="E9" s="197" cm="1">
        <f t="array" ref="E9">IF($B9=0,"",INDEX(Données,$B9,E$3))</f>
        <v>45777</v>
      </c>
      <c r="F9" s="198" t="str" cm="1">
        <f t="array" ref="F9">IF($B9=0,"",INDEX(Données,$B9,F$3))</f>
        <v>OUI</v>
      </c>
      <c r="G9" s="173">
        <f>+IF($F9="oui",+VLOOKUP($A9,DATA!$A:$AG,DATA!$P$3,FALSE),0)</f>
        <v>1</v>
      </c>
      <c r="H9" s="44">
        <f>+IF($F9="oui",+VLOOKUP($A9,DATA!$A:$AG,DATA!$R$3,FALSE),0)</f>
        <v>18</v>
      </c>
      <c r="I9" s="44">
        <f>+IF($F9="oui",+VLOOKUP($A9,DATA!$A:$AG,DATA!$T$3,FALSE),0)</f>
        <v>146</v>
      </c>
      <c r="J9" s="44">
        <f>+IF($F9="oui",+VLOOKUP($A9,DATA!$A:$AG,DATA!$V$3,FALSE),0)</f>
        <v>206</v>
      </c>
      <c r="K9" s="44">
        <f>+IF($F9="oui",+VLOOKUP($A9,DATA!$A:$AG,DATA!$X$3,FALSE),0)</f>
        <v>28</v>
      </c>
      <c r="L9" s="44">
        <f>+IF($F9="oui",+VLOOKUP($A9,DATA!$A:$AG,DATA!$Z$3,FALSE),0)</f>
        <v>136</v>
      </c>
      <c r="M9" s="44">
        <f>+IF($F9="oui",+VLOOKUP($A9,DATA!$A:$AG,DATA!$AB$3,FALSE),0)</f>
        <v>0</v>
      </c>
      <c r="N9" s="44">
        <f>+IF($F9="oui",+VLOOKUP($A9,DATA!$A:$AG,DATA!$AD$3,FALSE),0)</f>
        <v>21</v>
      </c>
      <c r="O9" s="45">
        <f>+IF($F9="oui",+VLOOKUP($A9,DATA!$A:$AG,DATA!$AF$3,FALSE),0)</f>
        <v>23</v>
      </c>
      <c r="P9" s="116">
        <f t="shared" si="12"/>
        <v>579</v>
      </c>
      <c r="Q9" s="21">
        <f>+IF($F9="oui",+VLOOKUP($A9,DATA!$A:$AG,DATA!$Q$3,FALSE),0)</f>
        <v>402</v>
      </c>
      <c r="R9" s="22">
        <f>+IF($F9="oui",+VLOOKUP($A9,DATA!$A:$AG,DATA!$S$3,FALSE),0)</f>
        <v>30336</v>
      </c>
      <c r="S9" s="22">
        <f>+IF($F9="oui",+VLOOKUP($A9,DATA!$A:$AG,DATA!$U$3,FALSE),0)</f>
        <v>45185</v>
      </c>
      <c r="T9" s="22">
        <f>+IF($F9="oui",+VLOOKUP($A9,DATA!$A:$AG,DATA!$W$3,FALSE),0)</f>
        <v>17577</v>
      </c>
      <c r="U9" s="22">
        <f>+IF($F9="oui",+VLOOKUP($A9,DATA!$A:$AG,DATA!$Y$3,FALSE),0)</f>
        <v>3174</v>
      </c>
      <c r="V9" s="22">
        <f>+IF($F9="oui",+VLOOKUP($A9,DATA!$A:$AG,DATA!$AA$3,FALSE),0)</f>
        <v>12246</v>
      </c>
      <c r="W9" s="22">
        <f>+IF($F9="oui",+VLOOKUP($A9,DATA!$A:$AG,DATA!$AC$3,FALSE),0)</f>
        <v>0</v>
      </c>
      <c r="X9" s="22">
        <f>+IF($F9="oui",+VLOOKUP($A9,DATA!$A:$AG,DATA!$AE$3,FALSE),0)</f>
        <v>12160</v>
      </c>
      <c r="Y9" s="23">
        <f>+IF($F9="oui",+VLOOKUP($A9,DATA!$A:$AG,DATA!$AG$3,FALSE),0)</f>
        <v>236</v>
      </c>
      <c r="Z9" s="118">
        <f t="shared" si="1"/>
        <v>121316</v>
      </c>
      <c r="AA9" s="43">
        <f t="shared" si="2"/>
        <v>47437</v>
      </c>
      <c r="AB9" s="44">
        <f t="shared" si="3"/>
        <v>78180</v>
      </c>
      <c r="AC9" s="44">
        <f t="shared" si="4"/>
        <v>88299</v>
      </c>
      <c r="AD9" s="44">
        <f t="shared" si="5"/>
        <v>21043</v>
      </c>
      <c r="AE9" s="44">
        <f t="shared" si="6"/>
        <v>5440</v>
      </c>
      <c r="AF9" s="44">
        <f t="shared" si="7"/>
        <v>16966</v>
      </c>
      <c r="AG9" s="44">
        <f t="shared" si="8"/>
        <v>0</v>
      </c>
      <c r="AH9" s="44">
        <f t="shared" si="9"/>
        <v>12160</v>
      </c>
      <c r="AI9" s="45">
        <f t="shared" si="10"/>
        <v>693</v>
      </c>
      <c r="AJ9" s="70">
        <f ca="1">+IF(Q9=0," ",+WORKDAY.INTL(+VLOOKUP(AJ$1,POSTE!$B:$G,3,FALSE),+CUM!AA8/+VLOOKUP(AJ$1,POSTE!$B:$H,7,FALSE),,CONGÉ!$C$2:$C$80))</f>
        <v>45761</v>
      </c>
      <c r="AK9" s="50">
        <f ca="1">+IF(R9=0," ",+WORKDAY.INTL(+VLOOKUP(AK$1,POSTE!$B:$G,3,FALSE),+CUM!AB8/+VLOOKUP(AK$1,POSTE!$B:$H,7,FALSE),,CONGÉ!$C$2:$C$80))</f>
        <v>45762</v>
      </c>
      <c r="AL9" s="50">
        <f ca="1">+IF(S9=0," ",+WORKDAY.INTL(+VLOOKUP(AL$1,POSTE!$B:$G,3,FALSE),+CUM!AC8/+VLOOKUP(AL$1,POSTE!$B:$H,7,FALSE),,CONGÉ!$C$2:$C$80))</f>
        <v>45762</v>
      </c>
      <c r="AM9" s="50">
        <f ca="1">+IF(T9=0," ",+WORKDAY.INTL(+VLOOKUP(AM$1,POSTE!$B:$G,3,FALSE),+CUM!AD8/+VLOOKUP(AM$1,POSTE!$B:$H,7,FALSE),,CONGÉ!$C$2:$C$80))</f>
        <v>45754</v>
      </c>
      <c r="AN9" s="50">
        <f ca="1">+IF(U9=0," ",+WORKDAY.INTL(+VLOOKUP(AN$1,POSTE!$B:$G,3,FALSE),+CUM!AE8/+VLOOKUP(AN$1,POSTE!$B:$H,7,FALSE),,CONGÉ!$C$2:$C$80))</f>
        <v>45755</v>
      </c>
      <c r="AO9" s="50">
        <f ca="1">+IF(V9=0," ",+WORKDAY.INTL(+VLOOKUP(AO$1,POSTE!$B:$G,3,FALSE),+CUM!AF8/+VLOOKUP(AO$1,POSTE!$B:$H,7,FALSE),,CONGÉ!$C$2:$C$80))</f>
        <v>45756</v>
      </c>
      <c r="AP9" s="50" t="str">
        <f>+IF(W9=0," ",+WORKDAY.INTL(+VLOOKUP(AP$1,POSTE!$B:$G,3,FALSE),+CUM!AG8/+VLOOKUP(AP$1,POSTE!$B:$H,7,FALSE),,CONGÉ!$C$2:$C$80))</f>
        <v xml:space="preserve"> </v>
      </c>
      <c r="AQ9" s="50">
        <f ca="1">+IF(X9=0," ",+WORKDAY.INTL(+VLOOKUP(AQ$1,POSTE!$B:$G,3,FALSE),+CUM!AH8/+VLOOKUP(AQ$1,POSTE!$B:$H,7,FALSE),,CONGÉ!$C$2:$C$80))</f>
        <v>45754</v>
      </c>
      <c r="AR9" s="71">
        <f ca="1">+IF(Y9=0," ",+WORKDAY.INTL(+VLOOKUP(AR$1,POSTE!$B:$G,3,FALSE),+CUM!AI8/+VLOOKUP(AR$1,POSTE!$B:$H,7,FALSE),,CONGÉ!$C$2:$C$80))</f>
        <v>45765</v>
      </c>
      <c r="AS9" s="72">
        <f ca="1">+IF(Q9=0," ",+WORKDAY.INTL(+VLOOKUP(AS$1,POSTE!$B:$G,3,FALSE),+CUM!AA9/+VLOOKUP(AS$1,POSTE!$B:$H,7,FALSE),,CONGÉ!$C$2:$C$80))</f>
        <v>45761</v>
      </c>
      <c r="AT9" s="73">
        <f ca="1">+IF(R9=0," ",+WORKDAY.INTL(+VLOOKUP(AT$1,POSTE!$B:$G,3,FALSE),+CUM!AB9/+VLOOKUP(AT$1,POSTE!$B:$H,7,FALSE),,CONGÉ!$C$2:$C$80))</f>
        <v>45768</v>
      </c>
      <c r="AU9" s="73">
        <f ca="1">+IF(AND(S9=0,T9=0)," ",+WORKDAY.INTL(+VLOOKUP($AS$1,POSTE!B:J,3,FALSE),+(((AC9*POSTE!$H$5)+(CUM!AD9*POSTE!$H$4))/(POSTE!$H$4*POSTE!$H$5*2)),,CONGÉ!$C$2:$C$80))</f>
        <v>45765</v>
      </c>
      <c r="AV9" s="73">
        <f ca="1">+IF(U9=0," ",+WORKDAY.INTL(+VLOOKUP(AV$1,POSTE!$B:$G,3,FALSE),+CUM!AE9/+VLOOKUP(AV$1,POSTE!$B:$H,7,FALSE),,CONGÉ!$C$2:$C$80))</f>
        <v>45757</v>
      </c>
      <c r="AW9" s="73">
        <f ca="1">+IF(V9=0," ",+WORKDAY.INTL(+VLOOKUP(AW$1,POSTE!$B:$G,3,FALSE),+CUM!AF9/+VLOOKUP(AW$1,POSTE!$B:$H,7,FALSE),,CONGÉ!$C$2:$C$80))</f>
        <v>45764</v>
      </c>
      <c r="AX9" s="73" t="str">
        <f>+IF(W9=0," ",+WORKDAY.INTL(+VLOOKUP(AX$1,POSTE!$B:$G,3,FALSE),+CUM!AG9/+VLOOKUP(AX$1,POSTE!$B:$H,7,FALSE),,CONGÉ!$C$2:$C$80))</f>
        <v xml:space="preserve"> </v>
      </c>
      <c r="AY9" s="73">
        <f ca="1">+IF(X9=0," ",+WORKDAY.INTL(+VLOOKUP(AY$1,POSTE!$B:$G,3,FALSE),+CUM!AH9/+VLOOKUP(AY$1,POSTE!$B:$H,7,FALSE),,CONGÉ!$C$2:$C$80))</f>
        <v>45762</v>
      </c>
      <c r="AZ9" s="73">
        <f ca="1">+IF(Y9=0," ",+WORKDAY.INTL(+VLOOKUP(AZ$1,POSTE!$B:$G,3,FALSE),+CUM!AI9/+VLOOKUP(AZ$1,POSTE!$B:$H,7,FALSE),,CONGÉ!$C$2:$C$80))</f>
        <v>45772</v>
      </c>
      <c r="BA9" s="73">
        <f ca="1">+IF(S9=0," ",+WORKDAY.INTL(+VLOOKUP(BA$1,POSTE!$B:$G,3,FALSE),+CUM!AC9/+VLOOKUP(BA$1,POSTE!$B:$H,7,FALSE),,CONGÉ!$C$2:$C$80))</f>
        <v>45771</v>
      </c>
      <c r="BB9" s="73">
        <f ca="1">+IF(T9=0," ",+WORKDAY.INTL(+VLOOKUP(BB$1,POSTE!$B:$G,3,FALSE),+CUM!AD9/+VLOOKUP(BB$1,POSTE!$B:$H,7,FALSE),,CONGÉ!$C$2:$C$80))</f>
        <v>45758</v>
      </c>
      <c r="BC9" s="70">
        <f t="shared" ca="1" si="13"/>
        <v>45754</v>
      </c>
      <c r="BD9" s="70">
        <f t="shared" ca="1" si="14"/>
        <v>45772</v>
      </c>
      <c r="BE9" s="129">
        <f>+IF($F9="oui",+VLOOKUP($A9,DATA!$A:$AH,DATA!$AH$3,FALSE),0)</f>
        <v>0</v>
      </c>
      <c r="BF9" s="129">
        <f t="shared" si="15"/>
        <v>120</v>
      </c>
      <c r="BG9" s="136" t="str">
        <f>+IF(BE9&gt;0,+MAX((BH$4:BH8),BD9),"")</f>
        <v/>
      </c>
      <c r="BH9" s="136" t="str">
        <f>+IF(BE9&gt;0,+MAX((BH$4:BH8),+WORKDAY.INTL(BG9,+BE9/8,,CONGÉ!$C$2:$C$73)),"")</f>
        <v/>
      </c>
      <c r="BI9" s="136">
        <f t="shared" ca="1" si="16"/>
        <v>45802</v>
      </c>
      <c r="BJ9" s="43">
        <f t="shared" si="11"/>
        <v>109342</v>
      </c>
      <c r="BK9" s="77">
        <f t="shared" ca="1" si="17"/>
        <v>45754</v>
      </c>
      <c r="BL9" s="78">
        <f>+(((AC9*POSTE!$H$5)+(CUM!AD9*POSTE!$H$4))/(POSTE!$H$4*POSTE!$H$5*2))</f>
        <v>9.0903385416666662</v>
      </c>
      <c r="BM9" s="90">
        <f ca="1">+WORKDAY.INTL(BK9,BL9,,CONGÉ!C$4:C$72)</f>
        <v>45765</v>
      </c>
      <c r="BN9" s="78">
        <f t="shared" ca="1" si="18"/>
        <v>0</v>
      </c>
    </row>
    <row r="10" spans="1:66" x14ac:dyDescent="0.25">
      <c r="A10" s="49">
        <f t="shared" si="19"/>
        <v>6</v>
      </c>
      <c r="B10" s="185" cm="1">
        <f t="array" ref="B10">_xlfn.LET(_xlpm.CORR,IF(DATA!$B$4:$B$104="",IF(DATA!$A$4:$A$104="","--",DATA!$A$4:$A$104),DATA!$B$4:$B$104),_xlpm.Rx,SMALL(_xlpm.CORR,A10),IFERROR(MATCH(_xlpm.Rx,_xlpm.CORR,0),0))</f>
        <v>11</v>
      </c>
      <c r="C10" s="195" t="str" cm="1">
        <f t="array" ref="C10">IF($B10=0,"",INDEX(Données,$B10,C$3))</f>
        <v>Traail 11</v>
      </c>
      <c r="D10" s="196" t="str" cm="1">
        <f t="array" ref="D10">IF($B10=0,"",INDEX(Données,$B10,D$3))</f>
        <v>Client 11</v>
      </c>
      <c r="E10" s="197" cm="1">
        <f t="array" ref="E10">IF($B10=0,"",INDEX(Données,$B10,E$3))</f>
        <v>45793</v>
      </c>
      <c r="F10" s="198" t="str" cm="1">
        <f t="array" ref="F10">IF($B10=0,"",INDEX(Données,$B10,F$3))</f>
        <v>OUI</v>
      </c>
      <c r="G10" s="173">
        <f>+IF($F10="oui",+VLOOKUP($A10,DATA!$A:$AG,DATA!$P$3,FALSE),0)</f>
        <v>4</v>
      </c>
      <c r="H10" s="44">
        <f>+IF($F10="oui",+VLOOKUP($A10,DATA!$A:$AG,DATA!$R$3,FALSE),0)</f>
        <v>14</v>
      </c>
      <c r="I10" s="44">
        <f>+IF($F10="oui",+VLOOKUP($A10,DATA!$A:$AG,DATA!$T$3,FALSE),0)</f>
        <v>155</v>
      </c>
      <c r="J10" s="44">
        <f>+IF($F10="oui",+VLOOKUP($A10,DATA!$A:$AG,DATA!$V$3,FALSE),0)</f>
        <v>289</v>
      </c>
      <c r="K10" s="44">
        <f>+IF($F10="oui",+VLOOKUP($A10,DATA!$A:$AG,DATA!$X$3,FALSE),0)</f>
        <v>11</v>
      </c>
      <c r="L10" s="44">
        <f>+IF($F10="oui",+VLOOKUP($A10,DATA!$A:$AG,DATA!$Z$3,FALSE),0)</f>
        <v>90</v>
      </c>
      <c r="M10" s="44">
        <f>+IF($F10="oui",+VLOOKUP($A10,DATA!$A:$AG,DATA!$AB$3,FALSE),0)</f>
        <v>0</v>
      </c>
      <c r="N10" s="44">
        <f>+IF($F10="oui",+VLOOKUP($A10,DATA!$A:$AG,DATA!$AD$3,FALSE),0)</f>
        <v>3</v>
      </c>
      <c r="O10" s="45">
        <f>+IF($F10="oui",+VLOOKUP($A10,DATA!$A:$AG,DATA!$AF$3,FALSE),0)</f>
        <v>35</v>
      </c>
      <c r="P10" s="116">
        <f t="shared" si="12"/>
        <v>601</v>
      </c>
      <c r="Q10" s="21">
        <f>+IF($F10="oui",+VLOOKUP($A10,DATA!$A:$AG,DATA!$Q$3,FALSE),0)</f>
        <v>97</v>
      </c>
      <c r="R10" s="22">
        <f>+IF($F10="oui",+VLOOKUP($A10,DATA!$A:$AG,DATA!$S$3,FALSE),0)</f>
        <v>4882</v>
      </c>
      <c r="S10" s="22">
        <f>+IF($F10="oui",+VLOOKUP($A10,DATA!$A:$AG,DATA!$U$3,FALSE),0)</f>
        <v>21702</v>
      </c>
      <c r="T10" s="22">
        <f>+IF($F10="oui",+VLOOKUP($A10,DATA!$A:$AG,DATA!$W$3,FALSE),0)</f>
        <v>8818</v>
      </c>
      <c r="U10" s="22">
        <f>+IF($F10="oui",+VLOOKUP($A10,DATA!$A:$AG,DATA!$Y$3,FALSE),0)</f>
        <v>695</v>
      </c>
      <c r="V10" s="22">
        <f>+IF($F10="oui",+VLOOKUP($A10,DATA!$A:$AG,DATA!$AA$3,FALSE),0)</f>
        <v>2116</v>
      </c>
      <c r="W10" s="22">
        <f>+IF($F10="oui",+VLOOKUP($A10,DATA!$A:$AG,DATA!$AC$3,FALSE),0)</f>
        <v>0</v>
      </c>
      <c r="X10" s="22">
        <f>+IF($F10="oui",+VLOOKUP($A10,DATA!$A:$AG,DATA!$AE$3,FALSE),0)</f>
        <v>20</v>
      </c>
      <c r="Y10" s="23">
        <f>+IF($F10="oui",+VLOOKUP($A10,DATA!$A:$AG,DATA!$AG$3,FALSE),0)</f>
        <v>19</v>
      </c>
      <c r="Z10" s="118">
        <f t="shared" si="1"/>
        <v>38349</v>
      </c>
      <c r="AA10" s="43">
        <f t="shared" si="2"/>
        <v>47534</v>
      </c>
      <c r="AB10" s="44">
        <f t="shared" si="3"/>
        <v>83062</v>
      </c>
      <c r="AC10" s="44">
        <f t="shared" si="4"/>
        <v>110001</v>
      </c>
      <c r="AD10" s="44">
        <f t="shared" si="5"/>
        <v>29861</v>
      </c>
      <c r="AE10" s="44">
        <f t="shared" si="6"/>
        <v>6135</v>
      </c>
      <c r="AF10" s="44">
        <f t="shared" si="7"/>
        <v>19082</v>
      </c>
      <c r="AG10" s="44">
        <f t="shared" si="8"/>
        <v>0</v>
      </c>
      <c r="AH10" s="44">
        <f t="shared" si="9"/>
        <v>12180</v>
      </c>
      <c r="AI10" s="45">
        <f t="shared" si="10"/>
        <v>712</v>
      </c>
      <c r="AJ10" s="70">
        <f ca="1">+IF(Q10=0," ",+WORKDAY.INTL(+VLOOKUP(AJ$1,POSTE!$B:$G,3,FALSE),+CUM!AA9/+VLOOKUP(AJ$1,POSTE!$B:$H,7,FALSE),,CONGÉ!$C$2:$C$80))</f>
        <v>45761</v>
      </c>
      <c r="AK10" s="50">
        <f ca="1">+IF(R10=0," ",+WORKDAY.INTL(+VLOOKUP(AK$1,POSTE!$B:$G,3,FALSE),+CUM!AB9/+VLOOKUP(AK$1,POSTE!$B:$H,7,FALSE),,CONGÉ!$C$2:$C$80))</f>
        <v>45768</v>
      </c>
      <c r="AL10" s="50">
        <f ca="1">+IF(S10=0," ",+WORKDAY.INTL(+VLOOKUP(AL$1,POSTE!$B:$G,3,FALSE),+CUM!AC9/+VLOOKUP(AL$1,POSTE!$B:$H,7,FALSE),,CONGÉ!$C$2:$C$80))</f>
        <v>45771</v>
      </c>
      <c r="AM10" s="50">
        <f ca="1">+IF(T10=0," ",+WORKDAY.INTL(+VLOOKUP(AM$1,POSTE!$B:$G,3,FALSE),+CUM!AD9/+VLOOKUP(AM$1,POSTE!$B:$H,7,FALSE),,CONGÉ!$C$2:$C$80))</f>
        <v>45758</v>
      </c>
      <c r="AN10" s="50">
        <f ca="1">+IF(U10=0," ",+WORKDAY.INTL(+VLOOKUP(AN$1,POSTE!$B:$G,3,FALSE),+CUM!AE9/+VLOOKUP(AN$1,POSTE!$B:$H,7,FALSE),,CONGÉ!$C$2:$C$80))</f>
        <v>45757</v>
      </c>
      <c r="AO10" s="50">
        <f ca="1">+IF(V10=0," ",+WORKDAY.INTL(+VLOOKUP(AO$1,POSTE!$B:$G,3,FALSE),+CUM!AF9/+VLOOKUP(AO$1,POSTE!$B:$H,7,FALSE),,CONGÉ!$C$2:$C$80))</f>
        <v>45764</v>
      </c>
      <c r="AP10" s="50" t="str">
        <f>+IF(W10=0," ",+WORKDAY.INTL(+VLOOKUP(AP$1,POSTE!$B:$G,3,FALSE),+CUM!AG9/+VLOOKUP(AP$1,POSTE!$B:$H,7,FALSE),,CONGÉ!$C$2:$C$80))</f>
        <v xml:space="preserve"> </v>
      </c>
      <c r="AQ10" s="50">
        <f ca="1">+IF(X10=0," ",+WORKDAY.INTL(+VLOOKUP(AQ$1,POSTE!$B:$G,3,FALSE),+CUM!AH9/+VLOOKUP(AQ$1,POSTE!$B:$H,7,FALSE),,CONGÉ!$C$2:$C$80))</f>
        <v>45762</v>
      </c>
      <c r="AR10" s="71">
        <f ca="1">+IF(Y10=0," ",+WORKDAY.INTL(+VLOOKUP(AR$1,POSTE!$B:$G,3,FALSE),+CUM!AI9/+VLOOKUP(AR$1,POSTE!$B:$H,7,FALSE),,CONGÉ!$C$2:$C$80))</f>
        <v>45772</v>
      </c>
      <c r="AS10" s="72">
        <f ca="1">+IF(Q10=0," ",+WORKDAY.INTL(+VLOOKUP(AS$1,POSTE!$B:$G,3,FALSE),+CUM!AA10/+VLOOKUP(AS$1,POSTE!$B:$H,7,FALSE),,CONGÉ!$C$2:$C$80))</f>
        <v>45761</v>
      </c>
      <c r="AT10" s="73">
        <f ca="1">+IF(R10=0," ",+WORKDAY.INTL(+VLOOKUP(AT$1,POSTE!$B:$G,3,FALSE),+CUM!AB10/+VLOOKUP(AT$1,POSTE!$B:$H,7,FALSE),,CONGÉ!$C$2:$C$80))</f>
        <v>45769</v>
      </c>
      <c r="AU10" s="73">
        <f ca="1">+IF(AND(S10=0,T10=0)," ",+WORKDAY.INTL(+VLOOKUP($AS$1,POSTE!B:J,3,FALSE),+(((AC10*POSTE!$H$5)+(CUM!AD10*POSTE!$H$4))/(POSTE!$H$4*POSTE!$H$5*2)),,CONGÉ!$C$2:$C$80))</f>
        <v>45769</v>
      </c>
      <c r="AV10" s="73">
        <f ca="1">+IF(U10=0," ",+WORKDAY.INTL(+VLOOKUP(AV$1,POSTE!$B:$G,3,FALSE),+CUM!AE10/+VLOOKUP(AV$1,POSTE!$B:$H,7,FALSE),,CONGÉ!$C$2:$C$80))</f>
        <v>45757</v>
      </c>
      <c r="AW10" s="73">
        <f ca="1">+IF(V10=0," ",+WORKDAY.INTL(+VLOOKUP(AW$1,POSTE!$B:$G,3,FALSE),+CUM!AF10/+VLOOKUP(AW$1,POSTE!$B:$H,7,FALSE),,CONGÉ!$C$2:$C$80))</f>
        <v>45765</v>
      </c>
      <c r="AX10" s="73" t="str">
        <f>+IF(W10=0," ",+WORKDAY.INTL(+VLOOKUP(AX$1,POSTE!$B:$G,3,FALSE),+CUM!AG10/+VLOOKUP(AX$1,POSTE!$B:$H,7,FALSE),,CONGÉ!$C$2:$C$80))</f>
        <v xml:space="preserve"> </v>
      </c>
      <c r="AY10" s="73">
        <f ca="1">+IF(X10=0," ",+WORKDAY.INTL(+VLOOKUP(AY$1,POSTE!$B:$G,3,FALSE),+CUM!AH10/+VLOOKUP(AY$1,POSTE!$B:$H,7,FALSE),,CONGÉ!$C$2:$C$80))</f>
        <v>45762</v>
      </c>
      <c r="AZ10" s="73">
        <f ca="1">+IF(Y10=0," ",+WORKDAY.INTL(+VLOOKUP(AZ$1,POSTE!$B:$G,3,FALSE),+CUM!AI10/+VLOOKUP(AZ$1,POSTE!$B:$H,7,FALSE),,CONGÉ!$C$2:$C$80))</f>
        <v>45772</v>
      </c>
      <c r="BA10" s="73">
        <f ca="1">+IF(S10=0," ",+WORKDAY.INTL(+VLOOKUP(BA$1,POSTE!$B:$G,3,FALSE),+CUM!AC10/+VLOOKUP(BA$1,POSTE!$B:$H,7,FALSE),,CONGÉ!$C$2:$C$80))</f>
        <v>45777</v>
      </c>
      <c r="BB10" s="73">
        <f ca="1">+IF(T10=0," ",+WORKDAY.INTL(+VLOOKUP(BB$1,POSTE!$B:$G,3,FALSE),+CUM!AD10/+VLOOKUP(BB$1,POSTE!$B:$H,7,FALSE),,CONGÉ!$C$2:$C$80))</f>
        <v>45762</v>
      </c>
      <c r="BC10" s="70">
        <f t="shared" ca="1" si="13"/>
        <v>45757</v>
      </c>
      <c r="BD10" s="70">
        <f t="shared" ca="1" si="14"/>
        <v>45772</v>
      </c>
      <c r="BE10" s="129">
        <f>+IF($F10="oui",+VLOOKUP($A10,DATA!$A:$AH,DATA!$AH$3,FALSE),0)</f>
        <v>140</v>
      </c>
      <c r="BF10" s="129">
        <f t="shared" si="15"/>
        <v>260</v>
      </c>
      <c r="BG10" s="136">
        <f ca="1">+IF(BE10&gt;0,+MAX((BH$4:BH9),BD10),"")</f>
        <v>45785</v>
      </c>
      <c r="BH10" s="136">
        <f ca="1">+IF(BE10&gt;0,+MAX((BH$4:BH9),+WORKDAY.INTL(BG10,+BE10/8,,CONGÉ!$C$2:$C$73)),"")</f>
        <v>45810</v>
      </c>
      <c r="BI10" s="136">
        <f t="shared" ca="1" si="16"/>
        <v>45840</v>
      </c>
      <c r="BJ10" s="43">
        <f t="shared" si="11"/>
        <v>139862</v>
      </c>
      <c r="BK10" s="77">
        <f t="shared" ca="1" si="17"/>
        <v>45754</v>
      </c>
      <c r="BL10" s="78">
        <f>+(((AC10*POSTE!$H$5)+(CUM!AD10*POSTE!$H$4))/(POSTE!$H$4*POSTE!$H$5*2))</f>
        <v>11.704348958333334</v>
      </c>
      <c r="BM10" s="90">
        <f ca="1">+WORKDAY.INTL(BK10,BL10,,CONGÉ!C$4:C$72)</f>
        <v>45769</v>
      </c>
      <c r="BN10" s="78">
        <f t="shared" ca="1" si="18"/>
        <v>0</v>
      </c>
    </row>
    <row r="11" spans="1:66" x14ac:dyDescent="0.25">
      <c r="A11" s="49">
        <f t="shared" si="19"/>
        <v>7</v>
      </c>
      <c r="B11" s="185" cm="1">
        <f t="array" ref="B11">_xlfn.LET(_xlpm.CORR,IF(DATA!$B$4:$B$104="",IF(DATA!$A$4:$A$104="","--",DATA!$A$4:$A$104),DATA!$B$4:$B$104),_xlpm.Rx,SMALL(_xlpm.CORR,A11),IFERROR(MATCH(_xlpm.Rx,_xlpm.CORR,0),0))</f>
        <v>1</v>
      </c>
      <c r="C11" s="195" t="str" cm="1">
        <f t="array" ref="C11">IF($B11=0,"",INDEX(Données,$B11,C$3))</f>
        <v>Travail 1</v>
      </c>
      <c r="D11" s="196" t="str" cm="1">
        <f t="array" ref="D11">IF($B11=0,"",INDEX(Données,$B11,D$3))</f>
        <v>Client 1</v>
      </c>
      <c r="E11" s="197" cm="1">
        <f t="array" ref="E11">IF($B11=0,"",INDEX(Données,$B11,E$3))</f>
        <v>45855</v>
      </c>
      <c r="F11" s="198" t="str" cm="1">
        <f t="array" ref="F11">IF($B11=0,"",INDEX(Données,$B11,F$3))</f>
        <v>OUI</v>
      </c>
      <c r="G11" s="43">
        <f>+IF($F11="oui",+VLOOKUP($A11,DATA!$A:$AG,DATA!$P$3,FALSE),0)</f>
        <v>0</v>
      </c>
      <c r="H11" s="44">
        <f>+IF($F11="oui",+VLOOKUP($A11,DATA!$A:$AG,DATA!$R$3,FALSE),0)</f>
        <v>10</v>
      </c>
      <c r="I11" s="44">
        <f>+IF($F11="oui",+VLOOKUP($A11,DATA!$A:$AG,DATA!$T$3,FALSE),0)</f>
        <v>138</v>
      </c>
      <c r="J11" s="44">
        <f>+IF($F11="oui",+VLOOKUP($A11,DATA!$A:$AG,DATA!$V$3,FALSE),0)</f>
        <v>107</v>
      </c>
      <c r="K11" s="44">
        <f>+IF($F11="oui",+VLOOKUP($A11,DATA!$A:$AG,DATA!$X$3,FALSE),0)</f>
        <v>109</v>
      </c>
      <c r="L11" s="44">
        <f>+IF($F11="oui",+VLOOKUP($A11,DATA!$A:$AG,DATA!$Z$3,FALSE),0)</f>
        <v>151</v>
      </c>
      <c r="M11" s="44">
        <f>+IF($F11="oui",+VLOOKUP($A11,DATA!$A:$AG,DATA!$AB$3,FALSE),0)</f>
        <v>0</v>
      </c>
      <c r="N11" s="44">
        <f>+IF($F11="oui",+VLOOKUP($A11,DATA!$A:$AG,DATA!$AD$3,FALSE),0)</f>
        <v>0</v>
      </c>
      <c r="O11" s="45">
        <f>+IF($F11="oui",+VLOOKUP($A11,DATA!$A:$AG,DATA!$AF$3,FALSE),0)</f>
        <v>56</v>
      </c>
      <c r="P11" s="116">
        <f t="shared" si="12"/>
        <v>571</v>
      </c>
      <c r="Q11" s="21">
        <f>+IF($F11="oui",+VLOOKUP($A11,DATA!$A:$AG,DATA!$Q$3,FALSE),0)</f>
        <v>0</v>
      </c>
      <c r="R11" s="22">
        <f>+IF($F11="oui",+VLOOKUP($A11,DATA!$A:$AG,DATA!$S$3,FALSE),0)</f>
        <v>29486</v>
      </c>
      <c r="S11" s="22">
        <f>+IF($F11="oui",+VLOOKUP($A11,DATA!$A:$AG,DATA!$U$3,FALSE),0)</f>
        <v>25117</v>
      </c>
      <c r="T11" s="22">
        <f>+IF($F11="oui",+VLOOKUP($A11,DATA!$A:$AG,DATA!$W$3,FALSE),0)</f>
        <v>2407</v>
      </c>
      <c r="U11" s="22">
        <f>+IF($F11="oui",+VLOOKUP($A11,DATA!$A:$AG,DATA!$Y$3,FALSE),0)</f>
        <v>14719</v>
      </c>
      <c r="V11" s="22">
        <f>+IF($F11="oui",+VLOOKUP($A11,DATA!$A:$AG,DATA!$AA$3,FALSE),0)</f>
        <v>3456</v>
      </c>
      <c r="W11" s="22">
        <f>+IF($F11="oui",+VLOOKUP($A11,DATA!$A:$AG,DATA!$AC$3,FALSE),0)</f>
        <v>0</v>
      </c>
      <c r="X11" s="22">
        <f>+IF($F11="oui",+VLOOKUP($A11,DATA!$A:$AG,DATA!$AE$3,FALSE),0)</f>
        <v>0</v>
      </c>
      <c r="Y11" s="23">
        <f>+IF($F11="oui",+VLOOKUP($A11,DATA!$A:$AG,DATA!$AG$3,FALSE),0)</f>
        <v>28</v>
      </c>
      <c r="Z11" s="118">
        <f t="shared" si="1"/>
        <v>75213</v>
      </c>
      <c r="AA11" s="43">
        <f t="shared" si="2"/>
        <v>47534</v>
      </c>
      <c r="AB11" s="44">
        <f t="shared" si="3"/>
        <v>112548</v>
      </c>
      <c r="AC11" s="44">
        <f t="shared" si="4"/>
        <v>135118</v>
      </c>
      <c r="AD11" s="44">
        <f t="shared" si="5"/>
        <v>32268</v>
      </c>
      <c r="AE11" s="44">
        <f t="shared" si="6"/>
        <v>20854</v>
      </c>
      <c r="AF11" s="44">
        <f t="shared" si="7"/>
        <v>22538</v>
      </c>
      <c r="AG11" s="44">
        <f t="shared" si="8"/>
        <v>0</v>
      </c>
      <c r="AH11" s="44">
        <f t="shared" si="9"/>
        <v>12180</v>
      </c>
      <c r="AI11" s="45">
        <f t="shared" si="10"/>
        <v>740</v>
      </c>
      <c r="AJ11" s="70" t="str">
        <f>+IF(Q11=0," ",+WORKDAY.INTL(+VLOOKUP(AJ$1,POSTE!$B:$G,3,FALSE),+CUM!AA10/+VLOOKUP(AJ$1,POSTE!$B:$H,7,FALSE),,CONGÉ!$C$2:$C$80))</f>
        <v xml:space="preserve"> </v>
      </c>
      <c r="AK11" s="50">
        <f ca="1">+IF(R11=0," ",+WORKDAY.INTL(+VLOOKUP(AK$1,POSTE!$B:$G,3,FALSE),+CUM!AB10/+VLOOKUP(AK$1,POSTE!$B:$H,7,FALSE),,CONGÉ!$C$2:$C$80))</f>
        <v>45769</v>
      </c>
      <c r="AL11" s="50">
        <f ca="1">+IF(S11=0," ",+WORKDAY.INTL(+VLOOKUP(AL$1,POSTE!$B:$G,3,FALSE),+CUM!AC10/+VLOOKUP(AL$1,POSTE!$B:$H,7,FALSE),,CONGÉ!$C$2:$C$80))</f>
        <v>45777</v>
      </c>
      <c r="AM11" s="50">
        <f ca="1">+IF(T11=0," ",+WORKDAY.INTL(+VLOOKUP(AM$1,POSTE!$B:$G,3,FALSE),+CUM!AD10/+VLOOKUP(AM$1,POSTE!$B:$H,7,FALSE),,CONGÉ!$C$2:$C$80))</f>
        <v>45762</v>
      </c>
      <c r="AN11" s="50">
        <f ca="1">+IF(U11=0," ",+WORKDAY.INTL(+VLOOKUP(AN$1,POSTE!$B:$G,3,FALSE),+CUM!AE10/+VLOOKUP(AN$1,POSTE!$B:$H,7,FALSE),,CONGÉ!$C$2:$C$80))</f>
        <v>45757</v>
      </c>
      <c r="AO11" s="50">
        <f ca="1">+IF(V11=0," ",+WORKDAY.INTL(+VLOOKUP(AO$1,POSTE!$B:$G,3,FALSE),+CUM!AF10/+VLOOKUP(AO$1,POSTE!$B:$H,7,FALSE),,CONGÉ!$C$2:$C$80))</f>
        <v>45765</v>
      </c>
      <c r="AP11" s="50" t="str">
        <f>+IF(W11=0," ",+WORKDAY.INTL(+VLOOKUP(AP$1,POSTE!$B:$G,3,FALSE),+CUM!AG10/+VLOOKUP(AP$1,POSTE!$B:$H,7,FALSE),,CONGÉ!$C$2:$C$80))</f>
        <v xml:space="preserve"> </v>
      </c>
      <c r="AQ11" s="50" t="str">
        <f>+IF(X11=0," ",+WORKDAY.INTL(+VLOOKUP(AQ$1,POSTE!$B:$G,3,FALSE),+CUM!AH10/+VLOOKUP(AQ$1,POSTE!$B:$H,7,FALSE),,CONGÉ!$C$2:$C$80))</f>
        <v xml:space="preserve"> </v>
      </c>
      <c r="AR11" s="71">
        <f ca="1">+IF(Y11=0," ",+WORKDAY.INTL(+VLOOKUP(AR$1,POSTE!$B:$G,3,FALSE),+CUM!AI10/+VLOOKUP(AR$1,POSTE!$B:$H,7,FALSE),,CONGÉ!$C$2:$C$80))</f>
        <v>45772</v>
      </c>
      <c r="AS11" s="72" t="str">
        <f>+IF(Q11=0," ",+WORKDAY.INTL(+VLOOKUP(AS$1,POSTE!$B:$G,3,FALSE),+CUM!AA11/+VLOOKUP(AS$1,POSTE!$B:$H,7,FALSE),,CONGÉ!$C$2:$C$80))</f>
        <v xml:space="preserve"> </v>
      </c>
      <c r="AT11" s="73">
        <f ca="1">+IF(R11=0," ",+WORKDAY.INTL(+VLOOKUP(AT$1,POSTE!$B:$G,3,FALSE),+CUM!AB11/+VLOOKUP(AT$1,POSTE!$B:$H,7,FALSE),,CONGÉ!$C$2:$C$80))</f>
        <v>45775</v>
      </c>
      <c r="AU11" s="73">
        <f ca="1">+IF(AND(S11=0,T11=0)," ",+WORKDAY.INTL(+VLOOKUP($AS$1,POSTE!B:J,3,FALSE),+(((AC11*POSTE!$H$5)+(CUM!AD11*POSTE!$H$4))/(POSTE!$H$4*POSTE!$H$5*2)),,CONGÉ!$C$2:$C$80))</f>
        <v>45771</v>
      </c>
      <c r="AV11" s="73">
        <f ca="1">+IF(U11=0," ",+WORKDAY.INTL(+VLOOKUP(AV$1,POSTE!$B:$G,3,FALSE),+CUM!AE11/+VLOOKUP(AV$1,POSTE!$B:$H,7,FALSE),,CONGÉ!$C$2:$C$80))</f>
        <v>45771</v>
      </c>
      <c r="AW11" s="73">
        <f ca="1">+IF(V11=0," ",+WORKDAY.INTL(+VLOOKUP(AW$1,POSTE!$B:$G,3,FALSE),+CUM!AF11/+VLOOKUP(AW$1,POSTE!$B:$H,7,FALSE),,CONGÉ!$C$2:$C$80))</f>
        <v>45769</v>
      </c>
      <c r="AX11" s="73" t="str">
        <f>+IF(W11=0," ",+WORKDAY.INTL(+VLOOKUP(AX$1,POSTE!$B:$G,3,FALSE),+CUM!AG11/+VLOOKUP(AX$1,POSTE!$B:$H,7,FALSE),,CONGÉ!$C$2:$C$80))</f>
        <v xml:space="preserve"> </v>
      </c>
      <c r="AY11" s="73" t="str">
        <f>+IF(X11=0," ",+WORKDAY.INTL(+VLOOKUP(AY$1,POSTE!$B:$G,3,FALSE),+CUM!AH11/+VLOOKUP(AY$1,POSTE!$B:$H,7,FALSE),,CONGÉ!$C$2:$C$80))</f>
        <v xml:space="preserve"> </v>
      </c>
      <c r="AZ11" s="73">
        <f ca="1">+IF(Y11=0," ",+WORKDAY.INTL(+VLOOKUP(AZ$1,POSTE!$B:$G,3,FALSE),+CUM!AI11/+VLOOKUP(AZ$1,POSTE!$B:$H,7,FALSE),,CONGÉ!$C$2:$C$80))</f>
        <v>45775</v>
      </c>
      <c r="BA11" s="73">
        <f ca="1">+IF(S11=0," ",+WORKDAY.INTL(+VLOOKUP(BA$1,POSTE!$B:$G,3,FALSE),+CUM!AC11/+VLOOKUP(BA$1,POSTE!$B:$H,7,FALSE),,CONGÉ!$C$2:$C$80))</f>
        <v>45783</v>
      </c>
      <c r="BB11" s="73">
        <f ca="1">+IF(T11=0," ",+WORKDAY.INTL(+VLOOKUP(BB$1,POSTE!$B:$G,3,FALSE),+CUM!AD11/+VLOOKUP(BB$1,POSTE!$B:$H,7,FALSE),,CONGÉ!$C$2:$C$80))</f>
        <v>45762</v>
      </c>
      <c r="BC11" s="70">
        <f t="shared" ca="1" si="13"/>
        <v>45757</v>
      </c>
      <c r="BD11" s="70">
        <f t="shared" ca="1" si="14"/>
        <v>45775</v>
      </c>
      <c r="BE11" s="129">
        <f>+IF($F11="oui",+VLOOKUP($A11,DATA!$A:$AH,DATA!$AH$3,FALSE),0)</f>
        <v>220</v>
      </c>
      <c r="BF11" s="129">
        <f t="shared" si="15"/>
        <v>480</v>
      </c>
      <c r="BG11" s="136">
        <f ca="1">+IF(BE11&gt;0,+MAX((BH$4:BH10),BD11),"")</f>
        <v>45810</v>
      </c>
      <c r="BH11" s="136">
        <f ca="1">+IF(BE11&gt;0,+MAX((BH$4:BH10),+WORKDAY.INTL(BG11,+BE11/8,,CONGÉ!$C$2:$C$73)),"")</f>
        <v>45849</v>
      </c>
      <c r="BI11" s="136">
        <f t="shared" ca="1" si="16"/>
        <v>45880</v>
      </c>
      <c r="BJ11" s="43">
        <f t="shared" si="11"/>
        <v>167386</v>
      </c>
      <c r="BK11" s="77">
        <f t="shared" ca="1" si="17"/>
        <v>45754</v>
      </c>
      <c r="BL11" s="78">
        <f>+(((AC11*POSTE!$H$5)+(CUM!AD11*POSTE!$H$4))/(POSTE!$H$4*POSTE!$H$5*2))</f>
        <v>13.917343750000001</v>
      </c>
      <c r="BM11" s="90">
        <f ca="1">+WORKDAY.INTL(BK11,BL11,,CONGÉ!C$4:C$72)</f>
        <v>45771</v>
      </c>
      <c r="BN11" s="78">
        <f t="shared" ca="1" si="18"/>
        <v>0</v>
      </c>
    </row>
    <row r="12" spans="1:66" x14ac:dyDescent="0.25">
      <c r="A12" s="49">
        <f t="shared" si="19"/>
        <v>8</v>
      </c>
      <c r="B12" s="185" cm="1">
        <f t="array" ref="B12">_xlfn.LET(_xlpm.CORR,IF(DATA!$B$4:$B$104="",IF(DATA!$A$4:$A$104="","--",DATA!$A$4:$A$104),DATA!$B$4:$B$104),_xlpm.Rx,SMALL(_xlpm.CORR,A12),IFERROR(MATCH(_xlpm.Rx,_xlpm.CORR,0),0))</f>
        <v>6</v>
      </c>
      <c r="C12" s="195" t="str" cm="1">
        <f t="array" ref="C12">IF($B12=0,"",INDEX(Données,$B12,C$3))</f>
        <v>Traail 6</v>
      </c>
      <c r="D12" s="196" t="str" cm="1">
        <f t="array" ref="D12">IF($B12=0,"",INDEX(Données,$B12,D$3))</f>
        <v>Client 6</v>
      </c>
      <c r="E12" s="197" cm="1">
        <f t="array" ref="E12">IF($B12=0,"",INDEX(Données,$B12,E$3))</f>
        <v>45855</v>
      </c>
      <c r="F12" s="198" t="str" cm="1">
        <f t="array" ref="F12">IF($B12=0,"",INDEX(Données,$B12,F$3))</f>
        <v>OUI</v>
      </c>
      <c r="G12" s="43">
        <f>+IF($F12="oui",+VLOOKUP($A12,DATA!$A:$AG,DATA!$P$3,FALSE),0)</f>
        <v>0</v>
      </c>
      <c r="H12" s="44">
        <f>+IF($F12="oui",+VLOOKUP($A12,DATA!$A:$AG,DATA!$R$3,FALSE),0)</f>
        <v>13</v>
      </c>
      <c r="I12" s="44">
        <f>+IF($F12="oui",+VLOOKUP($A12,DATA!$A:$AG,DATA!$T$3,FALSE),0)</f>
        <v>33</v>
      </c>
      <c r="J12" s="44">
        <f>+IF($F12="oui",+VLOOKUP($A12,DATA!$A:$AG,DATA!$V$3,FALSE),0)</f>
        <v>14</v>
      </c>
      <c r="K12" s="44">
        <f>+IF($F12="oui",+VLOOKUP($A12,DATA!$A:$AG,DATA!$X$3,FALSE),0)</f>
        <v>26</v>
      </c>
      <c r="L12" s="44">
        <f>+IF($F12="oui",+VLOOKUP($A12,DATA!$A:$AG,DATA!$Z$3,FALSE),0)</f>
        <v>9</v>
      </c>
      <c r="M12" s="44">
        <f>+IF($F12="oui",+VLOOKUP($A12,DATA!$A:$AG,DATA!$AB$3,FALSE),0)</f>
        <v>0</v>
      </c>
      <c r="N12" s="44">
        <f>+IF($F12="oui",+VLOOKUP($A12,DATA!$A:$AG,DATA!$AD$3,FALSE),0)</f>
        <v>2</v>
      </c>
      <c r="O12" s="45">
        <f>+IF($F12="oui",+VLOOKUP($A12,DATA!$A:$AG,DATA!$AF$3,FALSE),0)</f>
        <v>16</v>
      </c>
      <c r="P12" s="116">
        <f t="shared" si="12"/>
        <v>113</v>
      </c>
      <c r="Q12" s="21">
        <f>+IF($F12="oui",+VLOOKUP($A12,DATA!$A:$AG,DATA!$Q$3,FALSE),0)</f>
        <v>0</v>
      </c>
      <c r="R12" s="22">
        <f>+IF($F12="oui",+VLOOKUP($A12,DATA!$A:$AG,DATA!$S$3,FALSE),0)</f>
        <v>59176</v>
      </c>
      <c r="S12" s="22">
        <f>+IF($F12="oui",+VLOOKUP($A12,DATA!$A:$AG,DATA!$U$3,FALSE),0)</f>
        <v>19337</v>
      </c>
      <c r="T12" s="22">
        <f>+IF($F12="oui",+VLOOKUP($A12,DATA!$A:$AG,DATA!$W$3,FALSE),0)</f>
        <v>1734</v>
      </c>
      <c r="U12" s="22">
        <f>+IF($F12="oui",+VLOOKUP($A12,DATA!$A:$AG,DATA!$Y$3,FALSE),0)</f>
        <v>12980</v>
      </c>
      <c r="V12" s="22">
        <f>+IF($F12="oui",+VLOOKUP($A12,DATA!$A:$AG,DATA!$AA$3,FALSE),0)</f>
        <v>607</v>
      </c>
      <c r="W12" s="22">
        <f>+IF($F12="oui",+VLOOKUP($A12,DATA!$A:$AG,DATA!$AC$3,FALSE),0)</f>
        <v>0</v>
      </c>
      <c r="X12" s="22">
        <f>+IF($F12="oui",+VLOOKUP($A12,DATA!$A:$AG,DATA!$AE$3,FALSE),0)</f>
        <v>1505</v>
      </c>
      <c r="Y12" s="23">
        <f>+IF($F12="oui",+VLOOKUP($A12,DATA!$A:$AG,DATA!$AG$3,FALSE),0)</f>
        <v>440</v>
      </c>
      <c r="Z12" s="118">
        <f t="shared" si="1"/>
        <v>95779</v>
      </c>
      <c r="AA12" s="43">
        <f t="shared" si="2"/>
        <v>47534</v>
      </c>
      <c r="AB12" s="44">
        <f t="shared" si="3"/>
        <v>171724</v>
      </c>
      <c r="AC12" s="44">
        <f t="shared" si="4"/>
        <v>154455</v>
      </c>
      <c r="AD12" s="44">
        <f t="shared" si="5"/>
        <v>34002</v>
      </c>
      <c r="AE12" s="44">
        <f t="shared" si="6"/>
        <v>33834</v>
      </c>
      <c r="AF12" s="44">
        <f t="shared" si="7"/>
        <v>23145</v>
      </c>
      <c r="AG12" s="44">
        <f t="shared" si="8"/>
        <v>0</v>
      </c>
      <c r="AH12" s="44">
        <f t="shared" si="9"/>
        <v>13685</v>
      </c>
      <c r="AI12" s="45">
        <f t="shared" si="10"/>
        <v>1180</v>
      </c>
      <c r="AJ12" s="70" t="str">
        <f>+IF(Q12=0," ",+WORKDAY.INTL(+VLOOKUP(AJ$1,POSTE!$B:$G,3,FALSE),+CUM!AA11/+VLOOKUP(AJ$1,POSTE!$B:$H,7,FALSE),,CONGÉ!$C$2:$C$80))</f>
        <v xml:space="preserve"> </v>
      </c>
      <c r="AK12" s="50">
        <f ca="1">+IF(R12=0," ",+WORKDAY.INTL(+VLOOKUP(AK$1,POSTE!$B:$G,3,FALSE),+CUM!AB11/+VLOOKUP(AK$1,POSTE!$B:$H,7,FALSE),,CONGÉ!$C$2:$C$80))</f>
        <v>45775</v>
      </c>
      <c r="AL12" s="50">
        <f ca="1">+IF(S12=0," ",+WORKDAY.INTL(+VLOOKUP(AL$1,POSTE!$B:$G,3,FALSE),+CUM!AC11/+VLOOKUP(AL$1,POSTE!$B:$H,7,FALSE),,CONGÉ!$C$2:$C$80))</f>
        <v>45783</v>
      </c>
      <c r="AM12" s="50">
        <f ca="1">+IF(T12=0," ",+WORKDAY.INTL(+VLOOKUP(AM$1,POSTE!$B:$G,3,FALSE),+CUM!AD11/+VLOOKUP(AM$1,POSTE!$B:$H,7,FALSE),,CONGÉ!$C$2:$C$80))</f>
        <v>45762</v>
      </c>
      <c r="AN12" s="50">
        <f ca="1">+IF(U12=0," ",+WORKDAY.INTL(+VLOOKUP(AN$1,POSTE!$B:$G,3,FALSE),+CUM!AE11/+VLOOKUP(AN$1,POSTE!$B:$H,7,FALSE),,CONGÉ!$C$2:$C$80))</f>
        <v>45771</v>
      </c>
      <c r="AO12" s="50">
        <f ca="1">+IF(V12=0," ",+WORKDAY.INTL(+VLOOKUP(AO$1,POSTE!$B:$G,3,FALSE),+CUM!AF11/+VLOOKUP(AO$1,POSTE!$B:$H,7,FALSE),,CONGÉ!$C$2:$C$80))</f>
        <v>45769</v>
      </c>
      <c r="AP12" s="50" t="str">
        <f>+IF(W12=0," ",+WORKDAY.INTL(+VLOOKUP(AP$1,POSTE!$B:$G,3,FALSE),+CUM!AG11/+VLOOKUP(AP$1,POSTE!$B:$H,7,FALSE),,CONGÉ!$C$2:$C$80))</f>
        <v xml:space="preserve"> </v>
      </c>
      <c r="AQ12" s="50">
        <f ca="1">+IF(X12=0," ",+WORKDAY.INTL(+VLOOKUP(AQ$1,POSTE!$B:$G,3,FALSE),+CUM!AH11/+VLOOKUP(AQ$1,POSTE!$B:$H,7,FALSE),,CONGÉ!$C$2:$C$80))</f>
        <v>45762</v>
      </c>
      <c r="AR12" s="71">
        <f ca="1">+IF(Y12=0," ",+WORKDAY.INTL(+VLOOKUP(AR$1,POSTE!$B:$G,3,FALSE),+CUM!AI11/+VLOOKUP(AR$1,POSTE!$B:$H,7,FALSE),,CONGÉ!$C$2:$C$80))</f>
        <v>45775</v>
      </c>
      <c r="AS12" s="72" t="str">
        <f>+IF(Q12=0," ",+WORKDAY.INTL(+VLOOKUP(AS$1,POSTE!$B:$G,3,FALSE),+CUM!AA12/+VLOOKUP(AS$1,POSTE!$B:$H,7,FALSE),,CONGÉ!$C$2:$C$80))</f>
        <v xml:space="preserve"> </v>
      </c>
      <c r="AT12" s="73">
        <f ca="1">+IF(R12=0," ",+WORKDAY.INTL(+VLOOKUP(AT$1,POSTE!$B:$G,3,FALSE),+CUM!AB12/+VLOOKUP(AT$1,POSTE!$B:$H,7,FALSE),,CONGÉ!$C$2:$C$80))</f>
        <v>45785</v>
      </c>
      <c r="AU12" s="73">
        <f ca="1">+IF(AND(S12=0,T12=0)," ",+WORKDAY.INTL(+VLOOKUP($AS$1,POSTE!B:J,3,FALSE),+(((AC12*POSTE!$H$5)+(CUM!AD12*POSTE!$H$4))/(POSTE!$H$4*POSTE!$H$5*2)),,CONGÉ!$C$2:$C$80))</f>
        <v>45775</v>
      </c>
      <c r="AV12" s="73">
        <f ca="1">+IF(U12=0," ",+WORKDAY.INTL(+VLOOKUP(AV$1,POSTE!$B:$G,3,FALSE),+CUM!AE12/+VLOOKUP(AV$1,POSTE!$B:$H,7,FALSE),,CONGÉ!$C$2:$C$80))</f>
        <v>45783</v>
      </c>
      <c r="AW12" s="73">
        <f ca="1">+IF(V12=0," ",+WORKDAY.INTL(+VLOOKUP(AW$1,POSTE!$B:$G,3,FALSE),+CUM!AF12/+VLOOKUP(AW$1,POSTE!$B:$H,7,FALSE),,CONGÉ!$C$2:$C$80))</f>
        <v>45769</v>
      </c>
      <c r="AX12" s="73" t="str">
        <f>+IF(W12=0," ",+WORKDAY.INTL(+VLOOKUP(AX$1,POSTE!$B:$G,3,FALSE),+CUM!AG12/+VLOOKUP(AX$1,POSTE!$B:$H,7,FALSE),,CONGÉ!$C$2:$C$80))</f>
        <v xml:space="preserve"> </v>
      </c>
      <c r="AY12" s="73">
        <f ca="1">+IF(X12=0," ",+WORKDAY.INTL(+VLOOKUP(AY$1,POSTE!$B:$G,3,FALSE),+CUM!AH12/+VLOOKUP(AY$1,POSTE!$B:$H,7,FALSE),,CONGÉ!$C$2:$C$80))</f>
        <v>45762</v>
      </c>
      <c r="AZ12" s="73">
        <f ca="1">+IF(Y12=0," ",+WORKDAY.INTL(+VLOOKUP(AZ$1,POSTE!$B:$G,3,FALSE),+CUM!AI12/+VLOOKUP(AZ$1,POSTE!$B:$H,7,FALSE),,CONGÉ!$C$2:$C$80))</f>
        <v>45786</v>
      </c>
      <c r="BA12" s="73">
        <f ca="1">+IF(S12=0," ",+WORKDAY.INTL(+VLOOKUP(BA$1,POSTE!$B:$G,3,FALSE),+CUM!AC12/+VLOOKUP(BA$1,POSTE!$B:$H,7,FALSE),,CONGÉ!$C$2:$C$80))</f>
        <v>45786</v>
      </c>
      <c r="BB12" s="73">
        <f ca="1">+IF(T12=0," ",+WORKDAY.INTL(+VLOOKUP(BB$1,POSTE!$B:$G,3,FALSE),+CUM!AD12/+VLOOKUP(BB$1,POSTE!$B:$H,7,FALSE),,CONGÉ!$C$2:$C$80))</f>
        <v>45763</v>
      </c>
      <c r="BC12" s="70">
        <f t="shared" ca="1" si="13"/>
        <v>45762</v>
      </c>
      <c r="BD12" s="70">
        <f t="shared" ca="1" si="14"/>
        <v>45786</v>
      </c>
      <c r="BE12" s="129">
        <f>+IF($F12="oui",+VLOOKUP($A12,DATA!$A:$AH,DATA!$AH$3,FALSE),0)</f>
        <v>0</v>
      </c>
      <c r="BF12" s="129">
        <f t="shared" si="15"/>
        <v>480</v>
      </c>
      <c r="BG12" s="136" t="str">
        <f>+IF(BE12&gt;0,+MAX((BH$4:BH11),BD12),"")</f>
        <v/>
      </c>
      <c r="BH12" s="136" t="str">
        <f>+IF(BE12&gt;0,+MAX((BH$4:BH11),+WORKDAY.INTL(BG12,+BE12/8,,CONGÉ!$C$2:$C$73)),"")</f>
        <v/>
      </c>
      <c r="BI12" s="136">
        <f t="shared" ca="1" si="16"/>
        <v>45817</v>
      </c>
      <c r="BJ12" s="43">
        <f t="shared" si="11"/>
        <v>188457</v>
      </c>
      <c r="BK12" s="77">
        <f t="shared" ca="1" si="17"/>
        <v>45754</v>
      </c>
      <c r="BL12" s="78">
        <f>+(((AC12*POSTE!$H$5)+(CUM!AD12*POSTE!$H$4))/(POSTE!$H$4*POSTE!$H$5*2))</f>
        <v>15.608671875000001</v>
      </c>
      <c r="BM12" s="90">
        <f ca="1">+WORKDAY.INTL(BK12,BL12,,CONGÉ!C$4:C$72)</f>
        <v>45775</v>
      </c>
      <c r="BN12" s="78">
        <f t="shared" ca="1" si="18"/>
        <v>0</v>
      </c>
    </row>
    <row r="13" spans="1:66" x14ac:dyDescent="0.25">
      <c r="A13" s="49">
        <f t="shared" si="19"/>
        <v>9</v>
      </c>
      <c r="B13" s="185" cm="1">
        <f t="array" ref="B13">_xlfn.LET(_xlpm.CORR,IF(DATA!$B$4:$B$104="",IF(DATA!$A$4:$A$104="","--",DATA!$A$4:$A$104),DATA!$B$4:$B$104),_xlpm.Rx,SMALL(_xlpm.CORR,A13),IFERROR(MATCH(_xlpm.Rx,_xlpm.CORR,0),0))</f>
        <v>5</v>
      </c>
      <c r="C13" s="195" t="str" cm="1">
        <f t="array" ref="C13">IF($B13=0,"",INDEX(Données,$B13,C$3))</f>
        <v>Traail 5</v>
      </c>
      <c r="D13" s="196" t="str" cm="1">
        <f t="array" ref="D13">IF($B13=0,"",INDEX(Données,$B13,D$3))</f>
        <v>Client 5</v>
      </c>
      <c r="E13" s="197" cm="1">
        <f t="array" ref="E13">IF($B13=0,"",INDEX(Données,$B13,E$3))</f>
        <v>45814</v>
      </c>
      <c r="F13" s="198" t="str" cm="1">
        <f t="array" ref="F13">IF($B13=0,"",INDEX(Données,$B13,F$3))</f>
        <v>OUI</v>
      </c>
      <c r="G13" s="43">
        <f>+IF($F13="oui",+VLOOKUP($A13,DATA!$A:$AG,DATA!$P$3,FALSE),0)</f>
        <v>8</v>
      </c>
      <c r="H13" s="44">
        <f>+IF($F13="oui",+VLOOKUP($A13,DATA!$A:$AG,DATA!$R$3,FALSE),0)</f>
        <v>47</v>
      </c>
      <c r="I13" s="44">
        <f>+IF($F13="oui",+VLOOKUP($A13,DATA!$A:$AG,DATA!$T$3,FALSE),0)</f>
        <v>204</v>
      </c>
      <c r="J13" s="44">
        <f>+IF($F13="oui",+VLOOKUP($A13,DATA!$A:$AG,DATA!$V$3,FALSE),0)</f>
        <v>206</v>
      </c>
      <c r="K13" s="44">
        <f>+IF($F13="oui",+VLOOKUP($A13,DATA!$A:$AG,DATA!$X$3,FALSE),0)</f>
        <v>25</v>
      </c>
      <c r="L13" s="44">
        <f>+IF($F13="oui",+VLOOKUP($A13,DATA!$A:$AG,DATA!$Z$3,FALSE),0)</f>
        <v>177</v>
      </c>
      <c r="M13" s="44">
        <f>+IF($F13="oui",+VLOOKUP($A13,DATA!$A:$AG,DATA!$AB$3,FALSE),0)</f>
        <v>0</v>
      </c>
      <c r="N13" s="44">
        <f>+IF($F13="oui",+VLOOKUP($A13,DATA!$A:$AG,DATA!$AD$3,FALSE),0)</f>
        <v>2</v>
      </c>
      <c r="O13" s="45">
        <f>+IF($F13="oui",+VLOOKUP($A13,DATA!$A:$AG,DATA!$AF$3,FALSE),0)</f>
        <v>56</v>
      </c>
      <c r="P13" s="116">
        <f t="shared" si="12"/>
        <v>725</v>
      </c>
      <c r="Q13" s="21">
        <f>+IF($F13="oui",+VLOOKUP($A13,DATA!$A:$AG,DATA!$Q$3,FALSE),0)</f>
        <v>911</v>
      </c>
      <c r="R13" s="22">
        <f>+IF($F13="oui",+VLOOKUP($A13,DATA!$A:$AG,DATA!$S$3,FALSE),0)</f>
        <v>9367</v>
      </c>
      <c r="S13" s="22">
        <f>+IF($F13="oui",+VLOOKUP($A13,DATA!$A:$AG,DATA!$U$3,FALSE),0)</f>
        <v>21847</v>
      </c>
      <c r="T13" s="22">
        <f>+IF($F13="oui",+VLOOKUP($A13,DATA!$A:$AG,DATA!$W$3,FALSE),0)</f>
        <v>4144</v>
      </c>
      <c r="U13" s="22">
        <f>+IF($F13="oui",+VLOOKUP($A13,DATA!$A:$AG,DATA!$Y$3,FALSE),0)</f>
        <v>1365</v>
      </c>
      <c r="V13" s="22">
        <f>+IF($F13="oui",+VLOOKUP($A13,DATA!$A:$AG,DATA!$AA$3,FALSE),0)</f>
        <v>2529</v>
      </c>
      <c r="W13" s="22">
        <f>+IF($F13="oui",+VLOOKUP($A13,DATA!$A:$AG,DATA!$AC$3,FALSE),0)</f>
        <v>0</v>
      </c>
      <c r="X13" s="22">
        <f>+IF($F13="oui",+VLOOKUP($A13,DATA!$A:$AG,DATA!$AE$3,FALSE),0)</f>
        <v>29</v>
      </c>
      <c r="Y13" s="23">
        <f>+IF($F13="oui",+VLOOKUP($A13,DATA!$A:$AG,DATA!$AG$3,FALSE),0)</f>
        <v>37</v>
      </c>
      <c r="Z13" s="118">
        <f t="shared" si="1"/>
        <v>40229</v>
      </c>
      <c r="AA13" s="43">
        <f t="shared" si="2"/>
        <v>48445</v>
      </c>
      <c r="AB13" s="44">
        <f t="shared" si="3"/>
        <v>181091</v>
      </c>
      <c r="AC13" s="44">
        <f t="shared" si="4"/>
        <v>176302</v>
      </c>
      <c r="AD13" s="44">
        <f t="shared" si="5"/>
        <v>38146</v>
      </c>
      <c r="AE13" s="44">
        <f t="shared" si="6"/>
        <v>35199</v>
      </c>
      <c r="AF13" s="44">
        <f t="shared" si="7"/>
        <v>25674</v>
      </c>
      <c r="AG13" s="44">
        <f t="shared" si="8"/>
        <v>0</v>
      </c>
      <c r="AH13" s="44">
        <f t="shared" si="9"/>
        <v>13714</v>
      </c>
      <c r="AI13" s="45">
        <f t="shared" si="10"/>
        <v>1217</v>
      </c>
      <c r="AJ13" s="70">
        <f ca="1">+IF(Q13=0," ",+WORKDAY.INTL(+VLOOKUP(AJ$1,POSTE!$B:$G,3,FALSE),+CUM!AA12/+VLOOKUP(AJ$1,POSTE!$B:$H,7,FALSE),,CONGÉ!$C$2:$C$80))</f>
        <v>45761</v>
      </c>
      <c r="AK13" s="50">
        <f ca="1">+IF(R13=0," ",+WORKDAY.INTL(+VLOOKUP(AK$1,POSTE!$B:$G,3,FALSE),+CUM!AB12/+VLOOKUP(AK$1,POSTE!$B:$H,7,FALSE),,CONGÉ!$C$2:$C$80))</f>
        <v>45785</v>
      </c>
      <c r="AL13" s="50">
        <f ca="1">+IF(S13=0," ",+WORKDAY.INTL(+VLOOKUP(AL$1,POSTE!$B:$G,3,FALSE),+CUM!AC12/+VLOOKUP(AL$1,POSTE!$B:$H,7,FALSE),,CONGÉ!$C$2:$C$80))</f>
        <v>45786</v>
      </c>
      <c r="AM13" s="50">
        <f ca="1">+IF(T13=0," ",+WORKDAY.INTL(+VLOOKUP(AM$1,POSTE!$B:$G,3,FALSE),+CUM!AD12/+VLOOKUP(AM$1,POSTE!$B:$H,7,FALSE),,CONGÉ!$C$2:$C$80))</f>
        <v>45763</v>
      </c>
      <c r="AN13" s="50">
        <f ca="1">+IF(U13=0," ",+WORKDAY.INTL(+VLOOKUP(AN$1,POSTE!$B:$G,3,FALSE),+CUM!AE12/+VLOOKUP(AN$1,POSTE!$B:$H,7,FALSE),,CONGÉ!$C$2:$C$80))</f>
        <v>45783</v>
      </c>
      <c r="AO13" s="50">
        <f ca="1">+IF(V13=0," ",+WORKDAY.INTL(+VLOOKUP(AO$1,POSTE!$B:$G,3,FALSE),+CUM!AF12/+VLOOKUP(AO$1,POSTE!$B:$H,7,FALSE),,CONGÉ!$C$2:$C$80))</f>
        <v>45769</v>
      </c>
      <c r="AP13" s="50" t="str">
        <f>+IF(W13=0," ",+WORKDAY.INTL(+VLOOKUP(AP$1,POSTE!$B:$G,3,FALSE),+CUM!AG12/+VLOOKUP(AP$1,POSTE!$B:$H,7,FALSE),,CONGÉ!$C$2:$C$80))</f>
        <v xml:space="preserve"> </v>
      </c>
      <c r="AQ13" s="50">
        <f ca="1">+IF(X13=0," ",+WORKDAY.INTL(+VLOOKUP(AQ$1,POSTE!$B:$G,3,FALSE),+CUM!AH12/+VLOOKUP(AQ$1,POSTE!$B:$H,7,FALSE),,CONGÉ!$C$2:$C$80))</f>
        <v>45762</v>
      </c>
      <c r="AR13" s="71">
        <f ca="1">+IF(Y13=0," ",+WORKDAY.INTL(+VLOOKUP(AR$1,POSTE!$B:$G,3,FALSE),+CUM!AI12/+VLOOKUP(AR$1,POSTE!$B:$H,7,FALSE),,CONGÉ!$C$2:$C$80))</f>
        <v>45786</v>
      </c>
      <c r="AS13" s="72">
        <f ca="1">+IF(Q13=0," ",+WORKDAY.INTL(+VLOOKUP(AS$1,POSTE!$B:$G,3,FALSE),+CUM!AA13/+VLOOKUP(AS$1,POSTE!$B:$H,7,FALSE),,CONGÉ!$C$2:$C$80))</f>
        <v>45762</v>
      </c>
      <c r="AT13" s="73">
        <f ca="1">+IF(R13=0," ",+WORKDAY.INTL(+VLOOKUP(AT$1,POSTE!$B:$G,3,FALSE),+CUM!AB13/+VLOOKUP(AT$1,POSTE!$B:$H,7,FALSE),,CONGÉ!$C$2:$C$80))</f>
        <v>45789</v>
      </c>
      <c r="AU13" s="73">
        <f ca="1">+IF(AND(S13=0,T13=0)," ",+WORKDAY.INTL(+VLOOKUP($AS$1,POSTE!B:J,3,FALSE),+(((AC13*POSTE!$H$5)+(CUM!AD13*POSTE!$H$4))/(POSTE!$H$4*POSTE!$H$5*2)),,CONGÉ!$C$2:$C$80))</f>
        <v>45777</v>
      </c>
      <c r="AV13" s="73">
        <f ca="1">+IF(U13=0," ",+WORKDAY.INTL(+VLOOKUP(AV$1,POSTE!$B:$G,3,FALSE),+CUM!AE13/+VLOOKUP(AV$1,POSTE!$B:$H,7,FALSE),,CONGÉ!$C$2:$C$80))</f>
        <v>45783</v>
      </c>
      <c r="AW13" s="73">
        <f ca="1">+IF(V13=0," ",+WORKDAY.INTL(+VLOOKUP(AW$1,POSTE!$B:$G,3,FALSE),+CUM!AF13/+VLOOKUP(AW$1,POSTE!$B:$H,7,FALSE),,CONGÉ!$C$2:$C$80))</f>
        <v>45771</v>
      </c>
      <c r="AX13" s="73" t="str">
        <f>+IF(W13=0," ",+WORKDAY.INTL(+VLOOKUP(AX$1,POSTE!$B:$G,3,FALSE),+CUM!AG13/+VLOOKUP(AX$1,POSTE!$B:$H,7,FALSE),,CONGÉ!$C$2:$C$80))</f>
        <v xml:space="preserve"> </v>
      </c>
      <c r="AY13" s="73">
        <f ca="1">+IF(X13=0," ",+WORKDAY.INTL(+VLOOKUP(AY$1,POSTE!$B:$G,3,FALSE),+CUM!AH13/+VLOOKUP(AY$1,POSTE!$B:$H,7,FALSE),,CONGÉ!$C$2:$C$80))</f>
        <v>45762</v>
      </c>
      <c r="AZ13" s="73">
        <f ca="1">+IF(Y13=0," ",+WORKDAY.INTL(+VLOOKUP(AZ$1,POSTE!$B:$G,3,FALSE),+CUM!AI13/+VLOOKUP(AZ$1,POSTE!$B:$H,7,FALSE),,CONGÉ!$C$2:$C$80))</f>
        <v>45789</v>
      </c>
      <c r="BA13" s="73">
        <f ca="1">+IF(S13=0," ",+WORKDAY.INTL(+VLOOKUP(BA$1,POSTE!$B:$G,3,FALSE),+CUM!AC13/+VLOOKUP(BA$1,POSTE!$B:$H,7,FALSE),,CONGÉ!$C$2:$C$80))</f>
        <v>45791</v>
      </c>
      <c r="BB13" s="73">
        <f ca="1">+IF(T13=0," ",+WORKDAY.INTL(+VLOOKUP(BB$1,POSTE!$B:$G,3,FALSE),+CUM!AD13/+VLOOKUP(BB$1,POSTE!$B:$H,7,FALSE),,CONGÉ!$C$2:$C$80))</f>
        <v>45763</v>
      </c>
      <c r="BC13" s="70">
        <f t="shared" ca="1" si="13"/>
        <v>45761</v>
      </c>
      <c r="BD13" s="70">
        <f t="shared" ca="1" si="14"/>
        <v>45789</v>
      </c>
      <c r="BE13" s="129">
        <f>+IF($F13="oui",+VLOOKUP($A13,DATA!$A:$AH,DATA!$AH$3,FALSE),0)</f>
        <v>134.66666666666669</v>
      </c>
      <c r="BF13" s="129">
        <f t="shared" si="15"/>
        <v>614.66666666666674</v>
      </c>
      <c r="BG13" s="136">
        <f ca="1">+IF(BE13&gt;0,+MAX((BH$4:BH12),BD13),"")</f>
        <v>45849</v>
      </c>
      <c r="BH13" s="136">
        <f ca="1">+IF(BE13&gt;0,+MAX((BH$4:BH12),+WORKDAY.INTL(BG13,+BE13/8,,CONGÉ!$C$2:$C$73)),"")</f>
        <v>45894</v>
      </c>
      <c r="BI13" s="136">
        <f t="shared" ca="1" si="16"/>
        <v>45925</v>
      </c>
      <c r="BJ13" s="43">
        <f t="shared" si="11"/>
        <v>214448</v>
      </c>
      <c r="BK13" s="77">
        <f t="shared" ca="1" si="17"/>
        <v>45754</v>
      </c>
      <c r="BL13" s="78">
        <f>+(((AC13*POSTE!$H$5)+(CUM!AD13*POSTE!$H$4))/(POSTE!$H$4*POSTE!$H$5*2))</f>
        <v>17.747135416666666</v>
      </c>
      <c r="BM13" s="90">
        <f ca="1">+WORKDAY.INTL(BK13,BL13,,CONGÉ!C$4:C$72)</f>
        <v>45777</v>
      </c>
      <c r="BN13" s="78">
        <f t="shared" ca="1" si="18"/>
        <v>0</v>
      </c>
    </row>
    <row r="14" spans="1:66" x14ac:dyDescent="0.25">
      <c r="A14" s="49">
        <f t="shared" si="19"/>
        <v>10</v>
      </c>
      <c r="B14" s="185" cm="1">
        <f t="array" ref="B14">_xlfn.LET(_xlpm.CORR,IF(DATA!$B$4:$B$104="",IF(DATA!$A$4:$A$104="","--",DATA!$A$4:$A$104),DATA!$B$4:$B$104),_xlpm.Rx,SMALL(_xlpm.CORR,A14),IFERROR(MATCH(_xlpm.Rx,_xlpm.CORR,0),0))</f>
        <v>12</v>
      </c>
      <c r="C14" s="195" t="str" cm="1">
        <f t="array" ref="C14">IF($B14=0,"",INDEX(Données,$B14,C$3))</f>
        <v>Traail 12</v>
      </c>
      <c r="D14" s="196" t="str" cm="1">
        <f t="array" ref="D14">IF($B14=0,"",INDEX(Données,$B14,D$3))</f>
        <v>Client 12</v>
      </c>
      <c r="E14" s="197" cm="1">
        <f t="array" ref="E14">IF($B14=0,"",INDEX(Données,$B14,E$3))</f>
        <v>45814</v>
      </c>
      <c r="F14" s="198" t="str" cm="1">
        <f t="array" ref="F14">IF($B14=0,"",INDEX(Données,$B14,F$3))</f>
        <v>OUI</v>
      </c>
      <c r="G14" s="43">
        <f>+IF($F14="oui",+VLOOKUP($A14,DATA!$A:$AG,DATA!$P$3,FALSE),0)</f>
        <v>0</v>
      </c>
      <c r="H14" s="44">
        <f>+IF($F14="oui",+VLOOKUP($A14,DATA!$A:$AG,DATA!$R$3,FALSE),0)</f>
        <v>10</v>
      </c>
      <c r="I14" s="44">
        <f>+IF($F14="oui",+VLOOKUP($A14,DATA!$A:$AG,DATA!$T$3,FALSE),0)</f>
        <v>32</v>
      </c>
      <c r="J14" s="44">
        <f>+IF($F14="oui",+VLOOKUP($A14,DATA!$A:$AG,DATA!$V$3,FALSE),0)</f>
        <v>1</v>
      </c>
      <c r="K14" s="44">
        <f>+IF($F14="oui",+VLOOKUP($A14,DATA!$A:$AG,DATA!$X$3,FALSE),0)</f>
        <v>1</v>
      </c>
      <c r="L14" s="44">
        <f>+IF($F14="oui",+VLOOKUP($A14,DATA!$A:$AG,DATA!$Z$3,FALSE),0)</f>
        <v>1</v>
      </c>
      <c r="M14" s="44">
        <f>+IF($F14="oui",+VLOOKUP($A14,DATA!$A:$AG,DATA!$AB$3,FALSE),0)</f>
        <v>0</v>
      </c>
      <c r="N14" s="44">
        <f>+IF($F14="oui",+VLOOKUP($A14,DATA!$A:$AG,DATA!$AD$3,FALSE),0)</f>
        <v>0</v>
      </c>
      <c r="O14" s="45">
        <f>+IF($F14="oui",+VLOOKUP($A14,DATA!$A:$AG,DATA!$AF$3,FALSE),0)</f>
        <v>20</v>
      </c>
      <c r="P14" s="116">
        <f t="shared" si="12"/>
        <v>65</v>
      </c>
      <c r="Q14" s="21">
        <f>+IF($F14="oui",+VLOOKUP($A14,DATA!$A:$AG,DATA!$Q$3,FALSE),0)</f>
        <v>0</v>
      </c>
      <c r="R14" s="22">
        <f>+IF($F14="oui",+VLOOKUP($A14,DATA!$A:$AG,DATA!$S$3,FALSE),0)</f>
        <v>34332</v>
      </c>
      <c r="S14" s="22">
        <f>+IF($F14="oui",+VLOOKUP($A14,DATA!$A:$AG,DATA!$U$3,FALSE),0)</f>
        <v>9558</v>
      </c>
      <c r="T14" s="22">
        <f>+IF($F14="oui",+VLOOKUP($A14,DATA!$A:$AG,DATA!$W$3,FALSE),0)</f>
        <v>21</v>
      </c>
      <c r="U14" s="22">
        <f>+IF($F14="oui",+VLOOKUP($A14,DATA!$A:$AG,DATA!$Y$3,FALSE),0)</f>
        <v>394</v>
      </c>
      <c r="V14" s="22">
        <f>+IF($F14="oui",+VLOOKUP($A14,DATA!$A:$AG,DATA!$AA$3,FALSE),0)</f>
        <v>10</v>
      </c>
      <c r="W14" s="22">
        <f>+IF($F14="oui",+VLOOKUP($A14,DATA!$A:$AG,DATA!$AC$3,FALSE),0)</f>
        <v>0</v>
      </c>
      <c r="X14" s="22">
        <f>+IF($F14="oui",+VLOOKUP($A14,DATA!$A:$AG,DATA!$AE$3,FALSE),0)</f>
        <v>0</v>
      </c>
      <c r="Y14" s="23">
        <f>+IF($F14="oui",+VLOOKUP($A14,DATA!$A:$AG,DATA!$AG$3,FALSE),0)</f>
        <v>150</v>
      </c>
      <c r="Z14" s="118">
        <f t="shared" si="1"/>
        <v>44465</v>
      </c>
      <c r="AA14" s="43">
        <f t="shared" si="2"/>
        <v>48445</v>
      </c>
      <c r="AB14" s="44">
        <f t="shared" si="3"/>
        <v>215423</v>
      </c>
      <c r="AC14" s="44">
        <f t="shared" si="4"/>
        <v>185860</v>
      </c>
      <c r="AD14" s="44">
        <f t="shared" si="5"/>
        <v>38167</v>
      </c>
      <c r="AE14" s="44">
        <f t="shared" si="6"/>
        <v>35593</v>
      </c>
      <c r="AF14" s="44">
        <f t="shared" si="7"/>
        <v>25684</v>
      </c>
      <c r="AG14" s="44">
        <f t="shared" si="8"/>
        <v>0</v>
      </c>
      <c r="AH14" s="44">
        <f t="shared" si="9"/>
        <v>13714</v>
      </c>
      <c r="AI14" s="45">
        <f t="shared" si="10"/>
        <v>1367</v>
      </c>
      <c r="AJ14" s="70" t="str">
        <f>+IF(Q14=0," ",+WORKDAY.INTL(+VLOOKUP(AJ$1,POSTE!$B:$G,3,FALSE),+CUM!AA13/+VLOOKUP(AJ$1,POSTE!$B:$H,7,FALSE),,CONGÉ!$C$2:$C$80))</f>
        <v xml:space="preserve"> </v>
      </c>
      <c r="AK14" s="50">
        <f ca="1">+IF(R14=0," ",+WORKDAY.INTL(+VLOOKUP(AK$1,POSTE!$B:$G,3,FALSE),+CUM!AB13/+VLOOKUP(AK$1,POSTE!$B:$H,7,FALSE),,CONGÉ!$C$2:$C$80))</f>
        <v>45789</v>
      </c>
      <c r="AL14" s="50">
        <f ca="1">+IF(S14=0," ",+WORKDAY.INTL(+VLOOKUP(AL$1,POSTE!$B:$G,3,FALSE),+CUM!AC13/+VLOOKUP(AL$1,POSTE!$B:$H,7,FALSE),,CONGÉ!$C$2:$C$80))</f>
        <v>45791</v>
      </c>
      <c r="AM14" s="50">
        <f ca="1">+IF(T14=0," ",+WORKDAY.INTL(+VLOOKUP(AM$1,POSTE!$B:$G,3,FALSE),+CUM!AD13/+VLOOKUP(AM$1,POSTE!$B:$H,7,FALSE),,CONGÉ!$C$2:$C$80))</f>
        <v>45763</v>
      </c>
      <c r="AN14" s="50">
        <f ca="1">+IF(U14=0," ",+WORKDAY.INTL(+VLOOKUP(AN$1,POSTE!$B:$G,3,FALSE),+CUM!AE13/+VLOOKUP(AN$1,POSTE!$B:$H,7,FALSE),,CONGÉ!$C$2:$C$80))</f>
        <v>45783</v>
      </c>
      <c r="AO14" s="50">
        <f ca="1">+IF(V14=0," ",+WORKDAY.INTL(+VLOOKUP(AO$1,POSTE!$B:$G,3,FALSE),+CUM!AF13/+VLOOKUP(AO$1,POSTE!$B:$H,7,FALSE),,CONGÉ!$C$2:$C$80))</f>
        <v>45771</v>
      </c>
      <c r="AP14" s="50" t="str">
        <f>+IF(W14=0," ",+WORKDAY.INTL(+VLOOKUP(AP$1,POSTE!$B:$G,3,FALSE),+CUM!AG13/+VLOOKUP(AP$1,POSTE!$B:$H,7,FALSE),,CONGÉ!$C$2:$C$80))</f>
        <v xml:space="preserve"> </v>
      </c>
      <c r="AQ14" s="50" t="str">
        <f>+IF(X14=0," ",+WORKDAY.INTL(+VLOOKUP(AQ$1,POSTE!$B:$G,3,FALSE),+CUM!AH13/+VLOOKUP(AQ$1,POSTE!$B:$H,7,FALSE),,CONGÉ!$C$2:$C$80))</f>
        <v xml:space="preserve"> </v>
      </c>
      <c r="AR14" s="71">
        <f ca="1">+IF(Y14=0," ",+WORKDAY.INTL(+VLOOKUP(AR$1,POSTE!$B:$G,3,FALSE),+CUM!AI13/+VLOOKUP(AR$1,POSTE!$B:$H,7,FALSE),,CONGÉ!$C$2:$C$80))</f>
        <v>45789</v>
      </c>
      <c r="AS14" s="72" t="str">
        <f>+IF(Q14=0," ",+WORKDAY.INTL(+VLOOKUP(AS$1,POSTE!$B:$G,3,FALSE),+CUM!AA14/+VLOOKUP(AS$1,POSTE!$B:$H,7,FALSE),,CONGÉ!$C$2:$C$80))</f>
        <v xml:space="preserve"> </v>
      </c>
      <c r="AT14" s="73">
        <f ca="1">+IF(R14=0," ",+WORKDAY.INTL(+VLOOKUP(AT$1,POSTE!$B:$G,3,FALSE),+CUM!AB14/+VLOOKUP(AT$1,POSTE!$B:$H,7,FALSE),,CONGÉ!$C$2:$C$80))</f>
        <v>45793</v>
      </c>
      <c r="AU14" s="73">
        <f ca="1">+IF(AND(S14=0,T14=0)," ",+WORKDAY.INTL(+VLOOKUP($AS$1,POSTE!B:J,3,FALSE),+(((AC14*POSTE!$H$5)+(CUM!AD14*POSTE!$H$4))/(POSTE!$H$4*POSTE!$H$5*2)),,CONGÉ!$C$2:$C$80))</f>
        <v>45778</v>
      </c>
      <c r="AV14" s="73">
        <f ca="1">+IF(U14=0," ",+WORKDAY.INTL(+VLOOKUP(AV$1,POSTE!$B:$G,3,FALSE),+CUM!AE14/+VLOOKUP(AV$1,POSTE!$B:$H,7,FALSE),,CONGÉ!$C$2:$C$80))</f>
        <v>45784</v>
      </c>
      <c r="AW14" s="73">
        <f ca="1">+IF(V14=0," ",+WORKDAY.INTL(+VLOOKUP(AW$1,POSTE!$B:$G,3,FALSE),+CUM!AF14/+VLOOKUP(AW$1,POSTE!$B:$H,7,FALSE),,CONGÉ!$C$2:$C$80))</f>
        <v>45771</v>
      </c>
      <c r="AX14" s="73" t="str">
        <f>+IF(W14=0," ",+WORKDAY.INTL(+VLOOKUP(AX$1,POSTE!$B:$G,3,FALSE),+CUM!AG14/+VLOOKUP(AX$1,POSTE!$B:$H,7,FALSE),,CONGÉ!$C$2:$C$80))</f>
        <v xml:space="preserve"> </v>
      </c>
      <c r="AY14" s="73" t="str">
        <f>+IF(X14=0," ",+WORKDAY.INTL(+VLOOKUP(AY$1,POSTE!$B:$G,3,FALSE),+CUM!AH14/+VLOOKUP(AY$1,POSTE!$B:$H,7,FALSE),,CONGÉ!$C$2:$C$80))</f>
        <v xml:space="preserve"> </v>
      </c>
      <c r="AZ14" s="73">
        <f ca="1">+IF(Y14=0," ",+WORKDAY.INTL(+VLOOKUP(AZ$1,POSTE!$B:$G,3,FALSE),+CUM!AI14/+VLOOKUP(AZ$1,POSTE!$B:$H,7,FALSE),,CONGÉ!$C$2:$C$80))</f>
        <v>45792</v>
      </c>
      <c r="BA14" s="73">
        <f ca="1">+IF(S14=0," ",+WORKDAY.INTL(+VLOOKUP(BA$1,POSTE!$B:$G,3,FALSE),+CUM!AC14/+VLOOKUP(BA$1,POSTE!$B:$H,7,FALSE),,CONGÉ!$C$2:$C$80))</f>
        <v>45793</v>
      </c>
      <c r="BB14" s="73">
        <f ca="1">+IF(T14=0," ",+WORKDAY.INTL(+VLOOKUP(BB$1,POSTE!$B:$G,3,FALSE),+CUM!AD14/+VLOOKUP(BB$1,POSTE!$B:$H,7,FALSE),,CONGÉ!$C$2:$C$80))</f>
        <v>45763</v>
      </c>
      <c r="BC14" s="70">
        <f t="shared" ca="1" si="13"/>
        <v>45763</v>
      </c>
      <c r="BD14" s="70">
        <f t="shared" ca="1" si="14"/>
        <v>45793</v>
      </c>
      <c r="BE14" s="129">
        <f>+IF($F14="oui",+VLOOKUP($A14,DATA!$A:$AH,DATA!$AH$3,FALSE),0)</f>
        <v>0</v>
      </c>
      <c r="BF14" s="129">
        <f t="shared" si="15"/>
        <v>614.66666666666674</v>
      </c>
      <c r="BG14" s="136" t="str">
        <f>+IF(BE14&gt;0,+MAX((BH$4:BH13),BD14),"")</f>
        <v/>
      </c>
      <c r="BH14" s="136" t="str">
        <f>+IF(BE14&gt;0,+MAX((BH$4:BH13),+WORKDAY.INTL(BG14,+BE14/8,,CONGÉ!$C$2:$C$73)),"")</f>
        <v/>
      </c>
      <c r="BI14" s="136">
        <f t="shared" ca="1" si="16"/>
        <v>45824</v>
      </c>
      <c r="BJ14" s="43">
        <f t="shared" si="11"/>
        <v>224027</v>
      </c>
      <c r="BK14" s="77">
        <f t="shared" ca="1" si="17"/>
        <v>45754</v>
      </c>
      <c r="BL14" s="78">
        <f>+(((AC14*POSTE!$H$5)+(CUM!AD14*POSTE!$H$4))/(POSTE!$H$4*POSTE!$H$5*2))</f>
        <v>18.496041666666667</v>
      </c>
      <c r="BM14" s="90">
        <f ca="1">+WORKDAY.INTL(BK14,BL14,,CONGÉ!C$4:C$72)</f>
        <v>45778</v>
      </c>
      <c r="BN14" s="78">
        <f t="shared" ca="1" si="18"/>
        <v>0</v>
      </c>
    </row>
    <row r="15" spans="1:66" x14ac:dyDescent="0.25">
      <c r="A15" s="49">
        <f t="shared" si="19"/>
        <v>11</v>
      </c>
      <c r="B15" s="185" cm="1">
        <f t="array" ref="B15">_xlfn.LET(_xlpm.CORR,IF(DATA!$B$4:$B$104="",IF(DATA!$A$4:$A$104="","--",DATA!$A$4:$A$104),DATA!$B$4:$B$104),_xlpm.Rx,SMALL(_xlpm.CORR,A15),IFERROR(MATCH(_xlpm.Rx,_xlpm.CORR,0),0))</f>
        <v>4</v>
      </c>
      <c r="C15" s="195" t="str" cm="1">
        <f t="array" ref="C15">IF($B15=0,"",INDEX(Données,$B15,C$3))</f>
        <v>Traail 4</v>
      </c>
      <c r="D15" s="196" t="str" cm="1">
        <f t="array" ref="D15">IF($B15=0,"",INDEX(Données,$B15,D$3))</f>
        <v>Client 4</v>
      </c>
      <c r="E15" s="197" cm="1">
        <f t="array" ref="E15">IF($B15=0,"",INDEX(Données,$B15,E$3))</f>
        <v>45898</v>
      </c>
      <c r="F15" s="198" t="str" cm="1">
        <f t="array" ref="F15">IF($B15=0,"",INDEX(Données,$B15,F$3))</f>
        <v>OUI</v>
      </c>
      <c r="G15" s="43">
        <f>+IF($F15="oui",+VLOOKUP($A15,DATA!$A:$AG,DATA!$P$3,FALSE),0)</f>
        <v>0</v>
      </c>
      <c r="H15" s="44">
        <f>+IF($F15="oui",+VLOOKUP($A15,DATA!$A:$AG,DATA!$R$3,FALSE),0)</f>
        <v>0</v>
      </c>
      <c r="I15" s="44">
        <f>+IF($F15="oui",+VLOOKUP($A15,DATA!$A:$AG,DATA!$T$3,FALSE),0)</f>
        <v>0</v>
      </c>
      <c r="J15" s="44">
        <f>+IF($F15="oui",+VLOOKUP($A15,DATA!$A:$AG,DATA!$V$3,FALSE),0)</f>
        <v>0</v>
      </c>
      <c r="K15" s="44">
        <f>+IF($F15="oui",+VLOOKUP($A15,DATA!$A:$AG,DATA!$X$3,FALSE),0)</f>
        <v>0</v>
      </c>
      <c r="L15" s="44">
        <f>+IF($F15="oui",+VLOOKUP($A15,DATA!$A:$AG,DATA!$Z$3,FALSE),0)</f>
        <v>0</v>
      </c>
      <c r="M15" s="44">
        <f>+IF($F15="oui",+VLOOKUP($A15,DATA!$A:$AG,DATA!$AB$3,FALSE),0)</f>
        <v>0</v>
      </c>
      <c r="N15" s="44">
        <f>+IF($F15="oui",+VLOOKUP($A15,DATA!$A:$AG,DATA!$AD$3,FALSE),0)</f>
        <v>0</v>
      </c>
      <c r="O15" s="45">
        <f>+IF($F15="oui",+VLOOKUP($A15,DATA!$A:$AG,DATA!$AF$3,FALSE),0)</f>
        <v>3</v>
      </c>
      <c r="P15" s="116">
        <f t="shared" si="12"/>
        <v>3</v>
      </c>
      <c r="Q15" s="21">
        <f>+IF($F15="oui",+VLOOKUP($A15,DATA!$A:$AG,DATA!$Q$3,FALSE),0)</f>
        <v>0</v>
      </c>
      <c r="R15" s="22">
        <f>+IF($F15="oui",+VLOOKUP($A15,DATA!$A:$AG,DATA!$S$3,FALSE),0)</f>
        <v>0</v>
      </c>
      <c r="S15" s="22">
        <f>+IF($F15="oui",+VLOOKUP($A15,DATA!$A:$AG,DATA!$U$3,FALSE),0)</f>
        <v>0</v>
      </c>
      <c r="T15" s="22">
        <f>+IF($F15="oui",+VLOOKUP($A15,DATA!$A:$AG,DATA!$W$3,FALSE),0)</f>
        <v>0</v>
      </c>
      <c r="U15" s="22">
        <f>+IF($F15="oui",+VLOOKUP($A15,DATA!$A:$AG,DATA!$Y$3,FALSE),0)</f>
        <v>0</v>
      </c>
      <c r="V15" s="22">
        <f>+IF($F15="oui",+VLOOKUP($A15,DATA!$A:$AG,DATA!$AA$3,FALSE),0)</f>
        <v>0</v>
      </c>
      <c r="W15" s="22">
        <f>+IF($F15="oui",+VLOOKUP($A15,DATA!$A:$AG,DATA!$AC$3,FALSE),0)</f>
        <v>0</v>
      </c>
      <c r="X15" s="22">
        <f>+IF($F15="oui",+VLOOKUP($A15,DATA!$A:$AG,DATA!$AE$3,FALSE),0)</f>
        <v>0</v>
      </c>
      <c r="Y15" s="23">
        <f>+IF($F15="oui",+VLOOKUP($A15,DATA!$A:$AG,DATA!$AG$3,FALSE),0)</f>
        <v>120</v>
      </c>
      <c r="Z15" s="118">
        <f t="shared" si="1"/>
        <v>120</v>
      </c>
      <c r="AA15" s="43">
        <f t="shared" si="2"/>
        <v>48445</v>
      </c>
      <c r="AB15" s="44">
        <f t="shared" si="3"/>
        <v>215423</v>
      </c>
      <c r="AC15" s="44">
        <f t="shared" si="4"/>
        <v>185860</v>
      </c>
      <c r="AD15" s="44">
        <f t="shared" si="5"/>
        <v>38167</v>
      </c>
      <c r="AE15" s="44">
        <f t="shared" si="6"/>
        <v>35593</v>
      </c>
      <c r="AF15" s="44">
        <f t="shared" si="7"/>
        <v>25684</v>
      </c>
      <c r="AG15" s="44">
        <f t="shared" si="8"/>
        <v>0</v>
      </c>
      <c r="AH15" s="44">
        <f t="shared" si="9"/>
        <v>13714</v>
      </c>
      <c r="AI15" s="45">
        <f t="shared" si="10"/>
        <v>1487</v>
      </c>
      <c r="AJ15" s="70" t="str">
        <f>+IF(Q15=0," ",+WORKDAY.INTL(+VLOOKUP(AJ$1,POSTE!$B:$G,3,FALSE),+CUM!AA14/+VLOOKUP(AJ$1,POSTE!$B:$H,7,FALSE),,CONGÉ!$C$2:$C$80))</f>
        <v xml:space="preserve"> </v>
      </c>
      <c r="AK15" s="50" t="str">
        <f>+IF(R15=0," ",+WORKDAY.INTL(+VLOOKUP(AK$1,POSTE!$B:$G,3,FALSE),+CUM!AB14/+VLOOKUP(AK$1,POSTE!$B:$H,7,FALSE),,CONGÉ!$C$2:$C$80))</f>
        <v xml:space="preserve"> </v>
      </c>
      <c r="AL15" s="50" t="str">
        <f>+IF(S15=0," ",+WORKDAY.INTL(+VLOOKUP(AL$1,POSTE!$B:$G,3,FALSE),+CUM!AC14/+VLOOKUP(AL$1,POSTE!$B:$H,7,FALSE),,CONGÉ!$C$2:$C$80))</f>
        <v xml:space="preserve"> </v>
      </c>
      <c r="AM15" s="50" t="str">
        <f>+IF(T15=0," ",+WORKDAY.INTL(+VLOOKUP(AM$1,POSTE!$B:$G,3,FALSE),+CUM!AD14/+VLOOKUP(AM$1,POSTE!$B:$H,7,FALSE),,CONGÉ!$C$2:$C$80))</f>
        <v xml:space="preserve"> </v>
      </c>
      <c r="AN15" s="50" t="str">
        <f>+IF(U15=0," ",+WORKDAY.INTL(+VLOOKUP(AN$1,POSTE!$B:$G,3,FALSE),+CUM!AE14/+VLOOKUP(AN$1,POSTE!$B:$H,7,FALSE),,CONGÉ!$C$2:$C$80))</f>
        <v xml:space="preserve"> </v>
      </c>
      <c r="AO15" s="50" t="str">
        <f>+IF(V15=0," ",+WORKDAY.INTL(+VLOOKUP(AO$1,POSTE!$B:$G,3,FALSE),+CUM!AF14/+VLOOKUP(AO$1,POSTE!$B:$H,7,FALSE),,CONGÉ!$C$2:$C$80))</f>
        <v xml:space="preserve"> </v>
      </c>
      <c r="AP15" s="50" t="str">
        <f>+IF(W15=0," ",+WORKDAY.INTL(+VLOOKUP(AP$1,POSTE!$B:$G,3,FALSE),+CUM!AG14/+VLOOKUP(AP$1,POSTE!$B:$H,7,FALSE),,CONGÉ!$C$2:$C$80))</f>
        <v xml:space="preserve"> </v>
      </c>
      <c r="AQ15" s="50" t="str">
        <f>+IF(X15=0," ",+WORKDAY.INTL(+VLOOKUP(AQ$1,POSTE!$B:$G,3,FALSE),+CUM!AH14/+VLOOKUP(AQ$1,POSTE!$B:$H,7,FALSE),,CONGÉ!$C$2:$C$80))</f>
        <v xml:space="preserve"> </v>
      </c>
      <c r="AR15" s="71">
        <f ca="1">+IF(Y15=0," ",+WORKDAY.INTL(+VLOOKUP(AR$1,POSTE!$B:$G,3,FALSE),+CUM!AI14/+VLOOKUP(AR$1,POSTE!$B:$H,7,FALSE),,CONGÉ!$C$2:$C$80))</f>
        <v>45792</v>
      </c>
      <c r="AS15" s="72" t="str">
        <f>+IF(Q15=0," ",+WORKDAY.INTL(+VLOOKUP(AS$1,POSTE!$B:$G,3,FALSE),+CUM!AA15/+VLOOKUP(AS$1,POSTE!$B:$H,7,FALSE),,CONGÉ!$C$2:$C$80))</f>
        <v xml:space="preserve"> </v>
      </c>
      <c r="AT15" s="73" t="str">
        <f>+IF(R15=0," ",+WORKDAY.INTL(+VLOOKUP(AT$1,POSTE!$B:$G,3,FALSE),+CUM!AB15/+VLOOKUP(AT$1,POSTE!$B:$H,7,FALSE),,CONGÉ!$C$2:$C$80))</f>
        <v xml:space="preserve"> </v>
      </c>
      <c r="AU15" s="73" t="str">
        <f>+IF(AND(S15=0,T15=0)," ",+WORKDAY.INTL(+VLOOKUP($AS$1,POSTE!B:J,3,FALSE),+(((AC15*POSTE!$H$5)+(CUM!AD15*POSTE!$H$4))/(POSTE!$H$4*POSTE!$H$5*2)),,CONGÉ!$C$2:$C$80))</f>
        <v xml:space="preserve"> </v>
      </c>
      <c r="AV15" s="73" t="str">
        <f>+IF(U15=0," ",+WORKDAY.INTL(+VLOOKUP(AV$1,POSTE!$B:$G,3,FALSE),+CUM!AE15/+VLOOKUP(AV$1,POSTE!$B:$H,7,FALSE),,CONGÉ!$C$2:$C$80))</f>
        <v xml:space="preserve"> </v>
      </c>
      <c r="AW15" s="73" t="str">
        <f>+IF(V15=0," ",+WORKDAY.INTL(+VLOOKUP(AW$1,POSTE!$B:$G,3,FALSE),+CUM!AF15/+VLOOKUP(AW$1,POSTE!$B:$H,7,FALSE),,CONGÉ!$C$2:$C$80))</f>
        <v xml:space="preserve"> </v>
      </c>
      <c r="AX15" s="73" t="str">
        <f>+IF(W15=0," ",+WORKDAY.INTL(+VLOOKUP(AX$1,POSTE!$B:$G,3,FALSE),+CUM!AG15/+VLOOKUP(AX$1,POSTE!$B:$H,7,FALSE),,CONGÉ!$C$2:$C$80))</f>
        <v xml:space="preserve"> </v>
      </c>
      <c r="AY15" s="73" t="str">
        <f>+IF(X15=0," ",+WORKDAY.INTL(+VLOOKUP(AY$1,POSTE!$B:$G,3,FALSE),+CUM!AH15/+VLOOKUP(AY$1,POSTE!$B:$H,7,FALSE),,CONGÉ!$C$2:$C$80))</f>
        <v xml:space="preserve"> </v>
      </c>
      <c r="AZ15" s="73">
        <f ca="1">+IF(Y15=0," ",+WORKDAY.INTL(+VLOOKUP(AZ$1,POSTE!$B:$G,3,FALSE),+CUM!AI15/+VLOOKUP(AZ$1,POSTE!$B:$H,7,FALSE),,CONGÉ!$C$2:$C$80))</f>
        <v>45796</v>
      </c>
      <c r="BA15" s="73" t="str">
        <f>+IF(S15=0," ",+WORKDAY.INTL(+VLOOKUP(BA$1,POSTE!$B:$G,3,FALSE),+CUM!AC15/+VLOOKUP(BA$1,POSTE!$B:$H,7,FALSE),,CONGÉ!$C$2:$C$80))</f>
        <v xml:space="preserve"> </v>
      </c>
      <c r="BB15" s="73" t="str">
        <f>+IF(T15=0," ",+WORKDAY.INTL(+VLOOKUP(BB$1,POSTE!$B:$G,3,FALSE),+CUM!AD15/+VLOOKUP(BB$1,POSTE!$B:$H,7,FALSE),,CONGÉ!$C$2:$C$80))</f>
        <v xml:space="preserve"> </v>
      </c>
      <c r="BC15" s="70">
        <f t="shared" ca="1" si="13"/>
        <v>45792</v>
      </c>
      <c r="BD15" s="70">
        <f t="shared" ca="1" si="14"/>
        <v>45796</v>
      </c>
      <c r="BE15" s="129">
        <f>+IF($F15="oui",+VLOOKUP($A15,DATA!$A:$AH,DATA!$AH$3,FALSE),0)</f>
        <v>0</v>
      </c>
      <c r="BF15" s="129">
        <f t="shared" si="15"/>
        <v>614.66666666666674</v>
      </c>
      <c r="BG15" s="136" t="str">
        <f>+IF(BE15&gt;0,+MAX((BH$4:BH14),BD15),"")</f>
        <v/>
      </c>
      <c r="BH15" s="136" t="str">
        <f>+IF(BE15&gt;0,+MAX((BH$4:BH14),+WORKDAY.INTL(BG15,+BE15/8,,CONGÉ!$C$2:$C$73)),"")</f>
        <v/>
      </c>
      <c r="BI15" s="136">
        <f t="shared" ca="1" si="16"/>
        <v>45827</v>
      </c>
      <c r="BJ15" s="43">
        <f t="shared" si="11"/>
        <v>224027</v>
      </c>
      <c r="BK15" s="77">
        <f t="shared" ca="1" si="17"/>
        <v>45754</v>
      </c>
      <c r="BL15" s="78">
        <f>+(((AC15*POSTE!$H$5)+(CUM!AD15*POSTE!$H$4))/(POSTE!$H$4*POSTE!$H$5*2))</f>
        <v>18.496041666666667</v>
      </c>
      <c r="BM15" s="90">
        <f ca="1">+WORKDAY.INTL(BK15,BL15,,CONGÉ!C$4:C$72)</f>
        <v>45778</v>
      </c>
      <c r="BN15" s="78" t="e">
        <f t="shared" ca="1" si="18"/>
        <v>#VALUE!</v>
      </c>
    </row>
    <row r="16" spans="1:66" x14ac:dyDescent="0.25">
      <c r="A16" s="49">
        <f t="shared" si="19"/>
        <v>12</v>
      </c>
      <c r="B16" s="185" cm="1">
        <f t="array" ref="B16">_xlfn.LET(_xlpm.CORR,IF(DATA!$B$4:$B$104="",IF(DATA!$A$4:$A$104="","--",DATA!$A$4:$A$104),DATA!$B$4:$B$104),_xlpm.Rx,SMALL(_xlpm.CORR,A16),IFERROR(MATCH(_xlpm.Rx,_xlpm.CORR,0),0))</f>
        <v>2</v>
      </c>
      <c r="C16" s="195" t="str" cm="1">
        <f t="array" ref="C16">IF($B16=0,"",INDEX(Données,$B16,C$3))</f>
        <v>Traail 2</v>
      </c>
      <c r="D16" s="196" t="str" cm="1">
        <f t="array" ref="D16">IF($B16=0,"",INDEX(Données,$B16,D$3))</f>
        <v>Client 2</v>
      </c>
      <c r="E16" s="197" cm="1">
        <f t="array" ref="E16">IF($B16=0,"",INDEX(Données,$B16,E$3))</f>
        <v>45843</v>
      </c>
      <c r="F16" s="198" t="str" cm="1">
        <f t="array" ref="F16">IF($B16=0,"",INDEX(Données,$B16,F$3))</f>
        <v>OUI</v>
      </c>
      <c r="G16" s="43">
        <f>+IF($F16="oui",+VLOOKUP($A16,DATA!$A:$AG,DATA!$P$3,FALSE),0)</f>
        <v>0</v>
      </c>
      <c r="H16" s="44">
        <f>+IF($F16="oui",+VLOOKUP($A16,DATA!$A:$AG,DATA!$R$3,FALSE),0)</f>
        <v>1</v>
      </c>
      <c r="I16" s="44">
        <f>+IF($F16="oui",+VLOOKUP($A16,DATA!$A:$AG,DATA!$T$3,FALSE),0)</f>
        <v>1</v>
      </c>
      <c r="J16" s="44">
        <f>+IF($F16="oui",+VLOOKUP($A16,DATA!$A:$AG,DATA!$V$3,FALSE),0)</f>
        <v>0</v>
      </c>
      <c r="K16" s="44">
        <f>+IF($F16="oui",+VLOOKUP($A16,DATA!$A:$AG,DATA!$X$3,FALSE),0)</f>
        <v>8</v>
      </c>
      <c r="L16" s="44">
        <f>+IF($F16="oui",+VLOOKUP($A16,DATA!$A:$AG,DATA!$Z$3,FALSE),0)</f>
        <v>0</v>
      </c>
      <c r="M16" s="44">
        <f>+IF($F16="oui",+VLOOKUP($A16,DATA!$A:$AG,DATA!$AB$3,FALSE),0)</f>
        <v>0</v>
      </c>
      <c r="N16" s="44">
        <f>+IF($F16="oui",+VLOOKUP($A16,DATA!$A:$AG,DATA!$AD$3,FALSE),0)</f>
        <v>1</v>
      </c>
      <c r="O16" s="45">
        <f>+IF($F16="oui",+VLOOKUP($A16,DATA!$A:$AG,DATA!$AF$3,FALSE),0)</f>
        <v>1</v>
      </c>
      <c r="P16" s="116">
        <f t="shared" si="12"/>
        <v>12</v>
      </c>
      <c r="Q16" s="21">
        <f>+IF($F16="oui",+VLOOKUP($A16,DATA!$A:$AG,DATA!$Q$3,FALSE),0)</f>
        <v>0</v>
      </c>
      <c r="R16" s="22">
        <f>+IF($F16="oui",+VLOOKUP($A16,DATA!$A:$AG,DATA!$S$3,FALSE),0)</f>
        <v>1054</v>
      </c>
      <c r="S16" s="22">
        <f>+IF($F16="oui",+VLOOKUP($A16,DATA!$A:$AG,DATA!$U$3,FALSE),0)</f>
        <v>130</v>
      </c>
      <c r="T16" s="22">
        <f>+IF($F16="oui",+VLOOKUP($A16,DATA!$A:$AG,DATA!$W$3,FALSE),0)</f>
        <v>0</v>
      </c>
      <c r="U16" s="22">
        <f>+IF($F16="oui",+VLOOKUP($A16,DATA!$A:$AG,DATA!$Y$3,FALSE),0)</f>
        <v>3305</v>
      </c>
      <c r="V16" s="22">
        <f>+IF($F16="oui",+VLOOKUP($A16,DATA!$A:$AG,DATA!$AA$3,FALSE),0)</f>
        <v>0</v>
      </c>
      <c r="W16" s="22">
        <f>+IF($F16="oui",+VLOOKUP($A16,DATA!$A:$AG,DATA!$AC$3,FALSE),0)</f>
        <v>0</v>
      </c>
      <c r="X16" s="22">
        <f>+IF($F16="oui",+VLOOKUP($A16,DATA!$A:$AG,DATA!$AE$3,FALSE),0)</f>
        <v>899</v>
      </c>
      <c r="Y16" s="23">
        <f>+IF($F16="oui",+VLOOKUP($A16,DATA!$A:$AG,DATA!$AG$3,FALSE),0)</f>
        <v>2</v>
      </c>
      <c r="Z16" s="118">
        <f t="shared" si="1"/>
        <v>5390</v>
      </c>
      <c r="AA16" s="43">
        <f t="shared" si="2"/>
        <v>48445</v>
      </c>
      <c r="AB16" s="44">
        <f t="shared" si="3"/>
        <v>216477</v>
      </c>
      <c r="AC16" s="44">
        <f t="shared" si="4"/>
        <v>185990</v>
      </c>
      <c r="AD16" s="44">
        <f t="shared" si="5"/>
        <v>38167</v>
      </c>
      <c r="AE16" s="44">
        <f t="shared" si="6"/>
        <v>38898</v>
      </c>
      <c r="AF16" s="44">
        <f t="shared" si="7"/>
        <v>25684</v>
      </c>
      <c r="AG16" s="44">
        <f t="shared" si="8"/>
        <v>0</v>
      </c>
      <c r="AH16" s="44">
        <f t="shared" si="9"/>
        <v>14613</v>
      </c>
      <c r="AI16" s="45">
        <f t="shared" si="10"/>
        <v>1489</v>
      </c>
      <c r="AJ16" s="70" t="str">
        <f>+IF(Q16=0," ",+WORKDAY.INTL(+VLOOKUP(AJ$1,POSTE!$B:$G,3,FALSE),+CUM!AA15/+VLOOKUP(AJ$1,POSTE!$B:$H,7,FALSE),,CONGÉ!$C$2:$C$80))</f>
        <v xml:space="preserve"> </v>
      </c>
      <c r="AK16" s="50">
        <f ca="1">+IF(R16=0," ",+WORKDAY.INTL(+VLOOKUP(AK$1,POSTE!$B:$G,3,FALSE),+CUM!AB15/+VLOOKUP(AK$1,POSTE!$B:$H,7,FALSE),,CONGÉ!$C$2:$C$80))</f>
        <v>45793</v>
      </c>
      <c r="AL16" s="50">
        <f ca="1">+IF(S16=0," ",+WORKDAY.INTL(+VLOOKUP(AL$1,POSTE!$B:$G,3,FALSE),+CUM!AC15/+VLOOKUP(AL$1,POSTE!$B:$H,7,FALSE),,CONGÉ!$C$2:$C$80))</f>
        <v>45793</v>
      </c>
      <c r="AM16" s="50" t="str">
        <f>+IF(T16=0," ",+WORKDAY.INTL(+VLOOKUP(AM$1,POSTE!$B:$G,3,FALSE),+CUM!AD15/+VLOOKUP(AM$1,POSTE!$B:$H,7,FALSE),,CONGÉ!$C$2:$C$80))</f>
        <v xml:space="preserve"> </v>
      </c>
      <c r="AN16" s="50">
        <f ca="1">+IF(U16=0," ",+WORKDAY.INTL(+VLOOKUP(AN$1,POSTE!$B:$G,3,FALSE),+CUM!AE15/+VLOOKUP(AN$1,POSTE!$B:$H,7,FALSE),,CONGÉ!$C$2:$C$80))</f>
        <v>45784</v>
      </c>
      <c r="AO16" s="50" t="str">
        <f>+IF(V16=0," ",+WORKDAY.INTL(+VLOOKUP(AO$1,POSTE!$B:$G,3,FALSE),+CUM!AF15/+VLOOKUP(AO$1,POSTE!$B:$H,7,FALSE),,CONGÉ!$C$2:$C$80))</f>
        <v xml:space="preserve"> </v>
      </c>
      <c r="AP16" s="50" t="str">
        <f>+IF(W16=0," ",+WORKDAY.INTL(+VLOOKUP(AP$1,POSTE!$B:$G,3,FALSE),+CUM!AG15/+VLOOKUP(AP$1,POSTE!$B:$H,7,FALSE),,CONGÉ!$C$2:$C$80))</f>
        <v xml:space="preserve"> </v>
      </c>
      <c r="AQ16" s="50">
        <f ca="1">+IF(X16=0," ",+WORKDAY.INTL(+VLOOKUP(AQ$1,POSTE!$B:$G,3,FALSE),+CUM!AH15/+VLOOKUP(AQ$1,POSTE!$B:$H,7,FALSE),,CONGÉ!$C$2:$C$80))</f>
        <v>45762</v>
      </c>
      <c r="AR16" s="71">
        <f ca="1">+IF(Y16=0," ",+WORKDAY.INTL(+VLOOKUP(AR$1,POSTE!$B:$G,3,FALSE),+CUM!AI15/+VLOOKUP(AR$1,POSTE!$B:$H,7,FALSE),,CONGÉ!$C$2:$C$80))</f>
        <v>45796</v>
      </c>
      <c r="AS16" s="72" t="str">
        <f>+IF(Q16=0," ",+WORKDAY.INTL(+VLOOKUP(AS$1,POSTE!$B:$G,3,FALSE),+CUM!AA16/+VLOOKUP(AS$1,POSTE!$B:$H,7,FALSE),,CONGÉ!$C$2:$C$80))</f>
        <v xml:space="preserve"> </v>
      </c>
      <c r="AT16" s="73">
        <f ca="1">+IF(R16=0," ",+WORKDAY.INTL(+VLOOKUP(AT$1,POSTE!$B:$G,3,FALSE),+CUM!AB16/+VLOOKUP(AT$1,POSTE!$B:$H,7,FALSE),,CONGÉ!$C$2:$C$80))</f>
        <v>45796</v>
      </c>
      <c r="AU16" s="73">
        <f ca="1">+IF(AND(S16=0,T16=0)," ",+WORKDAY.INTL(+VLOOKUP($AS$1,POSTE!B:J,3,FALSE),+(((AC16*POSTE!$H$5)+(CUM!AD16*POSTE!$H$4))/(POSTE!$H$4*POSTE!$H$5*2)),,CONGÉ!$C$2:$C$80))</f>
        <v>45778</v>
      </c>
      <c r="AV16" s="73">
        <f ca="1">+IF(U16=0," ",+WORKDAY.INTL(+VLOOKUP(AV$1,POSTE!$B:$G,3,FALSE),+CUM!AE16/+VLOOKUP(AV$1,POSTE!$B:$H,7,FALSE),,CONGÉ!$C$2:$C$80))</f>
        <v>45786</v>
      </c>
      <c r="AW16" s="73" t="str">
        <f>+IF(V16=0," ",+WORKDAY.INTL(+VLOOKUP(AW$1,POSTE!$B:$G,3,FALSE),+CUM!AF16/+VLOOKUP(AW$1,POSTE!$B:$H,7,FALSE),,CONGÉ!$C$2:$C$80))</f>
        <v xml:space="preserve"> </v>
      </c>
      <c r="AX16" s="73" t="str">
        <f>+IF(W16=0," ",+WORKDAY.INTL(+VLOOKUP(AX$1,POSTE!$B:$G,3,FALSE),+CUM!AG16/+VLOOKUP(AX$1,POSTE!$B:$H,7,FALSE),,CONGÉ!$C$2:$C$80))</f>
        <v xml:space="preserve"> </v>
      </c>
      <c r="AY16" s="73">
        <f ca="1">+IF(X16=0," ",+WORKDAY.INTL(+VLOOKUP(AY$1,POSTE!$B:$G,3,FALSE),+CUM!AH16/+VLOOKUP(AY$1,POSTE!$B:$H,7,FALSE),,CONGÉ!$C$2:$C$80))</f>
        <v>45763</v>
      </c>
      <c r="AZ16" s="73">
        <f ca="1">+IF(Y16=0," ",+WORKDAY.INTL(+VLOOKUP(AZ$1,POSTE!$B:$G,3,FALSE),+CUM!AI16/+VLOOKUP(AZ$1,POSTE!$B:$H,7,FALSE),,CONGÉ!$C$2:$C$80))</f>
        <v>45797</v>
      </c>
      <c r="BA16" s="73">
        <f ca="1">+IF(S16=0," ",+WORKDAY.INTL(+VLOOKUP(BA$1,POSTE!$B:$G,3,FALSE),+CUM!AC16/+VLOOKUP(BA$1,POSTE!$B:$H,7,FALSE),,CONGÉ!$C$2:$C$80))</f>
        <v>45793</v>
      </c>
      <c r="BB16" s="73" t="str">
        <f>+IF(T16=0," ",+WORKDAY.INTL(+VLOOKUP(BB$1,POSTE!$B:$G,3,FALSE),+CUM!AD16/+VLOOKUP(BB$1,POSTE!$B:$H,7,FALSE),,CONGÉ!$C$2:$C$80))</f>
        <v xml:space="preserve"> </v>
      </c>
      <c r="BC16" s="70">
        <f t="shared" ca="1" si="13"/>
        <v>45762</v>
      </c>
      <c r="BD16" s="70">
        <f t="shared" ca="1" si="14"/>
        <v>45797</v>
      </c>
      <c r="BE16" s="129">
        <f>+IF($F16="oui",+VLOOKUP($A16,DATA!$A:$AH,DATA!$AH$3,FALSE),0)</f>
        <v>0</v>
      </c>
      <c r="BF16" s="129">
        <f t="shared" si="15"/>
        <v>614.66666666666674</v>
      </c>
      <c r="BG16" s="136" t="str">
        <f>+IF(BE16&gt;0,+MAX((BH$4:BH15),BD16),"")</f>
        <v/>
      </c>
      <c r="BH16" s="136" t="str">
        <f>+IF(BE16&gt;0,+MAX((BH$4:BH15),+WORKDAY.INTL(BG16,+BE16/8,,CONGÉ!$C$2:$C$73)),"")</f>
        <v/>
      </c>
      <c r="BI16" s="136">
        <f t="shared" ca="1" si="16"/>
        <v>45828</v>
      </c>
      <c r="BJ16" s="43">
        <f t="shared" si="11"/>
        <v>224157</v>
      </c>
      <c r="BK16" s="77">
        <f t="shared" ca="1" si="17"/>
        <v>45754</v>
      </c>
      <c r="BL16" s="78">
        <f>+(((AC16*POSTE!$H$5)+(CUM!AD16*POSTE!$H$4))/(POSTE!$H$4*POSTE!$H$5*2))</f>
        <v>18.506197916666668</v>
      </c>
      <c r="BM16" s="90">
        <f ca="1">+WORKDAY.INTL(BK16,BL16,,CONGÉ!C$4:C$72)</f>
        <v>45778</v>
      </c>
      <c r="BN16" s="78">
        <f t="shared" ca="1" si="18"/>
        <v>0</v>
      </c>
    </row>
    <row r="17" spans="1:66" x14ac:dyDescent="0.25">
      <c r="A17" s="49">
        <f t="shared" si="19"/>
        <v>13</v>
      </c>
      <c r="B17" s="185" cm="1">
        <f t="array" ref="B17">_xlfn.LET(_xlpm.CORR,IF(DATA!$B$4:$B$104="",IF(DATA!$A$4:$A$104="","--",DATA!$A$4:$A$104),DATA!$B$4:$B$104),_xlpm.Rx,SMALL(_xlpm.CORR,A17),IFERROR(MATCH(_xlpm.Rx,_xlpm.CORR,0),0))</f>
        <v>0</v>
      </c>
      <c r="C17" s="195" t="str" cm="1">
        <f t="array" ref="C17">IF($B17=0,"",INDEX(Données,$B17,C$3))</f>
        <v/>
      </c>
      <c r="D17" s="196" t="str" cm="1">
        <f t="array" ref="D17">IF($B17=0,"",INDEX(Données,$B17,D$3))</f>
        <v/>
      </c>
      <c r="E17" s="197" t="str" cm="1">
        <f t="array" ref="E17">IF($B17=0,"",INDEX(Données,$B17,E$3))</f>
        <v/>
      </c>
      <c r="F17" s="198" t="str" cm="1">
        <f t="array" ref="F17">IF($B17=0,"",INDEX(Données,$B17,F$3))</f>
        <v/>
      </c>
      <c r="G17" s="43">
        <f>+IF($F17="oui",+VLOOKUP($A17,DATA!$A:$AG,DATA!$P$3,FALSE),0)</f>
        <v>0</v>
      </c>
      <c r="H17" s="44">
        <f>+IF($F17="oui",+VLOOKUP($A17,DATA!$A:$AG,DATA!$R$3,FALSE),0)</f>
        <v>0</v>
      </c>
      <c r="I17" s="44">
        <f>+IF($F17="oui",+VLOOKUP($A17,DATA!$A:$AG,DATA!$T$3,FALSE),0)</f>
        <v>0</v>
      </c>
      <c r="J17" s="44">
        <f>+IF($F17="oui",+VLOOKUP($A17,DATA!$A:$AG,DATA!$V$3,FALSE),0)</f>
        <v>0</v>
      </c>
      <c r="K17" s="44">
        <f>+IF($F17="oui",+VLOOKUP($A17,DATA!$A:$AG,DATA!$X$3,FALSE),0)</f>
        <v>0</v>
      </c>
      <c r="L17" s="44">
        <f>+IF($F17="oui",+VLOOKUP($A17,DATA!$A:$AG,DATA!$Z$3,FALSE),0)</f>
        <v>0</v>
      </c>
      <c r="M17" s="44">
        <f>+IF($F17="oui",+VLOOKUP($A17,DATA!$A:$AG,DATA!$AB$3,FALSE),0)</f>
        <v>0</v>
      </c>
      <c r="N17" s="44">
        <f>+IF($F17="oui",+VLOOKUP($A17,DATA!$A:$AG,DATA!$AD$3,FALSE),0)</f>
        <v>0</v>
      </c>
      <c r="O17" s="45">
        <f>+IF($F17="oui",+VLOOKUP($A17,DATA!$A:$AG,DATA!$AF$3,FALSE),0)</f>
        <v>0</v>
      </c>
      <c r="P17" s="116">
        <f t="shared" si="12"/>
        <v>0</v>
      </c>
      <c r="Q17" s="21">
        <f>+IF($F17="oui",+VLOOKUP($A17,DATA!$A:$AG,DATA!$Q$3,FALSE),0)</f>
        <v>0</v>
      </c>
      <c r="R17" s="22">
        <f>+IF($F17="oui",+VLOOKUP($A17,DATA!$A:$AG,DATA!$S$3,FALSE),0)</f>
        <v>0</v>
      </c>
      <c r="S17" s="22">
        <f>+IF($F17="oui",+VLOOKUP($A17,DATA!$A:$AG,DATA!$U$3,FALSE),0)</f>
        <v>0</v>
      </c>
      <c r="T17" s="22">
        <f>+IF($F17="oui",+VLOOKUP($A17,DATA!$A:$AG,DATA!$W$3,FALSE),0)</f>
        <v>0</v>
      </c>
      <c r="U17" s="22">
        <f>+IF($F17="oui",+VLOOKUP($A17,DATA!$A:$AG,DATA!$Y$3,FALSE),0)</f>
        <v>0</v>
      </c>
      <c r="V17" s="22">
        <f>+IF($F17="oui",+VLOOKUP($A17,DATA!$A:$AG,DATA!$AA$3,FALSE),0)</f>
        <v>0</v>
      </c>
      <c r="W17" s="22">
        <f>+IF($F17="oui",+VLOOKUP($A17,DATA!$A:$AG,DATA!$AC$3,FALSE),0)</f>
        <v>0</v>
      </c>
      <c r="X17" s="22">
        <f>+IF($F17="oui",+VLOOKUP($A17,DATA!$A:$AG,DATA!$AE$3,FALSE),0)</f>
        <v>0</v>
      </c>
      <c r="Y17" s="23">
        <f>+IF($F17="oui",+VLOOKUP($A17,DATA!$A:$AG,DATA!$AG$3,FALSE),0)</f>
        <v>0</v>
      </c>
      <c r="Z17" s="118">
        <f t="shared" si="1"/>
        <v>0</v>
      </c>
      <c r="AA17" s="43">
        <f t="shared" si="2"/>
        <v>48445</v>
      </c>
      <c r="AB17" s="44">
        <f t="shared" si="3"/>
        <v>216477</v>
      </c>
      <c r="AC17" s="44">
        <f t="shared" si="4"/>
        <v>185990</v>
      </c>
      <c r="AD17" s="44">
        <f t="shared" si="5"/>
        <v>38167</v>
      </c>
      <c r="AE17" s="44">
        <f t="shared" si="6"/>
        <v>38898</v>
      </c>
      <c r="AF17" s="44">
        <f t="shared" si="7"/>
        <v>25684</v>
      </c>
      <c r="AG17" s="44">
        <f t="shared" si="8"/>
        <v>0</v>
      </c>
      <c r="AH17" s="44">
        <f t="shared" si="9"/>
        <v>14613</v>
      </c>
      <c r="AI17" s="45">
        <f t="shared" si="10"/>
        <v>1489</v>
      </c>
      <c r="AJ17" s="70" t="str">
        <f>+IF(Q17=0," ",+WORKDAY.INTL(+VLOOKUP(AJ$1,POSTE!$B:$G,3,FALSE),+CUM!AA16/+VLOOKUP(AJ$1,POSTE!$B:$H,7,FALSE),,CONGÉ!$C$2:$C$80))</f>
        <v xml:space="preserve"> </v>
      </c>
      <c r="AK17" s="50" t="str">
        <f>+IF(R17=0," ",+WORKDAY.INTL(+VLOOKUP(AK$1,POSTE!$B:$G,3,FALSE),+CUM!AB16/+VLOOKUP(AK$1,POSTE!$B:$H,7,FALSE),,CONGÉ!$C$2:$C$80))</f>
        <v xml:space="preserve"> </v>
      </c>
      <c r="AL17" s="50" t="str">
        <f>+IF(S17=0," ",+WORKDAY.INTL(+VLOOKUP(AL$1,POSTE!$B:$G,3,FALSE),+CUM!AC16/+VLOOKUP(AL$1,POSTE!$B:$H,7,FALSE),,CONGÉ!$C$2:$C$80))</f>
        <v xml:space="preserve"> </v>
      </c>
      <c r="AM17" s="50" t="str">
        <f>+IF(T17=0," ",+WORKDAY.INTL(+VLOOKUP(AM$1,POSTE!$B:$G,3,FALSE),+CUM!AD16/+VLOOKUP(AM$1,POSTE!$B:$H,7,FALSE),,CONGÉ!$C$2:$C$80))</f>
        <v xml:space="preserve"> </v>
      </c>
      <c r="AN17" s="50" t="str">
        <f>+IF(U17=0," ",+WORKDAY.INTL(+VLOOKUP(AN$1,POSTE!$B:$G,3,FALSE),+CUM!AE16/+VLOOKUP(AN$1,POSTE!$B:$H,7,FALSE),,CONGÉ!$C$2:$C$80))</f>
        <v xml:space="preserve"> </v>
      </c>
      <c r="AO17" s="50" t="str">
        <f>+IF(V17=0," ",+WORKDAY.INTL(+VLOOKUP(AO$1,POSTE!$B:$G,3,FALSE),+CUM!AF16/+VLOOKUP(AO$1,POSTE!$B:$H,7,FALSE),,CONGÉ!$C$2:$C$80))</f>
        <v xml:space="preserve"> </v>
      </c>
      <c r="AP17" s="50" t="str">
        <f>+IF(W17=0," ",+WORKDAY.INTL(+VLOOKUP(AP$1,POSTE!$B:$G,3,FALSE),+CUM!AG16/+VLOOKUP(AP$1,POSTE!$B:$H,7,FALSE),,CONGÉ!$C$2:$C$80))</f>
        <v xml:space="preserve"> </v>
      </c>
      <c r="AQ17" s="50" t="str">
        <f>+IF(X17=0," ",+WORKDAY.INTL(+VLOOKUP(AQ$1,POSTE!$B:$G,3,FALSE),+CUM!AH16/+VLOOKUP(AQ$1,POSTE!$B:$H,7,FALSE),,CONGÉ!$C$2:$C$80))</f>
        <v xml:space="preserve"> </v>
      </c>
      <c r="AR17" s="71" t="str">
        <f>+IF(Y17=0," ",+WORKDAY.INTL(+VLOOKUP(AR$1,POSTE!$B:$G,3,FALSE),+CUM!AI16/+VLOOKUP(AR$1,POSTE!$B:$H,7,FALSE),,CONGÉ!$C$2:$C$80))</f>
        <v xml:space="preserve"> </v>
      </c>
      <c r="AS17" s="72" t="str">
        <f>+IF(Q17=0," ",+WORKDAY.INTL(+VLOOKUP(AS$1,POSTE!$B:$G,3,FALSE),+CUM!AA17/+VLOOKUP(AS$1,POSTE!$B:$H,7,FALSE),,CONGÉ!$C$2:$C$80))</f>
        <v xml:space="preserve"> </v>
      </c>
      <c r="AT17" s="73" t="str">
        <f>+IF(R17=0," ",+WORKDAY.INTL(+VLOOKUP(AT$1,POSTE!$B:$G,3,FALSE),+CUM!AB17/+VLOOKUP(AT$1,POSTE!$B:$H,7,FALSE),,CONGÉ!$C$2:$C$80))</f>
        <v xml:space="preserve"> </v>
      </c>
      <c r="AU17" s="73" t="str">
        <f>+IF(AND(S17=0,T17=0)," ",+WORKDAY.INTL(+VLOOKUP($AS$1,POSTE!B:J,3,FALSE),+(((AC17*POSTE!$H$5)+(CUM!AD17*POSTE!$H$4))/(POSTE!$H$4*POSTE!$H$5*2)),,CONGÉ!$C$2:$C$80))</f>
        <v xml:space="preserve"> </v>
      </c>
      <c r="AV17" s="73" t="str">
        <f>+IF(U17=0," ",+WORKDAY.INTL(+VLOOKUP(AV$1,POSTE!$B:$G,3,FALSE),+CUM!AE17/+VLOOKUP(AV$1,POSTE!$B:$H,7,FALSE),,CONGÉ!$C$2:$C$80))</f>
        <v xml:space="preserve"> </v>
      </c>
      <c r="AW17" s="73" t="str">
        <f>+IF(V17=0," ",+WORKDAY.INTL(+VLOOKUP(AW$1,POSTE!$B:$G,3,FALSE),+CUM!AF17/+VLOOKUP(AW$1,POSTE!$B:$H,7,FALSE),,CONGÉ!$C$2:$C$80))</f>
        <v xml:space="preserve"> </v>
      </c>
      <c r="AX17" s="73" t="str">
        <f>+IF(W17=0," ",+WORKDAY.INTL(+VLOOKUP(AX$1,POSTE!$B:$G,3,FALSE),+CUM!AG17/+VLOOKUP(AX$1,POSTE!$B:$H,7,FALSE),,CONGÉ!$C$2:$C$80))</f>
        <v xml:space="preserve"> </v>
      </c>
      <c r="AY17" s="73" t="str">
        <f>+IF(X17=0," ",+WORKDAY.INTL(+VLOOKUP(AY$1,POSTE!$B:$G,3,FALSE),+CUM!AH17/+VLOOKUP(AY$1,POSTE!$B:$H,7,FALSE),,CONGÉ!$C$2:$C$80))</f>
        <v xml:space="preserve"> </v>
      </c>
      <c r="AZ17" s="73" t="str">
        <f>+IF(Y17=0," ",+WORKDAY.INTL(+VLOOKUP(AZ$1,POSTE!$B:$G,3,FALSE),+CUM!AI17/+VLOOKUP(AZ$1,POSTE!$B:$H,7,FALSE),,CONGÉ!$C$2:$C$80))</f>
        <v xml:space="preserve"> </v>
      </c>
      <c r="BA17" s="73" t="str">
        <f>+IF(S17=0," ",+WORKDAY.INTL(+VLOOKUP(BA$1,POSTE!$B:$G,3,FALSE),+CUM!AC17/+VLOOKUP(BA$1,POSTE!$B:$H,7,FALSE),,CONGÉ!$C$2:$C$80))</f>
        <v xml:space="preserve"> </v>
      </c>
      <c r="BB17" s="73" t="str">
        <f>+IF(T17=0," ",+WORKDAY.INTL(+VLOOKUP(BB$1,POSTE!$B:$G,3,FALSE),+CUM!AD17/+VLOOKUP(BB$1,POSTE!$B:$H,7,FALSE),,CONGÉ!$C$2:$C$80))</f>
        <v xml:space="preserve"> </v>
      </c>
      <c r="BC17" s="70" t="str">
        <f t="shared" si="13"/>
        <v xml:space="preserve"> </v>
      </c>
      <c r="BD17" s="70" t="str">
        <f t="shared" si="14"/>
        <v xml:space="preserve"> </v>
      </c>
      <c r="BE17" s="129">
        <f>+IF($F17="oui",+VLOOKUP($A17,DATA!$A:$AH,DATA!$AH$3,FALSE),0)</f>
        <v>0</v>
      </c>
      <c r="BF17" s="129">
        <f t="shared" si="15"/>
        <v>614.66666666666674</v>
      </c>
      <c r="BG17" s="136" t="str">
        <f>+IF(BE17&gt;0,+MAX((BH$4:BH16),BD17),"")</f>
        <v/>
      </c>
      <c r="BH17" s="136" t="str">
        <f>+IF(BE17&gt;0,+MAX((BH$4:BH16),+WORKDAY.INTL(BG17,+BE17/8,,CONGÉ!$C$2:$C$73)),"")</f>
        <v/>
      </c>
      <c r="BI17" s="136" t="str">
        <f t="shared" si="16"/>
        <v xml:space="preserve"> </v>
      </c>
      <c r="BJ17" s="43">
        <f t="shared" si="11"/>
        <v>224157</v>
      </c>
      <c r="BK17" s="77">
        <f t="shared" ca="1" si="17"/>
        <v>45754</v>
      </c>
      <c r="BL17" s="78">
        <f>+(((AC17*POSTE!$H$5)+(CUM!AD17*POSTE!$H$4))/(POSTE!$H$4*POSTE!$H$5*2))</f>
        <v>18.506197916666668</v>
      </c>
      <c r="BM17" s="90">
        <f ca="1">+WORKDAY.INTL(BK17,BL17,,CONGÉ!C$4:C$72)</f>
        <v>45778</v>
      </c>
      <c r="BN17" s="78" t="e">
        <f t="shared" ca="1" si="18"/>
        <v>#VALUE!</v>
      </c>
    </row>
    <row r="18" spans="1:66" x14ac:dyDescent="0.25">
      <c r="A18" s="49">
        <f t="shared" si="19"/>
        <v>14</v>
      </c>
      <c r="B18" s="185" cm="1">
        <f t="array" ref="B18">_xlfn.LET(_xlpm.CORR,IF(DATA!$B$4:$B$104="",IF(DATA!$A$4:$A$104="","--",DATA!$A$4:$A$104),DATA!$B$4:$B$104),_xlpm.Rx,SMALL(_xlpm.CORR,A18),IFERROR(MATCH(_xlpm.Rx,_xlpm.CORR,0),0))</f>
        <v>0</v>
      </c>
      <c r="C18" s="195" t="str" cm="1">
        <f t="array" ref="C18">IF($B18=0,"",INDEX(Données,$B18,C$3))</f>
        <v/>
      </c>
      <c r="D18" s="196" t="str" cm="1">
        <f t="array" ref="D18">IF($B18=0,"",INDEX(Données,$B18,D$3))</f>
        <v/>
      </c>
      <c r="E18" s="197" t="str" cm="1">
        <f t="array" ref="E18">IF($B18=0,"",INDEX(Données,$B18,E$3))</f>
        <v/>
      </c>
      <c r="F18" s="198" t="str" cm="1">
        <f t="array" ref="F18">IF($B18=0,"",INDEX(Données,$B18,F$3))</f>
        <v/>
      </c>
      <c r="G18" s="43">
        <f>+IF($F18="oui",+VLOOKUP($A18,DATA!$A:$AG,DATA!$P$3,FALSE),0)</f>
        <v>0</v>
      </c>
      <c r="H18" s="44">
        <f>+IF($F18="oui",+VLOOKUP($A18,DATA!$A:$AG,DATA!$R$3,FALSE),0)</f>
        <v>0</v>
      </c>
      <c r="I18" s="44">
        <f>+IF($F18="oui",+VLOOKUP($A18,DATA!$A:$AG,DATA!$T$3,FALSE),0)</f>
        <v>0</v>
      </c>
      <c r="J18" s="44">
        <f>+IF($F18="oui",+VLOOKUP($A18,DATA!$A:$AG,DATA!$V$3,FALSE),0)</f>
        <v>0</v>
      </c>
      <c r="K18" s="44">
        <f>+IF($F18="oui",+VLOOKUP($A18,DATA!$A:$AG,DATA!$X$3,FALSE),0)</f>
        <v>0</v>
      </c>
      <c r="L18" s="44">
        <f>+IF($F18="oui",+VLOOKUP($A18,DATA!$A:$AG,DATA!$Z$3,FALSE),0)</f>
        <v>0</v>
      </c>
      <c r="M18" s="44">
        <f>+IF($F18="oui",+VLOOKUP($A18,DATA!$A:$AG,DATA!$AB$3,FALSE),0)</f>
        <v>0</v>
      </c>
      <c r="N18" s="44">
        <f>+IF($F18="oui",+VLOOKUP($A18,DATA!$A:$AG,DATA!$AD$3,FALSE),0)</f>
        <v>0</v>
      </c>
      <c r="O18" s="45">
        <f>+IF($F18="oui",+VLOOKUP($A18,DATA!$A:$AG,DATA!$AF$3,FALSE),0)</f>
        <v>0</v>
      </c>
      <c r="P18" s="116">
        <f t="shared" si="12"/>
        <v>0</v>
      </c>
      <c r="Q18" s="21">
        <f>+IF($F18="oui",+VLOOKUP($A18,DATA!$A:$AG,DATA!$Q$3,FALSE),0)</f>
        <v>0</v>
      </c>
      <c r="R18" s="22">
        <f>+IF($F18="oui",+VLOOKUP($A18,DATA!$A:$AG,DATA!$S$3,FALSE),0)</f>
        <v>0</v>
      </c>
      <c r="S18" s="22">
        <f>+IF($F18="oui",+VLOOKUP($A18,DATA!$A:$AG,DATA!$U$3,FALSE),0)</f>
        <v>0</v>
      </c>
      <c r="T18" s="22">
        <f>+IF($F18="oui",+VLOOKUP($A18,DATA!$A:$AG,DATA!$W$3,FALSE),0)</f>
        <v>0</v>
      </c>
      <c r="U18" s="22">
        <f>+IF($F18="oui",+VLOOKUP($A18,DATA!$A:$AG,DATA!$Y$3,FALSE),0)</f>
        <v>0</v>
      </c>
      <c r="V18" s="22">
        <f>+IF($F18="oui",+VLOOKUP($A18,DATA!$A:$AG,DATA!$AA$3,FALSE),0)</f>
        <v>0</v>
      </c>
      <c r="W18" s="22">
        <f>+IF($F18="oui",+VLOOKUP($A18,DATA!$A:$AG,DATA!$AC$3,FALSE),0)</f>
        <v>0</v>
      </c>
      <c r="X18" s="22">
        <f>+IF($F18="oui",+VLOOKUP($A18,DATA!$A:$AG,DATA!$AE$3,FALSE),0)</f>
        <v>0</v>
      </c>
      <c r="Y18" s="23">
        <f>+IF($F18="oui",+VLOOKUP($A18,DATA!$A:$AG,DATA!$AG$3,FALSE),0)</f>
        <v>0</v>
      </c>
      <c r="Z18" s="118">
        <f t="shared" si="1"/>
        <v>0</v>
      </c>
      <c r="AA18" s="43">
        <f t="shared" si="2"/>
        <v>48445</v>
      </c>
      <c r="AB18" s="44">
        <f t="shared" si="3"/>
        <v>216477</v>
      </c>
      <c r="AC18" s="44">
        <f t="shared" si="4"/>
        <v>185990</v>
      </c>
      <c r="AD18" s="44">
        <f t="shared" si="5"/>
        <v>38167</v>
      </c>
      <c r="AE18" s="44">
        <f t="shared" si="6"/>
        <v>38898</v>
      </c>
      <c r="AF18" s="44">
        <f t="shared" si="7"/>
        <v>25684</v>
      </c>
      <c r="AG18" s="44">
        <f t="shared" si="8"/>
        <v>0</v>
      </c>
      <c r="AH18" s="44">
        <f t="shared" si="9"/>
        <v>14613</v>
      </c>
      <c r="AI18" s="45">
        <f t="shared" si="10"/>
        <v>1489</v>
      </c>
      <c r="AJ18" s="70" t="str">
        <f>+IF(Q18=0," ",+WORKDAY.INTL(+VLOOKUP(AJ$1,POSTE!$B:$G,3,FALSE),+CUM!AA17/+VLOOKUP(AJ$1,POSTE!$B:$H,7,FALSE),,CONGÉ!$C$2:$C$80))</f>
        <v xml:space="preserve"> </v>
      </c>
      <c r="AK18" s="50" t="str">
        <f>+IF(R18=0," ",+WORKDAY.INTL(+VLOOKUP(AK$1,POSTE!$B:$G,3,FALSE),+CUM!AB17/+VLOOKUP(AK$1,POSTE!$B:$H,7,FALSE),,CONGÉ!$C$2:$C$80))</f>
        <v xml:space="preserve"> </v>
      </c>
      <c r="AL18" s="50" t="str">
        <f>+IF(S18=0," ",+WORKDAY.INTL(+VLOOKUP(AL$1,POSTE!$B:$G,3,FALSE),+CUM!AC17/+VLOOKUP(AL$1,POSTE!$B:$H,7,FALSE),,CONGÉ!$C$2:$C$80))</f>
        <v xml:space="preserve"> </v>
      </c>
      <c r="AM18" s="50" t="str">
        <f>+IF(T18=0," ",+WORKDAY.INTL(+VLOOKUP(AM$1,POSTE!$B:$G,3,FALSE),+CUM!AD17/+VLOOKUP(AM$1,POSTE!$B:$H,7,FALSE),,CONGÉ!$C$2:$C$80))</f>
        <v xml:space="preserve"> </v>
      </c>
      <c r="AN18" s="50" t="str">
        <f>+IF(U18=0," ",+WORKDAY.INTL(+VLOOKUP(AN$1,POSTE!$B:$G,3,FALSE),+CUM!AE17/+VLOOKUP(AN$1,POSTE!$B:$H,7,FALSE),,CONGÉ!$C$2:$C$80))</f>
        <v xml:space="preserve"> </v>
      </c>
      <c r="AO18" s="50" t="str">
        <f>+IF(V18=0," ",+WORKDAY.INTL(+VLOOKUP(AO$1,POSTE!$B:$G,3,FALSE),+CUM!AF17/+VLOOKUP(AO$1,POSTE!$B:$H,7,FALSE),,CONGÉ!$C$2:$C$80))</f>
        <v xml:space="preserve"> </v>
      </c>
      <c r="AP18" s="50" t="str">
        <f>+IF(W18=0," ",+WORKDAY.INTL(+VLOOKUP(AP$1,POSTE!$B:$G,3,FALSE),+CUM!AG17/+VLOOKUP(AP$1,POSTE!$B:$H,7,FALSE),,CONGÉ!$C$2:$C$80))</f>
        <v xml:space="preserve"> </v>
      </c>
      <c r="AQ18" s="50" t="str">
        <f>+IF(X18=0," ",+WORKDAY.INTL(+VLOOKUP(AQ$1,POSTE!$B:$G,3,FALSE),+CUM!AH17/+VLOOKUP(AQ$1,POSTE!$B:$H,7,FALSE),,CONGÉ!$C$2:$C$80))</f>
        <v xml:space="preserve"> </v>
      </c>
      <c r="AR18" s="71" t="str">
        <f>+IF(Y18=0," ",+WORKDAY.INTL(+VLOOKUP(AR$1,POSTE!$B:$G,3,FALSE),+CUM!AI17/+VLOOKUP(AR$1,POSTE!$B:$H,7,FALSE),,CONGÉ!$C$2:$C$80))</f>
        <v xml:space="preserve"> </v>
      </c>
      <c r="AS18" s="72" t="str">
        <f>+IF(Q18=0," ",+WORKDAY.INTL(+VLOOKUP(AS$1,POSTE!$B:$G,3,FALSE),+CUM!AA18/+VLOOKUP(AS$1,POSTE!$B:$H,7,FALSE),,CONGÉ!$C$2:$C$80))</f>
        <v xml:space="preserve"> </v>
      </c>
      <c r="AT18" s="73" t="str">
        <f>+IF(R18=0," ",+WORKDAY.INTL(+VLOOKUP(AT$1,POSTE!$B:$G,3,FALSE),+CUM!AB18/+VLOOKUP(AT$1,POSTE!$B:$H,7,FALSE),,CONGÉ!$C$2:$C$80))</f>
        <v xml:space="preserve"> </v>
      </c>
      <c r="AU18" s="73" t="str">
        <f>+IF(AND(S18=0,T18=0)," ",+WORKDAY.INTL(+VLOOKUP($AS$1,POSTE!B:J,3,FALSE),+(((AC18*POSTE!$H$5)+(CUM!AD18*POSTE!$H$4))/(POSTE!$H$4*POSTE!$H$5*2)),,CONGÉ!$C$2:$C$80))</f>
        <v xml:space="preserve"> </v>
      </c>
      <c r="AV18" s="73" t="str">
        <f>+IF(U18=0," ",+WORKDAY.INTL(+VLOOKUP(AV$1,POSTE!$B:$G,3,FALSE),+CUM!AE18/+VLOOKUP(AV$1,POSTE!$B:$H,7,FALSE),,CONGÉ!$C$2:$C$80))</f>
        <v xml:space="preserve"> </v>
      </c>
      <c r="AW18" s="73" t="str">
        <f>+IF(V18=0," ",+WORKDAY.INTL(+VLOOKUP(AW$1,POSTE!$B:$G,3,FALSE),+CUM!AF18/+VLOOKUP(AW$1,POSTE!$B:$H,7,FALSE),,CONGÉ!$C$2:$C$80))</f>
        <v xml:space="preserve"> </v>
      </c>
      <c r="AX18" s="73" t="str">
        <f>+IF(W18=0," ",+WORKDAY.INTL(+VLOOKUP(AX$1,POSTE!$B:$G,3,FALSE),+CUM!AG18/+VLOOKUP(AX$1,POSTE!$B:$H,7,FALSE),,CONGÉ!$C$2:$C$80))</f>
        <v xml:space="preserve"> </v>
      </c>
      <c r="AY18" s="73" t="str">
        <f>+IF(X18=0," ",+WORKDAY.INTL(+VLOOKUP(AY$1,POSTE!$B:$G,3,FALSE),+CUM!AH18/+VLOOKUP(AY$1,POSTE!$B:$H,7,FALSE),,CONGÉ!$C$2:$C$80))</f>
        <v xml:space="preserve"> </v>
      </c>
      <c r="AZ18" s="73" t="str">
        <f>+IF(Y18=0," ",+WORKDAY.INTL(+VLOOKUP(AZ$1,POSTE!$B:$G,3,FALSE),+CUM!AI18/+VLOOKUP(AZ$1,POSTE!$B:$H,7,FALSE),,CONGÉ!$C$2:$C$80))</f>
        <v xml:space="preserve"> </v>
      </c>
      <c r="BA18" s="73" t="str">
        <f>+IF(S18=0," ",+WORKDAY.INTL(+VLOOKUP(BA$1,POSTE!$B:$G,3,FALSE),+CUM!AC18/+VLOOKUP(BA$1,POSTE!$B:$H,7,FALSE),,CONGÉ!$C$2:$C$80))</f>
        <v xml:space="preserve"> </v>
      </c>
      <c r="BB18" s="73" t="str">
        <f>+IF(T18=0," ",+WORKDAY.INTL(+VLOOKUP(BB$1,POSTE!$B:$G,3,FALSE),+CUM!AD18/+VLOOKUP(BB$1,POSTE!$B:$H,7,FALSE),,CONGÉ!$C$2:$C$80))</f>
        <v xml:space="preserve"> </v>
      </c>
      <c r="BC18" s="70" t="str">
        <f t="shared" si="13"/>
        <v xml:space="preserve"> </v>
      </c>
      <c r="BD18" s="70" t="str">
        <f t="shared" si="14"/>
        <v xml:space="preserve"> </v>
      </c>
      <c r="BE18" s="129">
        <f>+IF($F18="oui",+VLOOKUP($A18,DATA!$A:$AH,DATA!$AH$3,FALSE),0)</f>
        <v>0</v>
      </c>
      <c r="BF18" s="129">
        <f t="shared" si="15"/>
        <v>614.66666666666674</v>
      </c>
      <c r="BG18" s="136" t="str">
        <f>+IF(BE18&gt;0,+MAX((BH$4:BH17),BD18),"")</f>
        <v/>
      </c>
      <c r="BH18" s="136" t="str">
        <f>+IF(BE18&gt;0,+MAX((BH$4:BH17),+WORKDAY.INTL(BG18,+BE18/8,,CONGÉ!$C$2:$C$73)),"")</f>
        <v/>
      </c>
      <c r="BI18" s="136" t="str">
        <f t="shared" si="16"/>
        <v xml:space="preserve"> </v>
      </c>
      <c r="BJ18" s="43">
        <f t="shared" si="11"/>
        <v>224157</v>
      </c>
      <c r="BK18" s="77">
        <f t="shared" ca="1" si="17"/>
        <v>45754</v>
      </c>
      <c r="BL18" s="78">
        <f>+(((AC18*POSTE!$H$5)+(CUM!AD18*POSTE!$H$4))/(POSTE!$H$4*POSTE!$H$5*2))</f>
        <v>18.506197916666668</v>
      </c>
      <c r="BM18" s="90">
        <f ca="1">+WORKDAY.INTL(BK18,BL18,,CONGÉ!C$4:C$72)</f>
        <v>45778</v>
      </c>
      <c r="BN18" s="78" t="e">
        <f t="shared" ca="1" si="18"/>
        <v>#VALUE!</v>
      </c>
    </row>
    <row r="19" spans="1:66" x14ac:dyDescent="0.25">
      <c r="A19" s="49">
        <f t="shared" si="19"/>
        <v>15</v>
      </c>
      <c r="B19" s="185" cm="1">
        <f t="array" ref="B19">_xlfn.LET(_xlpm.CORR,IF(DATA!$B$4:$B$104="",IF(DATA!$A$4:$A$104="","--",DATA!$A$4:$A$104),DATA!$B$4:$B$104),_xlpm.Rx,SMALL(_xlpm.CORR,A19),IFERROR(MATCH(_xlpm.Rx,_xlpm.CORR,0),0))</f>
        <v>0</v>
      </c>
      <c r="C19" s="195" t="str" cm="1">
        <f t="array" ref="C19">IF($B19=0,"",INDEX(Données,$B19,C$3))</f>
        <v/>
      </c>
      <c r="D19" s="196" t="str" cm="1">
        <f t="array" ref="D19">IF($B19=0,"",INDEX(Données,$B19,D$3))</f>
        <v/>
      </c>
      <c r="E19" s="197" t="str" cm="1">
        <f t="array" ref="E19">IF($B19=0,"",INDEX(Données,$B19,E$3))</f>
        <v/>
      </c>
      <c r="F19" s="198" t="str" cm="1">
        <f t="array" ref="F19">IF($B19=0,"",INDEX(Données,$B19,F$3))</f>
        <v/>
      </c>
      <c r="G19" s="43">
        <f>+IF($F19="oui",+VLOOKUP($A19,DATA!$A:$AG,DATA!$P$3,FALSE),0)</f>
        <v>0</v>
      </c>
      <c r="H19" s="44">
        <f>+IF($F19="oui",+VLOOKUP($A19,DATA!$A:$AG,DATA!$R$3,FALSE),0)</f>
        <v>0</v>
      </c>
      <c r="I19" s="44">
        <f>+IF($F19="oui",+VLOOKUP($A19,DATA!$A:$AG,DATA!$T$3,FALSE),0)</f>
        <v>0</v>
      </c>
      <c r="J19" s="44">
        <f>+IF($F19="oui",+VLOOKUP($A19,DATA!$A:$AG,DATA!$V$3,FALSE),0)</f>
        <v>0</v>
      </c>
      <c r="K19" s="44">
        <f>+IF($F19="oui",+VLOOKUP($A19,DATA!$A:$AG,DATA!$X$3,FALSE),0)</f>
        <v>0</v>
      </c>
      <c r="L19" s="44">
        <f>+IF($F19="oui",+VLOOKUP($A19,DATA!$A:$AG,DATA!$Z$3,FALSE),0)</f>
        <v>0</v>
      </c>
      <c r="M19" s="44">
        <f>+IF($F19="oui",+VLOOKUP($A19,DATA!$A:$AG,DATA!$AB$3,FALSE),0)</f>
        <v>0</v>
      </c>
      <c r="N19" s="44">
        <f>+IF($F19="oui",+VLOOKUP($A19,DATA!$A:$AG,DATA!$AD$3,FALSE),0)</f>
        <v>0</v>
      </c>
      <c r="O19" s="45">
        <f>+IF($F19="oui",+VLOOKUP($A19,DATA!$A:$AG,DATA!$AF$3,FALSE),0)</f>
        <v>0</v>
      </c>
      <c r="P19" s="116">
        <f t="shared" si="12"/>
        <v>0</v>
      </c>
      <c r="Q19" s="21">
        <f>+IF($F19="oui",+VLOOKUP($A19,DATA!$A:$AG,DATA!$Q$3,FALSE),0)</f>
        <v>0</v>
      </c>
      <c r="R19" s="22">
        <f>+IF($F19="oui",+VLOOKUP($A19,DATA!$A:$AG,DATA!$S$3,FALSE),0)</f>
        <v>0</v>
      </c>
      <c r="S19" s="22">
        <f>+IF($F19="oui",+VLOOKUP($A19,DATA!$A:$AG,DATA!$U$3,FALSE),0)</f>
        <v>0</v>
      </c>
      <c r="T19" s="22">
        <f>+IF($F19="oui",+VLOOKUP($A19,DATA!$A:$AG,DATA!$W$3,FALSE),0)</f>
        <v>0</v>
      </c>
      <c r="U19" s="22">
        <f>+IF($F19="oui",+VLOOKUP($A19,DATA!$A:$AG,DATA!$Y$3,FALSE),0)</f>
        <v>0</v>
      </c>
      <c r="V19" s="22">
        <f>+IF($F19="oui",+VLOOKUP($A19,DATA!$A:$AG,DATA!$AA$3,FALSE),0)</f>
        <v>0</v>
      </c>
      <c r="W19" s="22">
        <f>+IF($F19="oui",+VLOOKUP($A19,DATA!$A:$AG,DATA!$AC$3,FALSE),0)</f>
        <v>0</v>
      </c>
      <c r="X19" s="22">
        <f>+IF($F19="oui",+VLOOKUP($A19,DATA!$A:$AG,DATA!$AE$3,FALSE),0)</f>
        <v>0</v>
      </c>
      <c r="Y19" s="23">
        <f>+IF($F19="oui",+VLOOKUP($A19,DATA!$A:$AG,DATA!$AG$3,FALSE),0)</f>
        <v>0</v>
      </c>
      <c r="Z19" s="118">
        <f t="shared" si="1"/>
        <v>0</v>
      </c>
      <c r="AA19" s="43">
        <f t="shared" si="2"/>
        <v>48445</v>
      </c>
      <c r="AB19" s="44">
        <f t="shared" si="3"/>
        <v>216477</v>
      </c>
      <c r="AC19" s="44">
        <f t="shared" si="4"/>
        <v>185990</v>
      </c>
      <c r="AD19" s="44">
        <f t="shared" si="5"/>
        <v>38167</v>
      </c>
      <c r="AE19" s="44">
        <f t="shared" si="6"/>
        <v>38898</v>
      </c>
      <c r="AF19" s="44">
        <f t="shared" si="7"/>
        <v>25684</v>
      </c>
      <c r="AG19" s="44">
        <f t="shared" si="8"/>
        <v>0</v>
      </c>
      <c r="AH19" s="44">
        <f t="shared" si="9"/>
        <v>14613</v>
      </c>
      <c r="AI19" s="45">
        <f t="shared" si="10"/>
        <v>1489</v>
      </c>
      <c r="AJ19" s="70" t="str">
        <f>+IF(Q19=0," ",+WORKDAY.INTL(+VLOOKUP(AJ$1,POSTE!$B:$G,3,FALSE),+CUM!AA18/+VLOOKUP(AJ$1,POSTE!$B:$H,7,FALSE),,CONGÉ!$C$2:$C$80))</f>
        <v xml:space="preserve"> </v>
      </c>
      <c r="AK19" s="50" t="str">
        <f>+IF(R19=0," ",+WORKDAY.INTL(+VLOOKUP(AK$1,POSTE!$B:$G,3,FALSE),+CUM!AB18/+VLOOKUP(AK$1,POSTE!$B:$H,7,FALSE),,CONGÉ!$C$2:$C$80))</f>
        <v xml:space="preserve"> </v>
      </c>
      <c r="AL19" s="50" t="str">
        <f>+IF(S19=0," ",+WORKDAY.INTL(+VLOOKUP(AL$1,POSTE!$B:$G,3,FALSE),+CUM!AC18/+VLOOKUP(AL$1,POSTE!$B:$H,7,FALSE),,CONGÉ!$C$2:$C$80))</f>
        <v xml:space="preserve"> </v>
      </c>
      <c r="AM19" s="50" t="str">
        <f>+IF(T19=0," ",+WORKDAY.INTL(+VLOOKUP(AM$1,POSTE!$B:$G,3,FALSE),+CUM!AD18/+VLOOKUP(AM$1,POSTE!$B:$H,7,FALSE),,CONGÉ!$C$2:$C$80))</f>
        <v xml:space="preserve"> </v>
      </c>
      <c r="AN19" s="50" t="str">
        <f>+IF(U19=0," ",+WORKDAY.INTL(+VLOOKUP(AN$1,POSTE!$B:$G,3,FALSE),+CUM!AE18/+VLOOKUP(AN$1,POSTE!$B:$H,7,FALSE),,CONGÉ!$C$2:$C$80))</f>
        <v xml:space="preserve"> </v>
      </c>
      <c r="AO19" s="50" t="str">
        <f>+IF(V19=0," ",+WORKDAY.INTL(+VLOOKUP(AO$1,POSTE!$B:$G,3,FALSE),+CUM!AF18/+VLOOKUP(AO$1,POSTE!$B:$H,7,FALSE),,CONGÉ!$C$2:$C$80))</f>
        <v xml:space="preserve"> </v>
      </c>
      <c r="AP19" s="50" t="str">
        <f>+IF(W19=0," ",+WORKDAY.INTL(+VLOOKUP(AP$1,POSTE!$B:$G,3,FALSE),+CUM!AG18/+VLOOKUP(AP$1,POSTE!$B:$H,7,FALSE),,CONGÉ!$C$2:$C$80))</f>
        <v xml:space="preserve"> </v>
      </c>
      <c r="AQ19" s="50" t="str">
        <f>+IF(X19=0," ",+WORKDAY.INTL(+VLOOKUP(AQ$1,POSTE!$B:$G,3,FALSE),+CUM!AH18/+VLOOKUP(AQ$1,POSTE!$B:$H,7,FALSE),,CONGÉ!$C$2:$C$80))</f>
        <v xml:space="preserve"> </v>
      </c>
      <c r="AR19" s="71" t="str">
        <f>+IF(Y19=0," ",+WORKDAY.INTL(+VLOOKUP(AR$1,POSTE!$B:$G,3,FALSE),+CUM!AI18/+VLOOKUP(AR$1,POSTE!$B:$H,7,FALSE),,CONGÉ!$C$2:$C$80))</f>
        <v xml:space="preserve"> </v>
      </c>
      <c r="AS19" s="72" t="str">
        <f>+IF(Q19=0," ",+WORKDAY.INTL(+VLOOKUP(AS$1,POSTE!$B:$G,3,FALSE),+CUM!AA19/+VLOOKUP(AS$1,POSTE!$B:$H,7,FALSE),,CONGÉ!$C$2:$C$80))</f>
        <v xml:space="preserve"> </v>
      </c>
      <c r="AT19" s="73" t="str">
        <f>+IF(R19=0," ",+WORKDAY.INTL(+VLOOKUP(AT$1,POSTE!$B:$G,3,FALSE),+CUM!AB19/+VLOOKUP(AT$1,POSTE!$B:$H,7,FALSE),,CONGÉ!$C$2:$C$80))</f>
        <v xml:space="preserve"> </v>
      </c>
      <c r="AU19" s="73" t="str">
        <f>+IF(AND(S19=0,T19=0)," ",+WORKDAY.INTL(+VLOOKUP($AS$1,POSTE!B:J,3,FALSE),+(((AC19*POSTE!$H$5)+(CUM!AD19*POSTE!$H$4))/(POSTE!$H$4*POSTE!$H$5*2)),,CONGÉ!$C$2:$C$80))</f>
        <v xml:space="preserve"> </v>
      </c>
      <c r="AV19" s="73" t="str">
        <f>+IF(U19=0," ",+WORKDAY.INTL(+VLOOKUP(AV$1,POSTE!$B:$G,3,FALSE),+CUM!AE19/+VLOOKUP(AV$1,POSTE!$B:$H,7,FALSE),,CONGÉ!$C$2:$C$80))</f>
        <v xml:space="preserve"> </v>
      </c>
      <c r="AW19" s="73" t="str">
        <f>+IF(V19=0," ",+WORKDAY.INTL(+VLOOKUP(AW$1,POSTE!$B:$G,3,FALSE),+CUM!AF19/+VLOOKUP(AW$1,POSTE!$B:$H,7,FALSE),,CONGÉ!$C$2:$C$80))</f>
        <v xml:space="preserve"> </v>
      </c>
      <c r="AX19" s="73" t="str">
        <f>+IF(W19=0," ",+WORKDAY.INTL(+VLOOKUP(AX$1,POSTE!$B:$G,3,FALSE),+CUM!AG19/+VLOOKUP(AX$1,POSTE!$B:$H,7,FALSE),,CONGÉ!$C$2:$C$80))</f>
        <v xml:space="preserve"> </v>
      </c>
      <c r="AY19" s="73" t="str">
        <f>+IF(X19=0," ",+WORKDAY.INTL(+VLOOKUP(AY$1,POSTE!$B:$G,3,FALSE),+CUM!AH19/+VLOOKUP(AY$1,POSTE!$B:$H,7,FALSE),,CONGÉ!$C$2:$C$80))</f>
        <v xml:space="preserve"> </v>
      </c>
      <c r="AZ19" s="73" t="str">
        <f>+IF(Y19=0," ",+WORKDAY.INTL(+VLOOKUP(AZ$1,POSTE!$B:$G,3,FALSE),+CUM!AI19/+VLOOKUP(AZ$1,POSTE!$B:$H,7,FALSE),,CONGÉ!$C$2:$C$80))</f>
        <v xml:space="preserve"> </v>
      </c>
      <c r="BA19" s="73" t="str">
        <f>+IF(S19=0," ",+WORKDAY.INTL(+VLOOKUP(BA$1,POSTE!$B:$G,3,FALSE),+CUM!AC19/+VLOOKUP(BA$1,POSTE!$B:$H,7,FALSE),,CONGÉ!$C$2:$C$80))</f>
        <v xml:space="preserve"> </v>
      </c>
      <c r="BB19" s="73" t="str">
        <f>+IF(T19=0," ",+WORKDAY.INTL(+VLOOKUP(BB$1,POSTE!$B:$G,3,FALSE),+CUM!AD19/+VLOOKUP(BB$1,POSTE!$B:$H,7,FALSE),,CONGÉ!$C$2:$C$80))</f>
        <v xml:space="preserve"> </v>
      </c>
      <c r="BC19" s="70" t="str">
        <f t="shared" si="13"/>
        <v xml:space="preserve"> </v>
      </c>
      <c r="BD19" s="70" t="str">
        <f t="shared" si="14"/>
        <v xml:space="preserve"> </v>
      </c>
      <c r="BE19" s="129">
        <f>+IF($F19="oui",+VLOOKUP($A19,DATA!$A:$AH,DATA!$AH$3,FALSE),0)</f>
        <v>0</v>
      </c>
      <c r="BF19" s="129">
        <f t="shared" si="15"/>
        <v>614.66666666666674</v>
      </c>
      <c r="BG19" s="136" t="str">
        <f>+IF(BE19&gt;0,+MAX((BH$4:BH18),BD19),"")</f>
        <v/>
      </c>
      <c r="BH19" s="136" t="str">
        <f>+IF(BE19&gt;0,+MAX((BH$4:BH18),+WORKDAY.INTL(BG19,+BE19/8,,CONGÉ!$C$2:$C$73)),"")</f>
        <v/>
      </c>
      <c r="BI19" s="136" t="str">
        <f t="shared" si="16"/>
        <v xml:space="preserve"> </v>
      </c>
      <c r="BJ19" s="43">
        <f t="shared" si="11"/>
        <v>224157</v>
      </c>
      <c r="BK19" s="77">
        <f t="shared" ca="1" si="17"/>
        <v>45754</v>
      </c>
      <c r="BL19" s="78">
        <f>+(((AC19*POSTE!$H$5)+(CUM!AD19*POSTE!$H$4))/(POSTE!$H$4*POSTE!$H$5*2))</f>
        <v>18.506197916666668</v>
      </c>
      <c r="BM19" s="90">
        <f ca="1">+WORKDAY.INTL(BK19,BL19,,CONGÉ!C$4:C$72)</f>
        <v>45778</v>
      </c>
      <c r="BN19" s="78" t="e">
        <f t="shared" ca="1" si="18"/>
        <v>#VALUE!</v>
      </c>
    </row>
    <row r="20" spans="1:66" x14ac:dyDescent="0.25">
      <c r="A20" s="49">
        <f t="shared" si="19"/>
        <v>16</v>
      </c>
      <c r="B20" s="185" cm="1">
        <f t="array" ref="B20">_xlfn.LET(_xlpm.CORR,IF(DATA!$B$4:$B$104="",IF(DATA!$A$4:$A$104="","--",DATA!$A$4:$A$104),DATA!$B$4:$B$104),_xlpm.Rx,SMALL(_xlpm.CORR,A20),IFERROR(MATCH(_xlpm.Rx,_xlpm.CORR,0),0))</f>
        <v>0</v>
      </c>
      <c r="C20" s="195" t="str" cm="1">
        <f t="array" ref="C20">IF($B20=0,"",INDEX(Données,$B20,C$3))</f>
        <v/>
      </c>
      <c r="D20" s="196" t="str" cm="1">
        <f t="array" ref="D20">IF($B20=0,"",INDEX(Données,$B20,D$3))</f>
        <v/>
      </c>
      <c r="E20" s="197" t="str" cm="1">
        <f t="array" ref="E20">IF($B20=0,"",INDEX(Données,$B20,E$3))</f>
        <v/>
      </c>
      <c r="F20" s="198" t="str" cm="1">
        <f t="array" ref="F20">IF($B20=0,"",INDEX(Données,$B20,F$3))</f>
        <v/>
      </c>
      <c r="G20" s="43">
        <f>+IF($F20="oui",+VLOOKUP($A20,DATA!$A:$AG,DATA!$P$3,FALSE),0)</f>
        <v>0</v>
      </c>
      <c r="H20" s="44">
        <f>+IF($F20="oui",+VLOOKUP($A20,DATA!$A:$AG,DATA!$R$3,FALSE),0)</f>
        <v>0</v>
      </c>
      <c r="I20" s="44">
        <f>+IF($F20="oui",+VLOOKUP($A20,DATA!$A:$AG,DATA!$T$3,FALSE),0)</f>
        <v>0</v>
      </c>
      <c r="J20" s="44">
        <f>+IF($F20="oui",+VLOOKUP($A20,DATA!$A:$AG,DATA!$V$3,FALSE),0)</f>
        <v>0</v>
      </c>
      <c r="K20" s="44">
        <f>+IF($F20="oui",+VLOOKUP($A20,DATA!$A:$AG,DATA!$X$3,FALSE),0)</f>
        <v>0</v>
      </c>
      <c r="L20" s="44">
        <f>+IF($F20="oui",+VLOOKUP($A20,DATA!$A:$AG,DATA!$Z$3,FALSE),0)</f>
        <v>0</v>
      </c>
      <c r="M20" s="44">
        <f>+IF($F20="oui",+VLOOKUP($A20,DATA!$A:$AG,DATA!$AB$3,FALSE),0)</f>
        <v>0</v>
      </c>
      <c r="N20" s="44">
        <f>+IF($F20="oui",+VLOOKUP($A20,DATA!$A:$AG,DATA!$AD$3,FALSE),0)</f>
        <v>0</v>
      </c>
      <c r="O20" s="45">
        <f>+IF($F20="oui",+VLOOKUP($A20,DATA!$A:$AG,DATA!$AF$3,FALSE),0)</f>
        <v>0</v>
      </c>
      <c r="P20" s="116">
        <f t="shared" si="12"/>
        <v>0</v>
      </c>
      <c r="Q20" s="21">
        <f>+IF($F20="oui",+VLOOKUP($A20,DATA!$A:$AG,DATA!$Q$3,FALSE),0)</f>
        <v>0</v>
      </c>
      <c r="R20" s="22">
        <f>+IF($F20="oui",+VLOOKUP($A20,DATA!$A:$AG,DATA!$S$3,FALSE),0)</f>
        <v>0</v>
      </c>
      <c r="S20" s="22">
        <f>+IF($F20="oui",+VLOOKUP($A20,DATA!$A:$AG,DATA!$U$3,FALSE),0)</f>
        <v>0</v>
      </c>
      <c r="T20" s="22">
        <f>+IF($F20="oui",+VLOOKUP($A20,DATA!$A:$AG,DATA!$W$3,FALSE),0)</f>
        <v>0</v>
      </c>
      <c r="U20" s="22">
        <f>+IF($F20="oui",+VLOOKUP($A20,DATA!$A:$AG,DATA!$Y$3,FALSE),0)</f>
        <v>0</v>
      </c>
      <c r="V20" s="22">
        <f>+IF($F20="oui",+VLOOKUP($A20,DATA!$A:$AG,DATA!$AA$3,FALSE),0)</f>
        <v>0</v>
      </c>
      <c r="W20" s="22">
        <f>+IF($F20="oui",+VLOOKUP($A20,DATA!$A:$AG,DATA!$AC$3,FALSE),0)</f>
        <v>0</v>
      </c>
      <c r="X20" s="22">
        <f>+IF($F20="oui",+VLOOKUP($A20,DATA!$A:$AG,DATA!$AE$3,FALSE),0)</f>
        <v>0</v>
      </c>
      <c r="Y20" s="23">
        <f>+IF($F20="oui",+VLOOKUP($A20,DATA!$A:$AG,DATA!$AG$3,FALSE),0)</f>
        <v>0</v>
      </c>
      <c r="Z20" s="118">
        <f t="shared" si="1"/>
        <v>0</v>
      </c>
      <c r="AA20" s="43">
        <f t="shared" si="2"/>
        <v>48445</v>
      </c>
      <c r="AB20" s="44">
        <f t="shared" si="3"/>
        <v>216477</v>
      </c>
      <c r="AC20" s="44">
        <f t="shared" si="4"/>
        <v>185990</v>
      </c>
      <c r="AD20" s="44">
        <f t="shared" si="5"/>
        <v>38167</v>
      </c>
      <c r="AE20" s="44">
        <f t="shared" si="6"/>
        <v>38898</v>
      </c>
      <c r="AF20" s="44">
        <f t="shared" si="7"/>
        <v>25684</v>
      </c>
      <c r="AG20" s="44">
        <f t="shared" si="8"/>
        <v>0</v>
      </c>
      <c r="AH20" s="44">
        <f t="shared" si="9"/>
        <v>14613</v>
      </c>
      <c r="AI20" s="45">
        <f t="shared" si="10"/>
        <v>1489</v>
      </c>
      <c r="AJ20" s="70" t="str">
        <f>+IF(Q20=0," ",+WORKDAY.INTL(+VLOOKUP(AJ$1,POSTE!$B:$G,3,FALSE),+CUM!AA19/+VLOOKUP(AJ$1,POSTE!$B:$H,7,FALSE),,CONGÉ!$C$2:$C$80))</f>
        <v xml:space="preserve"> </v>
      </c>
      <c r="AK20" s="50" t="str">
        <f>+IF(R20=0," ",+WORKDAY.INTL(+VLOOKUP(AK$1,POSTE!$B:$G,3,FALSE),+CUM!AB19/+VLOOKUP(AK$1,POSTE!$B:$H,7,FALSE),,CONGÉ!$C$2:$C$80))</f>
        <v xml:space="preserve"> </v>
      </c>
      <c r="AL20" s="50" t="str">
        <f>+IF(S20=0," ",+WORKDAY.INTL(+VLOOKUP(AL$1,POSTE!$B:$G,3,FALSE),+CUM!AC19/+VLOOKUP(AL$1,POSTE!$B:$H,7,FALSE),,CONGÉ!$C$2:$C$80))</f>
        <v xml:space="preserve"> </v>
      </c>
      <c r="AM20" s="50" t="str">
        <f>+IF(T20=0," ",+WORKDAY.INTL(+VLOOKUP(AM$1,POSTE!$B:$G,3,FALSE),+CUM!AD19/+VLOOKUP(AM$1,POSTE!$B:$H,7,FALSE),,CONGÉ!$C$2:$C$80))</f>
        <v xml:space="preserve"> </v>
      </c>
      <c r="AN20" s="50" t="str">
        <f>+IF(U20=0," ",+WORKDAY.INTL(+VLOOKUP(AN$1,POSTE!$B:$G,3,FALSE),+CUM!AE19/+VLOOKUP(AN$1,POSTE!$B:$H,7,FALSE),,CONGÉ!$C$2:$C$80))</f>
        <v xml:space="preserve"> </v>
      </c>
      <c r="AO20" s="50" t="str">
        <f>+IF(V20=0," ",+WORKDAY.INTL(+VLOOKUP(AO$1,POSTE!$B:$G,3,FALSE),+CUM!AF19/+VLOOKUP(AO$1,POSTE!$B:$H,7,FALSE),,CONGÉ!$C$2:$C$80))</f>
        <v xml:space="preserve"> </v>
      </c>
      <c r="AP20" s="50" t="str">
        <f>+IF(W20=0," ",+WORKDAY.INTL(+VLOOKUP(AP$1,POSTE!$B:$G,3,FALSE),+CUM!AG19/+VLOOKUP(AP$1,POSTE!$B:$H,7,FALSE),,CONGÉ!$C$2:$C$80))</f>
        <v xml:space="preserve"> </v>
      </c>
      <c r="AQ20" s="50" t="str">
        <f>+IF(X20=0," ",+WORKDAY.INTL(+VLOOKUP(AQ$1,POSTE!$B:$G,3,FALSE),+CUM!AH19/+VLOOKUP(AQ$1,POSTE!$B:$H,7,FALSE),,CONGÉ!$C$2:$C$80))</f>
        <v xml:space="preserve"> </v>
      </c>
      <c r="AR20" s="71" t="str">
        <f>+IF(Y20=0," ",+WORKDAY.INTL(+VLOOKUP(AR$1,POSTE!$B:$G,3,FALSE),+CUM!AI19/+VLOOKUP(AR$1,POSTE!$B:$H,7,FALSE),,CONGÉ!$C$2:$C$80))</f>
        <v xml:space="preserve"> </v>
      </c>
      <c r="AS20" s="72" t="str">
        <f>+IF(Q20=0," ",+WORKDAY.INTL(+VLOOKUP(AS$1,POSTE!$B:$G,3,FALSE),+CUM!AA20/+VLOOKUP(AS$1,POSTE!$B:$H,7,FALSE),,CONGÉ!$C$2:$C$80))</f>
        <v xml:space="preserve"> </v>
      </c>
      <c r="AT20" s="73" t="str">
        <f>+IF(R20=0," ",+WORKDAY.INTL(+VLOOKUP(AT$1,POSTE!$B:$G,3,FALSE),+CUM!AB20/+VLOOKUP(AT$1,POSTE!$B:$H,7,FALSE),,CONGÉ!$C$2:$C$80))</f>
        <v xml:space="preserve"> </v>
      </c>
      <c r="AU20" s="73" t="str">
        <f>+IF(AND(S20=0,T20=0)," ",+WORKDAY.INTL(+VLOOKUP($AS$1,POSTE!B:J,3,FALSE),+(((AC20*POSTE!$H$5)+(CUM!AD20*POSTE!$H$4))/(POSTE!$H$4*POSTE!$H$5*2)),,CONGÉ!$C$2:$C$80))</f>
        <v xml:space="preserve"> </v>
      </c>
      <c r="AV20" s="73" t="str">
        <f>+IF(U20=0," ",+WORKDAY.INTL(+VLOOKUP(AV$1,POSTE!$B:$G,3,FALSE),+CUM!AE20/+VLOOKUP(AV$1,POSTE!$B:$H,7,FALSE),,CONGÉ!$C$2:$C$80))</f>
        <v xml:space="preserve"> </v>
      </c>
      <c r="AW20" s="73" t="str">
        <f>+IF(V20=0," ",+WORKDAY.INTL(+VLOOKUP(AW$1,POSTE!$B:$G,3,FALSE),+CUM!AF20/+VLOOKUP(AW$1,POSTE!$B:$H,7,FALSE),,CONGÉ!$C$2:$C$80))</f>
        <v xml:space="preserve"> </v>
      </c>
      <c r="AX20" s="73" t="str">
        <f>+IF(W20=0," ",+WORKDAY.INTL(+VLOOKUP(AX$1,POSTE!$B:$G,3,FALSE),+CUM!AG20/+VLOOKUP(AX$1,POSTE!$B:$H,7,FALSE),,CONGÉ!$C$2:$C$80))</f>
        <v xml:space="preserve"> </v>
      </c>
      <c r="AY20" s="73" t="str">
        <f>+IF(X20=0," ",+WORKDAY.INTL(+VLOOKUP(AY$1,POSTE!$B:$G,3,FALSE),+CUM!AH20/+VLOOKUP(AY$1,POSTE!$B:$H,7,FALSE),,CONGÉ!$C$2:$C$80))</f>
        <v xml:space="preserve"> </v>
      </c>
      <c r="AZ20" s="73" t="str">
        <f>+IF(Y20=0," ",+WORKDAY.INTL(+VLOOKUP(AZ$1,POSTE!$B:$G,3,FALSE),+CUM!AI20/+VLOOKUP(AZ$1,POSTE!$B:$H,7,FALSE),,CONGÉ!$C$2:$C$80))</f>
        <v xml:space="preserve"> </v>
      </c>
      <c r="BA20" s="73" t="str">
        <f>+IF(S20=0," ",+WORKDAY.INTL(+VLOOKUP(BA$1,POSTE!$B:$G,3,FALSE),+CUM!AC20/+VLOOKUP(BA$1,POSTE!$B:$H,7,FALSE),,CONGÉ!$C$2:$C$80))</f>
        <v xml:space="preserve"> </v>
      </c>
      <c r="BB20" s="73" t="str">
        <f>+IF(T20=0," ",+WORKDAY.INTL(+VLOOKUP(BB$1,POSTE!$B:$G,3,FALSE),+CUM!AD20/+VLOOKUP(BB$1,POSTE!$B:$H,7,FALSE),,CONGÉ!$C$2:$C$80))</f>
        <v xml:space="preserve"> </v>
      </c>
      <c r="BC20" s="70" t="str">
        <f t="shared" si="13"/>
        <v xml:space="preserve"> </v>
      </c>
      <c r="BD20" s="70" t="str">
        <f t="shared" si="14"/>
        <v xml:space="preserve"> </v>
      </c>
      <c r="BE20" s="129">
        <f>+IF($F20="oui",+VLOOKUP($A20,DATA!$A:$AH,DATA!$AH$3,FALSE),0)</f>
        <v>0</v>
      </c>
      <c r="BF20" s="129">
        <f t="shared" si="15"/>
        <v>614.66666666666674</v>
      </c>
      <c r="BG20" s="136" t="str">
        <f>+IF(BE20&gt;0,+MAX((BH$4:BH19),BD20),"")</f>
        <v/>
      </c>
      <c r="BH20" s="136" t="str">
        <f>+IF(BE20&gt;0,+MAX((BH$4:BH19),+WORKDAY.INTL(BG20,+BE20/8,,CONGÉ!$C$2:$C$73)),"")</f>
        <v/>
      </c>
      <c r="BI20" s="136" t="str">
        <f t="shared" si="16"/>
        <v xml:space="preserve"> </v>
      </c>
      <c r="BJ20" s="43">
        <f t="shared" si="11"/>
        <v>224157</v>
      </c>
      <c r="BK20" s="77">
        <f t="shared" ca="1" si="17"/>
        <v>45754</v>
      </c>
      <c r="BL20" s="78">
        <f>+(((AC20*POSTE!$H$5)+(CUM!AD20*POSTE!$H$4))/(POSTE!$H$4*POSTE!$H$5*2))</f>
        <v>18.506197916666668</v>
      </c>
      <c r="BM20" s="90">
        <f ca="1">+WORKDAY.INTL(BK20,BL20,,CONGÉ!C$4:C$72)</f>
        <v>45778</v>
      </c>
      <c r="BN20" s="78" t="e">
        <f t="shared" ca="1" si="18"/>
        <v>#VALUE!</v>
      </c>
    </row>
    <row r="21" spans="1:66" x14ac:dyDescent="0.25">
      <c r="A21" s="49">
        <f t="shared" si="19"/>
        <v>17</v>
      </c>
      <c r="B21" s="185" cm="1">
        <f t="array" ref="B21">_xlfn.LET(_xlpm.CORR,IF(DATA!$B$4:$B$104="",IF(DATA!$A$4:$A$104="","--",DATA!$A$4:$A$104),DATA!$B$4:$B$104),_xlpm.Rx,SMALL(_xlpm.CORR,A21),IFERROR(MATCH(_xlpm.Rx,_xlpm.CORR,0),0))</f>
        <v>0</v>
      </c>
      <c r="C21" s="195" t="str" cm="1">
        <f t="array" ref="C21">IF($B21=0,"",INDEX(Données,$B21,C$3))</f>
        <v/>
      </c>
      <c r="D21" s="196" t="str" cm="1">
        <f t="array" ref="D21">IF($B21=0,"",INDEX(Données,$B21,D$3))</f>
        <v/>
      </c>
      <c r="E21" s="197" t="str" cm="1">
        <f t="array" ref="E21">IF($B21=0,"",INDEX(Données,$B21,E$3))</f>
        <v/>
      </c>
      <c r="F21" s="198" t="str" cm="1">
        <f t="array" ref="F21">IF($B21=0,"",INDEX(Données,$B21,F$3))</f>
        <v/>
      </c>
      <c r="G21" s="43">
        <f>+IF($F21="oui",+VLOOKUP($A21,DATA!$A:$AG,DATA!$P$3,FALSE),0)</f>
        <v>0</v>
      </c>
      <c r="H21" s="44">
        <f>+IF($F21="oui",+VLOOKUP($A21,DATA!$A:$AG,DATA!$R$3,FALSE),0)</f>
        <v>0</v>
      </c>
      <c r="I21" s="44">
        <f>+IF($F21="oui",+VLOOKUP($A21,DATA!$A:$AG,DATA!$T$3,FALSE),0)</f>
        <v>0</v>
      </c>
      <c r="J21" s="44">
        <f>+IF($F21="oui",+VLOOKUP($A21,DATA!$A:$AG,DATA!$V$3,FALSE),0)</f>
        <v>0</v>
      </c>
      <c r="K21" s="44">
        <f>+IF($F21="oui",+VLOOKUP($A21,DATA!$A:$AG,DATA!$X$3,FALSE),0)</f>
        <v>0</v>
      </c>
      <c r="L21" s="44">
        <f>+IF($F21="oui",+VLOOKUP($A21,DATA!$A:$AG,DATA!$Z$3,FALSE),0)</f>
        <v>0</v>
      </c>
      <c r="M21" s="44">
        <f>+IF($F21="oui",+VLOOKUP($A21,DATA!$A:$AG,DATA!$AB$3,FALSE),0)</f>
        <v>0</v>
      </c>
      <c r="N21" s="44">
        <f>+IF($F21="oui",+VLOOKUP($A21,DATA!$A:$AG,DATA!$AD$3,FALSE),0)</f>
        <v>0</v>
      </c>
      <c r="O21" s="45">
        <f>+IF($F21="oui",+VLOOKUP($A21,DATA!$A:$AG,DATA!$AF$3,FALSE),0)</f>
        <v>0</v>
      </c>
      <c r="P21" s="116">
        <f t="shared" si="12"/>
        <v>0</v>
      </c>
      <c r="Q21" s="21">
        <f>+IF($F21="oui",+VLOOKUP($A21,DATA!$A:$AG,DATA!$Q$3,FALSE),0)</f>
        <v>0</v>
      </c>
      <c r="R21" s="22">
        <f>+IF($F21="oui",+VLOOKUP($A21,DATA!$A:$AG,DATA!$S$3,FALSE),0)</f>
        <v>0</v>
      </c>
      <c r="S21" s="22">
        <f>+IF($F21="oui",+VLOOKUP($A21,DATA!$A:$AG,DATA!$U$3,FALSE),0)</f>
        <v>0</v>
      </c>
      <c r="T21" s="22">
        <f>+IF($F21="oui",+VLOOKUP($A21,DATA!$A:$AG,DATA!$W$3,FALSE),0)</f>
        <v>0</v>
      </c>
      <c r="U21" s="22">
        <f>+IF($F21="oui",+VLOOKUP($A21,DATA!$A:$AG,DATA!$Y$3,FALSE),0)</f>
        <v>0</v>
      </c>
      <c r="V21" s="22">
        <f>+IF($F21="oui",+VLOOKUP($A21,DATA!$A:$AG,DATA!$AA$3,FALSE),0)</f>
        <v>0</v>
      </c>
      <c r="W21" s="22">
        <f>+IF($F21="oui",+VLOOKUP($A21,DATA!$A:$AG,DATA!$AC$3,FALSE),0)</f>
        <v>0</v>
      </c>
      <c r="X21" s="22">
        <f>+IF($F21="oui",+VLOOKUP($A21,DATA!$A:$AG,DATA!$AE$3,FALSE),0)</f>
        <v>0</v>
      </c>
      <c r="Y21" s="23">
        <f>+IF($F21="oui",+VLOOKUP($A21,DATA!$A:$AG,DATA!$AG$3,FALSE),0)</f>
        <v>0</v>
      </c>
      <c r="Z21" s="118">
        <f t="shared" si="1"/>
        <v>0</v>
      </c>
      <c r="AA21" s="43">
        <f t="shared" si="2"/>
        <v>48445</v>
      </c>
      <c r="AB21" s="44">
        <f t="shared" si="3"/>
        <v>216477</v>
      </c>
      <c r="AC21" s="44">
        <f t="shared" si="4"/>
        <v>185990</v>
      </c>
      <c r="AD21" s="44">
        <f t="shared" si="5"/>
        <v>38167</v>
      </c>
      <c r="AE21" s="44">
        <f t="shared" si="6"/>
        <v>38898</v>
      </c>
      <c r="AF21" s="44">
        <f t="shared" si="7"/>
        <v>25684</v>
      </c>
      <c r="AG21" s="44">
        <f t="shared" si="8"/>
        <v>0</v>
      </c>
      <c r="AH21" s="44">
        <f t="shared" si="9"/>
        <v>14613</v>
      </c>
      <c r="AI21" s="45">
        <f t="shared" si="10"/>
        <v>1489</v>
      </c>
      <c r="AJ21" s="70" t="str">
        <f>+IF(Q21=0," ",+WORKDAY.INTL(+VLOOKUP(AJ$1,POSTE!$B:$G,3,FALSE),+CUM!AA20/+VLOOKUP(AJ$1,POSTE!$B:$H,7,FALSE),,CONGÉ!$C$2:$C$80))</f>
        <v xml:space="preserve"> </v>
      </c>
      <c r="AK21" s="50" t="str">
        <f>+IF(R21=0," ",+WORKDAY.INTL(+VLOOKUP(AK$1,POSTE!$B:$G,3,FALSE),+CUM!AB20/+VLOOKUP(AK$1,POSTE!$B:$H,7,FALSE),,CONGÉ!$C$2:$C$80))</f>
        <v xml:space="preserve"> </v>
      </c>
      <c r="AL21" s="50" t="str">
        <f>+IF(S21=0," ",+WORKDAY.INTL(+VLOOKUP(AL$1,POSTE!$B:$G,3,FALSE),+CUM!AC20/+VLOOKUP(AL$1,POSTE!$B:$H,7,FALSE),,CONGÉ!$C$2:$C$80))</f>
        <v xml:space="preserve"> </v>
      </c>
      <c r="AM21" s="50" t="str">
        <f>+IF(T21=0," ",+WORKDAY.INTL(+VLOOKUP(AM$1,POSTE!$B:$G,3,FALSE),+CUM!AD20/+VLOOKUP(AM$1,POSTE!$B:$H,7,FALSE),,CONGÉ!$C$2:$C$80))</f>
        <v xml:space="preserve"> </v>
      </c>
      <c r="AN21" s="50" t="str">
        <f>+IF(U21=0," ",+WORKDAY.INTL(+VLOOKUP(AN$1,POSTE!$B:$G,3,FALSE),+CUM!AE20/+VLOOKUP(AN$1,POSTE!$B:$H,7,FALSE),,CONGÉ!$C$2:$C$80))</f>
        <v xml:space="preserve"> </v>
      </c>
      <c r="AO21" s="50" t="str">
        <f>+IF(V21=0," ",+WORKDAY.INTL(+VLOOKUP(AO$1,POSTE!$B:$G,3,FALSE),+CUM!AF20/+VLOOKUP(AO$1,POSTE!$B:$H,7,FALSE),,CONGÉ!$C$2:$C$80))</f>
        <v xml:space="preserve"> </v>
      </c>
      <c r="AP21" s="50" t="str">
        <f>+IF(W21=0," ",+WORKDAY.INTL(+VLOOKUP(AP$1,POSTE!$B:$G,3,FALSE),+CUM!AG20/+VLOOKUP(AP$1,POSTE!$B:$H,7,FALSE),,CONGÉ!$C$2:$C$80))</f>
        <v xml:space="preserve"> </v>
      </c>
      <c r="AQ21" s="50" t="str">
        <f>+IF(X21=0," ",+WORKDAY.INTL(+VLOOKUP(AQ$1,POSTE!$B:$G,3,FALSE),+CUM!AH20/+VLOOKUP(AQ$1,POSTE!$B:$H,7,FALSE),,CONGÉ!$C$2:$C$80))</f>
        <v xml:space="preserve"> </v>
      </c>
      <c r="AR21" s="71" t="str">
        <f>+IF(Y21=0," ",+WORKDAY.INTL(+VLOOKUP(AR$1,POSTE!$B:$G,3,FALSE),+CUM!AI20/+VLOOKUP(AR$1,POSTE!$B:$H,7,FALSE),,CONGÉ!$C$2:$C$80))</f>
        <v xml:space="preserve"> </v>
      </c>
      <c r="AS21" s="72" t="str">
        <f>+IF(Q21=0," ",+WORKDAY.INTL(+VLOOKUP(AS$1,POSTE!$B:$G,3,FALSE),+CUM!AA21/+VLOOKUP(AS$1,POSTE!$B:$H,7,FALSE),,CONGÉ!$C$2:$C$80))</f>
        <v xml:space="preserve"> </v>
      </c>
      <c r="AT21" s="73" t="str">
        <f>+IF(R21=0," ",+WORKDAY.INTL(+VLOOKUP(AT$1,POSTE!$B:$G,3,FALSE),+CUM!AB21/+VLOOKUP(AT$1,POSTE!$B:$H,7,FALSE),,CONGÉ!$C$2:$C$80))</f>
        <v xml:space="preserve"> </v>
      </c>
      <c r="AU21" s="73" t="str">
        <f>+IF(AND(S21=0,T21=0)," ",+WORKDAY.INTL(+VLOOKUP($AS$1,POSTE!B:J,3,FALSE),+(((AC21*POSTE!$H$5)+(CUM!AD21*POSTE!$H$4))/(POSTE!$H$4*POSTE!$H$5*2)),,CONGÉ!$C$2:$C$80))</f>
        <v xml:space="preserve"> </v>
      </c>
      <c r="AV21" s="73" t="str">
        <f>+IF(U21=0," ",+WORKDAY.INTL(+VLOOKUP(AV$1,POSTE!$B:$G,3,FALSE),+CUM!AE21/+VLOOKUP(AV$1,POSTE!$B:$H,7,FALSE),,CONGÉ!$C$2:$C$80))</f>
        <v xml:space="preserve"> </v>
      </c>
      <c r="AW21" s="73" t="str">
        <f>+IF(V21=0," ",+WORKDAY.INTL(+VLOOKUP(AW$1,POSTE!$B:$G,3,FALSE),+CUM!AF21/+VLOOKUP(AW$1,POSTE!$B:$H,7,FALSE),,CONGÉ!$C$2:$C$80))</f>
        <v xml:space="preserve"> </v>
      </c>
      <c r="AX21" s="73" t="str">
        <f>+IF(W21=0," ",+WORKDAY.INTL(+VLOOKUP(AX$1,POSTE!$B:$G,3,FALSE),+CUM!AG21/+VLOOKUP(AX$1,POSTE!$B:$H,7,FALSE),,CONGÉ!$C$2:$C$80))</f>
        <v xml:space="preserve"> </v>
      </c>
      <c r="AY21" s="73" t="str">
        <f>+IF(X21=0," ",+WORKDAY.INTL(+VLOOKUP(AY$1,POSTE!$B:$G,3,FALSE),+CUM!AH21/+VLOOKUP(AY$1,POSTE!$B:$H,7,FALSE),,CONGÉ!$C$2:$C$80))</f>
        <v xml:space="preserve"> </v>
      </c>
      <c r="AZ21" s="73" t="str">
        <f>+IF(Y21=0," ",+WORKDAY.INTL(+VLOOKUP(AZ$1,POSTE!$B:$G,3,FALSE),+CUM!AI21/+VLOOKUP(AZ$1,POSTE!$B:$H,7,FALSE),,CONGÉ!$C$2:$C$80))</f>
        <v xml:space="preserve"> </v>
      </c>
      <c r="BA21" s="73" t="str">
        <f>+IF(S21=0," ",+WORKDAY.INTL(+VLOOKUP(BA$1,POSTE!$B:$G,3,FALSE),+CUM!AC21/+VLOOKUP(BA$1,POSTE!$B:$H,7,FALSE),,CONGÉ!$C$2:$C$80))</f>
        <v xml:space="preserve"> </v>
      </c>
      <c r="BB21" s="73" t="str">
        <f>+IF(T21=0," ",+WORKDAY.INTL(+VLOOKUP(BB$1,POSTE!$B:$G,3,FALSE),+CUM!AD21/+VLOOKUP(BB$1,POSTE!$B:$H,7,FALSE),,CONGÉ!$C$2:$C$80))</f>
        <v xml:space="preserve"> </v>
      </c>
      <c r="BC21" s="70" t="str">
        <f t="shared" si="13"/>
        <v xml:space="preserve"> </v>
      </c>
      <c r="BD21" s="70" t="str">
        <f t="shared" si="14"/>
        <v xml:space="preserve"> </v>
      </c>
      <c r="BE21" s="129">
        <f>+IF($F21="oui",+VLOOKUP($A21,DATA!$A:$AH,DATA!$AH$3,FALSE),0)</f>
        <v>0</v>
      </c>
      <c r="BF21" s="129">
        <f t="shared" si="15"/>
        <v>614.66666666666674</v>
      </c>
      <c r="BG21" s="136" t="str">
        <f>+IF(BE21&gt;0,+MAX((BH$4:BH20),BD21),"")</f>
        <v/>
      </c>
      <c r="BH21" s="136" t="str">
        <f>+IF(BE21&gt;0,+MAX((BH$4:BH20),+WORKDAY.INTL(BG21,+BE21/8,,CONGÉ!$C$2:$C$73)),"")</f>
        <v/>
      </c>
      <c r="BI21" s="136" t="str">
        <f t="shared" si="16"/>
        <v xml:space="preserve"> </v>
      </c>
      <c r="BJ21" s="43">
        <f t="shared" si="11"/>
        <v>224157</v>
      </c>
      <c r="BK21" s="77">
        <f t="shared" ca="1" si="17"/>
        <v>45754</v>
      </c>
      <c r="BL21" s="78">
        <f>+(((AC21*POSTE!$H$5)+(CUM!AD21*POSTE!$H$4))/(POSTE!$H$4*POSTE!$H$5*2))</f>
        <v>18.506197916666668</v>
      </c>
      <c r="BM21" s="90">
        <f ca="1">+WORKDAY.INTL(BK21,BL21,,CONGÉ!C$4:C$72)</f>
        <v>45778</v>
      </c>
      <c r="BN21" s="78" t="e">
        <f t="shared" ca="1" si="18"/>
        <v>#VALUE!</v>
      </c>
    </row>
    <row r="22" spans="1:66" x14ac:dyDescent="0.25">
      <c r="A22" s="49">
        <f t="shared" si="19"/>
        <v>18</v>
      </c>
      <c r="B22" s="185" cm="1">
        <f t="array" ref="B22">_xlfn.LET(_xlpm.CORR,IF(DATA!$B$4:$B$104="",IF(DATA!$A$4:$A$104="","--",DATA!$A$4:$A$104),DATA!$B$4:$B$104),_xlpm.Rx,SMALL(_xlpm.CORR,A22),IFERROR(MATCH(_xlpm.Rx,_xlpm.CORR,0),0))</f>
        <v>0</v>
      </c>
      <c r="C22" s="195" t="str" cm="1">
        <f t="array" ref="C22">IF($B22=0,"",INDEX(Données,$B22,C$3))</f>
        <v/>
      </c>
      <c r="D22" s="196" t="str" cm="1">
        <f t="array" ref="D22">IF($B22=0,"",INDEX(Données,$B22,D$3))</f>
        <v/>
      </c>
      <c r="E22" s="197" t="str" cm="1">
        <f t="array" ref="E22">IF($B22=0,"",INDEX(Données,$B22,E$3))</f>
        <v/>
      </c>
      <c r="F22" s="198" t="str" cm="1">
        <f t="array" ref="F22">IF($B22=0,"",INDEX(Données,$B22,F$3))</f>
        <v/>
      </c>
      <c r="G22" s="43">
        <f>+IF($F22="oui",+VLOOKUP($A22,DATA!$A:$AG,DATA!$P$3,FALSE),0)</f>
        <v>0</v>
      </c>
      <c r="H22" s="44">
        <f>+IF($F22="oui",+VLOOKUP($A22,DATA!$A:$AG,DATA!$R$3,FALSE),0)</f>
        <v>0</v>
      </c>
      <c r="I22" s="44">
        <f>+IF($F22="oui",+VLOOKUP($A22,DATA!$A:$AG,DATA!$T$3,FALSE),0)</f>
        <v>0</v>
      </c>
      <c r="J22" s="44">
        <f>+IF($F22="oui",+VLOOKUP($A22,DATA!$A:$AG,DATA!$V$3,FALSE),0)</f>
        <v>0</v>
      </c>
      <c r="K22" s="44">
        <f>+IF($F22="oui",+VLOOKUP($A22,DATA!$A:$AG,DATA!$X$3,FALSE),0)</f>
        <v>0</v>
      </c>
      <c r="L22" s="44">
        <f>+IF($F22="oui",+VLOOKUP($A22,DATA!$A:$AG,DATA!$Z$3,FALSE),0)</f>
        <v>0</v>
      </c>
      <c r="M22" s="44">
        <f>+IF($F22="oui",+VLOOKUP($A22,DATA!$A:$AG,DATA!$AB$3,FALSE),0)</f>
        <v>0</v>
      </c>
      <c r="N22" s="44">
        <f>+IF($F22="oui",+VLOOKUP($A22,DATA!$A:$AG,DATA!$AD$3,FALSE),0)</f>
        <v>0</v>
      </c>
      <c r="O22" s="45">
        <f>+IF($F22="oui",+VLOOKUP($A22,DATA!$A:$AG,DATA!$AF$3,FALSE),0)</f>
        <v>0</v>
      </c>
      <c r="P22" s="116">
        <f t="shared" si="12"/>
        <v>0</v>
      </c>
      <c r="Q22" s="21">
        <f>+IF($F22="oui",+VLOOKUP($A22,DATA!$A:$AG,DATA!$Q$3,FALSE),0)</f>
        <v>0</v>
      </c>
      <c r="R22" s="22">
        <f>+IF($F22="oui",+VLOOKUP($A22,DATA!$A:$AG,DATA!$S$3,FALSE),0)</f>
        <v>0</v>
      </c>
      <c r="S22" s="22">
        <f>+IF($F22="oui",+VLOOKUP($A22,DATA!$A:$AG,DATA!$U$3,FALSE),0)</f>
        <v>0</v>
      </c>
      <c r="T22" s="22">
        <f>+IF($F22="oui",+VLOOKUP($A22,DATA!$A:$AG,DATA!$W$3,FALSE),0)</f>
        <v>0</v>
      </c>
      <c r="U22" s="22">
        <f>+IF($F22="oui",+VLOOKUP($A22,DATA!$A:$AG,DATA!$Y$3,FALSE),0)</f>
        <v>0</v>
      </c>
      <c r="V22" s="22">
        <f>+IF($F22="oui",+VLOOKUP($A22,DATA!$A:$AG,DATA!$AA$3,FALSE),0)</f>
        <v>0</v>
      </c>
      <c r="W22" s="22">
        <f>+IF($F22="oui",+VLOOKUP($A22,DATA!$A:$AG,DATA!$AC$3,FALSE),0)</f>
        <v>0</v>
      </c>
      <c r="X22" s="22">
        <f>+IF($F22="oui",+VLOOKUP($A22,DATA!$A:$AG,DATA!$AE$3,FALSE),0)</f>
        <v>0</v>
      </c>
      <c r="Y22" s="23">
        <f>+IF($F22="oui",+VLOOKUP($A22,DATA!$A:$AG,DATA!$AG$3,FALSE),0)</f>
        <v>0</v>
      </c>
      <c r="Z22" s="118">
        <f t="shared" si="1"/>
        <v>0</v>
      </c>
      <c r="AA22" s="43">
        <f t="shared" si="2"/>
        <v>48445</v>
      </c>
      <c r="AB22" s="44">
        <f t="shared" si="3"/>
        <v>216477</v>
      </c>
      <c r="AC22" s="44">
        <f t="shared" si="4"/>
        <v>185990</v>
      </c>
      <c r="AD22" s="44">
        <f t="shared" si="5"/>
        <v>38167</v>
      </c>
      <c r="AE22" s="44">
        <f t="shared" si="6"/>
        <v>38898</v>
      </c>
      <c r="AF22" s="44">
        <f t="shared" si="7"/>
        <v>25684</v>
      </c>
      <c r="AG22" s="44">
        <f t="shared" si="8"/>
        <v>0</v>
      </c>
      <c r="AH22" s="44">
        <f t="shared" si="9"/>
        <v>14613</v>
      </c>
      <c r="AI22" s="45">
        <f t="shared" si="10"/>
        <v>1489</v>
      </c>
      <c r="AJ22" s="70" t="str">
        <f>+IF(Q22=0," ",+WORKDAY.INTL(+VLOOKUP(AJ$1,POSTE!$B:$G,3,FALSE),+CUM!AA21/+VLOOKUP(AJ$1,POSTE!$B:$H,7,FALSE),,CONGÉ!$C$2:$C$80))</f>
        <v xml:space="preserve"> </v>
      </c>
      <c r="AK22" s="50" t="str">
        <f>+IF(R22=0," ",+WORKDAY.INTL(+VLOOKUP(AK$1,POSTE!$B:$G,3,FALSE),+CUM!AB21/+VLOOKUP(AK$1,POSTE!$B:$H,7,FALSE),,CONGÉ!$C$2:$C$80))</f>
        <v xml:space="preserve"> </v>
      </c>
      <c r="AL22" s="50" t="str">
        <f>+IF(S22=0," ",+WORKDAY.INTL(+VLOOKUP(AL$1,POSTE!$B:$G,3,FALSE),+CUM!AC21/+VLOOKUP(AL$1,POSTE!$B:$H,7,FALSE),,CONGÉ!$C$2:$C$80))</f>
        <v xml:space="preserve"> </v>
      </c>
      <c r="AM22" s="50" t="str">
        <f>+IF(T22=0," ",+WORKDAY.INTL(+VLOOKUP(AM$1,POSTE!$B:$G,3,FALSE),+CUM!AD21/+VLOOKUP(AM$1,POSTE!$B:$H,7,FALSE),,CONGÉ!$C$2:$C$80))</f>
        <v xml:space="preserve"> </v>
      </c>
      <c r="AN22" s="50" t="str">
        <f>+IF(U22=0," ",+WORKDAY.INTL(+VLOOKUP(AN$1,POSTE!$B:$G,3,FALSE),+CUM!AE21/+VLOOKUP(AN$1,POSTE!$B:$H,7,FALSE),,CONGÉ!$C$2:$C$80))</f>
        <v xml:space="preserve"> </v>
      </c>
      <c r="AO22" s="50" t="str">
        <f>+IF(V22=0," ",+WORKDAY.INTL(+VLOOKUP(AO$1,POSTE!$B:$G,3,FALSE),+CUM!AF21/+VLOOKUP(AO$1,POSTE!$B:$H,7,FALSE),,CONGÉ!$C$2:$C$80))</f>
        <v xml:space="preserve"> </v>
      </c>
      <c r="AP22" s="50" t="str">
        <f>+IF(W22=0," ",+WORKDAY.INTL(+VLOOKUP(AP$1,POSTE!$B:$G,3,FALSE),+CUM!AG21/+VLOOKUP(AP$1,POSTE!$B:$H,7,FALSE),,CONGÉ!$C$2:$C$80))</f>
        <v xml:space="preserve"> </v>
      </c>
      <c r="AQ22" s="50" t="str">
        <f>+IF(X22=0," ",+WORKDAY.INTL(+VLOOKUP(AQ$1,POSTE!$B:$G,3,FALSE),+CUM!AH21/+VLOOKUP(AQ$1,POSTE!$B:$H,7,FALSE),,CONGÉ!$C$2:$C$80))</f>
        <v xml:space="preserve"> </v>
      </c>
      <c r="AR22" s="71" t="str">
        <f>+IF(Y22=0," ",+WORKDAY.INTL(+VLOOKUP(AR$1,POSTE!$B:$G,3,FALSE),+CUM!AI21/+VLOOKUP(AR$1,POSTE!$B:$H,7,FALSE),,CONGÉ!$C$2:$C$80))</f>
        <v xml:space="preserve"> </v>
      </c>
      <c r="AS22" s="72" t="str">
        <f>+IF(Q22=0," ",+WORKDAY.INTL(+VLOOKUP(AS$1,POSTE!$B:$G,3,FALSE),+CUM!AA22/+VLOOKUP(AS$1,POSTE!$B:$H,7,FALSE),,CONGÉ!$C$2:$C$80))</f>
        <v xml:space="preserve"> </v>
      </c>
      <c r="AT22" s="73" t="str">
        <f>+IF(R22=0," ",+WORKDAY.INTL(+VLOOKUP(AT$1,POSTE!$B:$G,3,FALSE),+CUM!AB22/+VLOOKUP(AT$1,POSTE!$B:$H,7,FALSE),,CONGÉ!$C$2:$C$80))</f>
        <v xml:space="preserve"> </v>
      </c>
      <c r="AU22" s="73" t="str">
        <f>+IF(AND(S22=0,T22=0)," ",+WORKDAY.INTL(+VLOOKUP($AS$1,POSTE!B:J,3,FALSE),+(((AC22*POSTE!$H$5)+(CUM!AD22*POSTE!$H$4))/(POSTE!$H$4*POSTE!$H$5*2)),,CONGÉ!$C$2:$C$80))</f>
        <v xml:space="preserve"> </v>
      </c>
      <c r="AV22" s="73" t="str">
        <f>+IF(U22=0," ",+WORKDAY.INTL(+VLOOKUP(AV$1,POSTE!$B:$G,3,FALSE),+CUM!AE22/+VLOOKUP(AV$1,POSTE!$B:$H,7,FALSE),,CONGÉ!$C$2:$C$80))</f>
        <v xml:space="preserve"> </v>
      </c>
      <c r="AW22" s="73" t="str">
        <f>+IF(V22=0," ",+WORKDAY.INTL(+VLOOKUP(AW$1,POSTE!$B:$G,3,FALSE),+CUM!AF22/+VLOOKUP(AW$1,POSTE!$B:$H,7,FALSE),,CONGÉ!$C$2:$C$80))</f>
        <v xml:space="preserve"> </v>
      </c>
      <c r="AX22" s="73" t="str">
        <f>+IF(W22=0," ",+WORKDAY.INTL(+VLOOKUP(AX$1,POSTE!$B:$G,3,FALSE),+CUM!AG22/+VLOOKUP(AX$1,POSTE!$B:$H,7,FALSE),,CONGÉ!$C$2:$C$80))</f>
        <v xml:space="preserve"> </v>
      </c>
      <c r="AY22" s="73" t="str">
        <f>+IF(X22=0," ",+WORKDAY.INTL(+VLOOKUP(AY$1,POSTE!$B:$G,3,FALSE),+CUM!AH22/+VLOOKUP(AY$1,POSTE!$B:$H,7,FALSE),,CONGÉ!$C$2:$C$80))</f>
        <v xml:space="preserve"> </v>
      </c>
      <c r="AZ22" s="73" t="str">
        <f>+IF(Y22=0," ",+WORKDAY.INTL(+VLOOKUP(AZ$1,POSTE!$B:$G,3,FALSE),+CUM!AI22/+VLOOKUP(AZ$1,POSTE!$B:$H,7,FALSE),,CONGÉ!$C$2:$C$80))</f>
        <v xml:space="preserve"> </v>
      </c>
      <c r="BA22" s="73" t="str">
        <f>+IF(S22=0," ",+WORKDAY.INTL(+VLOOKUP(BA$1,POSTE!$B:$G,3,FALSE),+CUM!AC22/+VLOOKUP(BA$1,POSTE!$B:$H,7,FALSE),,CONGÉ!$C$2:$C$80))</f>
        <v xml:space="preserve"> </v>
      </c>
      <c r="BB22" s="73" t="str">
        <f>+IF(T22=0," ",+WORKDAY.INTL(+VLOOKUP(BB$1,POSTE!$B:$G,3,FALSE),+CUM!AD22/+VLOOKUP(BB$1,POSTE!$B:$H,7,FALSE),,CONGÉ!$C$2:$C$80))</f>
        <v xml:space="preserve"> </v>
      </c>
      <c r="BC22" s="70" t="str">
        <f t="shared" si="13"/>
        <v xml:space="preserve"> </v>
      </c>
      <c r="BD22" s="70" t="str">
        <f t="shared" si="14"/>
        <v xml:space="preserve"> </v>
      </c>
      <c r="BE22" s="129">
        <f>+IF($F22="oui",+VLOOKUP($A22,DATA!$A:$AH,DATA!$AH$3,FALSE),0)</f>
        <v>0</v>
      </c>
      <c r="BF22" s="129">
        <f t="shared" si="15"/>
        <v>614.66666666666674</v>
      </c>
      <c r="BG22" s="136" t="str">
        <f>+IF(BE22&gt;0,+MAX((BH$4:BH21),BD22),"")</f>
        <v/>
      </c>
      <c r="BH22" s="136" t="str">
        <f>+IF(BE22&gt;0,+MAX((BH$4:BH21),+WORKDAY.INTL(BG22,+BE22/8,,CONGÉ!$C$2:$C$73)),"")</f>
        <v/>
      </c>
      <c r="BI22" s="136" t="str">
        <f t="shared" si="16"/>
        <v xml:space="preserve"> </v>
      </c>
      <c r="BJ22" s="43">
        <f t="shared" si="11"/>
        <v>224157</v>
      </c>
      <c r="BK22" s="77">
        <f t="shared" ca="1" si="17"/>
        <v>45754</v>
      </c>
      <c r="BL22" s="78">
        <f>+(((AC22*POSTE!$H$5)+(CUM!AD22*POSTE!$H$4))/(POSTE!$H$4*POSTE!$H$5*2))</f>
        <v>18.506197916666668</v>
      </c>
      <c r="BM22" s="90">
        <f ca="1">+WORKDAY.INTL(BK22,BL22,,CONGÉ!C$4:C$72)</f>
        <v>45778</v>
      </c>
      <c r="BN22" s="78" t="e">
        <f t="shared" ca="1" si="18"/>
        <v>#VALUE!</v>
      </c>
    </row>
    <row r="23" spans="1:66" x14ac:dyDescent="0.25">
      <c r="A23" s="49">
        <f t="shared" si="19"/>
        <v>19</v>
      </c>
      <c r="B23" s="185" cm="1">
        <f t="array" ref="B23">_xlfn.LET(_xlpm.CORR,IF(DATA!$B$4:$B$104="",IF(DATA!$A$4:$A$104="","--",DATA!$A$4:$A$104),DATA!$B$4:$B$104),_xlpm.Rx,SMALL(_xlpm.CORR,A23),IFERROR(MATCH(_xlpm.Rx,_xlpm.CORR,0),0))</f>
        <v>0</v>
      </c>
      <c r="C23" s="195" t="str" cm="1">
        <f t="array" ref="C23">IF($B23=0,"",INDEX(Données,$B23,C$3))</f>
        <v/>
      </c>
      <c r="D23" s="196" t="str" cm="1">
        <f t="array" ref="D23">IF($B23=0,"",INDEX(Données,$B23,D$3))</f>
        <v/>
      </c>
      <c r="E23" s="197" t="str" cm="1">
        <f t="array" ref="E23">IF($B23=0,"",INDEX(Données,$B23,E$3))</f>
        <v/>
      </c>
      <c r="F23" s="198" t="str" cm="1">
        <f t="array" ref="F23">IF($B23=0,"",INDEX(Données,$B23,F$3))</f>
        <v/>
      </c>
      <c r="G23" s="43">
        <f>+IF($F23="oui",+VLOOKUP($A23,DATA!$A:$AG,DATA!$P$3,FALSE),0)</f>
        <v>0</v>
      </c>
      <c r="H23" s="44">
        <f>+IF($F23="oui",+VLOOKUP($A23,DATA!$A:$AG,DATA!$R$3,FALSE),0)</f>
        <v>0</v>
      </c>
      <c r="I23" s="44">
        <f>+IF($F23="oui",+VLOOKUP($A23,DATA!$A:$AG,DATA!$T$3,FALSE),0)</f>
        <v>0</v>
      </c>
      <c r="J23" s="44">
        <f>+IF($F23="oui",+VLOOKUP($A23,DATA!$A:$AG,DATA!$V$3,FALSE),0)</f>
        <v>0</v>
      </c>
      <c r="K23" s="44">
        <f>+IF($F23="oui",+VLOOKUP($A23,DATA!$A:$AG,DATA!$X$3,FALSE),0)</f>
        <v>0</v>
      </c>
      <c r="L23" s="44">
        <f>+IF($F23="oui",+VLOOKUP($A23,DATA!$A:$AG,DATA!$Z$3,FALSE),0)</f>
        <v>0</v>
      </c>
      <c r="M23" s="44">
        <f>+IF($F23="oui",+VLOOKUP($A23,DATA!$A:$AG,DATA!$AB$3,FALSE),0)</f>
        <v>0</v>
      </c>
      <c r="N23" s="44">
        <f>+IF($F23="oui",+VLOOKUP($A23,DATA!$A:$AG,DATA!$AD$3,FALSE),0)</f>
        <v>0</v>
      </c>
      <c r="O23" s="45">
        <f>+IF($F23="oui",+VLOOKUP($A23,DATA!$A:$AG,DATA!$AF$3,FALSE),0)</f>
        <v>0</v>
      </c>
      <c r="P23" s="116">
        <f t="shared" si="12"/>
        <v>0</v>
      </c>
      <c r="Q23" s="21">
        <f>+IF($F23="oui",+VLOOKUP($A23,DATA!$A:$AG,DATA!$Q$3,FALSE),0)</f>
        <v>0</v>
      </c>
      <c r="R23" s="22">
        <f>+IF($F23="oui",+VLOOKUP($A23,DATA!$A:$AG,DATA!$S$3,FALSE),0)</f>
        <v>0</v>
      </c>
      <c r="S23" s="22">
        <f>+IF($F23="oui",+VLOOKUP($A23,DATA!$A:$AG,DATA!$U$3,FALSE),0)</f>
        <v>0</v>
      </c>
      <c r="T23" s="22">
        <f>+IF($F23="oui",+VLOOKUP($A23,DATA!$A:$AG,DATA!$W$3,FALSE),0)</f>
        <v>0</v>
      </c>
      <c r="U23" s="22">
        <f>+IF($F23="oui",+VLOOKUP($A23,DATA!$A:$AG,DATA!$Y$3,FALSE),0)</f>
        <v>0</v>
      </c>
      <c r="V23" s="22">
        <f>+IF($F23="oui",+VLOOKUP($A23,DATA!$A:$AG,DATA!$AA$3,FALSE),0)</f>
        <v>0</v>
      </c>
      <c r="W23" s="22">
        <f>+IF($F23="oui",+VLOOKUP($A23,DATA!$A:$AG,DATA!$AC$3,FALSE),0)</f>
        <v>0</v>
      </c>
      <c r="X23" s="22">
        <f>+IF($F23="oui",+VLOOKUP($A23,DATA!$A:$AG,DATA!$AE$3,FALSE),0)</f>
        <v>0</v>
      </c>
      <c r="Y23" s="23">
        <f>+IF($F23="oui",+VLOOKUP($A23,DATA!$A:$AG,DATA!$AG$3,FALSE),0)</f>
        <v>0</v>
      </c>
      <c r="Z23" s="118">
        <f t="shared" si="1"/>
        <v>0</v>
      </c>
      <c r="AA23" s="43">
        <f t="shared" si="2"/>
        <v>48445</v>
      </c>
      <c r="AB23" s="44">
        <f t="shared" si="3"/>
        <v>216477</v>
      </c>
      <c r="AC23" s="44">
        <f t="shared" si="4"/>
        <v>185990</v>
      </c>
      <c r="AD23" s="44">
        <f t="shared" si="5"/>
        <v>38167</v>
      </c>
      <c r="AE23" s="44">
        <f t="shared" si="6"/>
        <v>38898</v>
      </c>
      <c r="AF23" s="44">
        <f t="shared" si="7"/>
        <v>25684</v>
      </c>
      <c r="AG23" s="44">
        <f t="shared" si="8"/>
        <v>0</v>
      </c>
      <c r="AH23" s="44">
        <f t="shared" si="9"/>
        <v>14613</v>
      </c>
      <c r="AI23" s="45">
        <f t="shared" si="10"/>
        <v>1489</v>
      </c>
      <c r="AJ23" s="70" t="str">
        <f>+IF(Q23=0," ",+WORKDAY.INTL(+VLOOKUP(AJ$1,POSTE!$B:$G,3,FALSE),+CUM!AA22/+VLOOKUP(AJ$1,POSTE!$B:$H,7,FALSE),,CONGÉ!$C$2:$C$80))</f>
        <v xml:space="preserve"> </v>
      </c>
      <c r="AK23" s="50" t="str">
        <f>+IF(R23=0," ",+WORKDAY.INTL(+VLOOKUP(AK$1,POSTE!$B:$G,3,FALSE),+CUM!AB22/+VLOOKUP(AK$1,POSTE!$B:$H,7,FALSE),,CONGÉ!$C$2:$C$80))</f>
        <v xml:space="preserve"> </v>
      </c>
      <c r="AL23" s="50" t="str">
        <f>+IF(S23=0," ",+WORKDAY.INTL(+VLOOKUP(AL$1,POSTE!$B:$G,3,FALSE),+CUM!AC22/+VLOOKUP(AL$1,POSTE!$B:$H,7,FALSE),,CONGÉ!$C$2:$C$80))</f>
        <v xml:space="preserve"> </v>
      </c>
      <c r="AM23" s="50" t="str">
        <f>+IF(T23=0," ",+WORKDAY.INTL(+VLOOKUP(AM$1,POSTE!$B:$G,3,FALSE),+CUM!AD22/+VLOOKUP(AM$1,POSTE!$B:$H,7,FALSE),,CONGÉ!$C$2:$C$80))</f>
        <v xml:space="preserve"> </v>
      </c>
      <c r="AN23" s="50" t="str">
        <f>+IF(U23=0," ",+WORKDAY.INTL(+VLOOKUP(AN$1,POSTE!$B:$G,3,FALSE),+CUM!AE22/+VLOOKUP(AN$1,POSTE!$B:$H,7,FALSE),,CONGÉ!$C$2:$C$80))</f>
        <v xml:space="preserve"> </v>
      </c>
      <c r="AO23" s="50" t="str">
        <f>+IF(V23=0," ",+WORKDAY.INTL(+VLOOKUP(AO$1,POSTE!$B:$G,3,FALSE),+CUM!AF22/+VLOOKUP(AO$1,POSTE!$B:$H,7,FALSE),,CONGÉ!$C$2:$C$80))</f>
        <v xml:space="preserve"> </v>
      </c>
      <c r="AP23" s="50" t="str">
        <f>+IF(W23=0," ",+WORKDAY.INTL(+VLOOKUP(AP$1,POSTE!$B:$G,3,FALSE),+CUM!AG22/+VLOOKUP(AP$1,POSTE!$B:$H,7,FALSE),,CONGÉ!$C$2:$C$80))</f>
        <v xml:space="preserve"> </v>
      </c>
      <c r="AQ23" s="50" t="str">
        <f>+IF(X23=0," ",+WORKDAY.INTL(+VLOOKUP(AQ$1,POSTE!$B:$G,3,FALSE),+CUM!AH22/+VLOOKUP(AQ$1,POSTE!$B:$H,7,FALSE),,CONGÉ!$C$2:$C$80))</f>
        <v xml:space="preserve"> </v>
      </c>
      <c r="AR23" s="71" t="str">
        <f>+IF(Y23=0," ",+WORKDAY.INTL(+VLOOKUP(AR$1,POSTE!$B:$G,3,FALSE),+CUM!AI22/+VLOOKUP(AR$1,POSTE!$B:$H,7,FALSE),,CONGÉ!$C$2:$C$80))</f>
        <v xml:space="preserve"> </v>
      </c>
      <c r="AS23" s="72" t="str">
        <f>+IF(Q23=0," ",+WORKDAY.INTL(+VLOOKUP(AS$1,POSTE!$B:$G,3,FALSE),+CUM!AA23/+VLOOKUP(AS$1,POSTE!$B:$H,7,FALSE),,CONGÉ!$C$2:$C$80))</f>
        <v xml:space="preserve"> </v>
      </c>
      <c r="AT23" s="73" t="str">
        <f>+IF(R23=0," ",+WORKDAY.INTL(+VLOOKUP(AT$1,POSTE!$B:$G,3,FALSE),+CUM!AB23/+VLOOKUP(AT$1,POSTE!$B:$H,7,FALSE),,CONGÉ!$C$2:$C$80))</f>
        <v xml:space="preserve"> </v>
      </c>
      <c r="AU23" s="73" t="str">
        <f>+IF(AND(S23=0,T23=0)," ",+WORKDAY.INTL(+VLOOKUP($AS$1,POSTE!B:J,3,FALSE),+(((AC23*POSTE!$H$5)+(CUM!AD23*POSTE!$H$4))/(POSTE!$H$4*POSTE!$H$5*2)),,CONGÉ!$C$2:$C$80))</f>
        <v xml:space="preserve"> </v>
      </c>
      <c r="AV23" s="73" t="str">
        <f>+IF(U23=0," ",+WORKDAY.INTL(+VLOOKUP(AV$1,POSTE!$B:$G,3,FALSE),+CUM!AE23/+VLOOKUP(AV$1,POSTE!$B:$H,7,FALSE),,CONGÉ!$C$2:$C$80))</f>
        <v xml:space="preserve"> </v>
      </c>
      <c r="AW23" s="73" t="str">
        <f>+IF(V23=0," ",+WORKDAY.INTL(+VLOOKUP(AW$1,POSTE!$B:$G,3,FALSE),+CUM!AF23/+VLOOKUP(AW$1,POSTE!$B:$H,7,FALSE),,CONGÉ!$C$2:$C$80))</f>
        <v xml:space="preserve"> </v>
      </c>
      <c r="AX23" s="73" t="str">
        <f>+IF(W23=0," ",+WORKDAY.INTL(+VLOOKUP(AX$1,POSTE!$B:$G,3,FALSE),+CUM!AG23/+VLOOKUP(AX$1,POSTE!$B:$H,7,FALSE),,CONGÉ!$C$2:$C$80))</f>
        <v xml:space="preserve"> </v>
      </c>
      <c r="AY23" s="73" t="str">
        <f>+IF(X23=0," ",+WORKDAY.INTL(+VLOOKUP(AY$1,POSTE!$B:$G,3,FALSE),+CUM!AH23/+VLOOKUP(AY$1,POSTE!$B:$H,7,FALSE),,CONGÉ!$C$2:$C$80))</f>
        <v xml:space="preserve"> </v>
      </c>
      <c r="AZ23" s="73" t="str">
        <f>+IF(Y23=0," ",+WORKDAY.INTL(+VLOOKUP(AZ$1,POSTE!$B:$G,3,FALSE),+CUM!AI23/+VLOOKUP(AZ$1,POSTE!$B:$H,7,FALSE),,CONGÉ!$C$2:$C$80))</f>
        <v xml:space="preserve"> </v>
      </c>
      <c r="BA23" s="73" t="str">
        <f>+IF(S23=0," ",+WORKDAY.INTL(+VLOOKUP(BA$1,POSTE!$B:$G,3,FALSE),+CUM!AC23/+VLOOKUP(BA$1,POSTE!$B:$H,7,FALSE),,CONGÉ!$C$2:$C$80))</f>
        <v xml:space="preserve"> </v>
      </c>
      <c r="BB23" s="73" t="str">
        <f>+IF(T23=0," ",+WORKDAY.INTL(+VLOOKUP(BB$1,POSTE!$B:$G,3,FALSE),+CUM!AD23/+VLOOKUP(BB$1,POSTE!$B:$H,7,FALSE),,CONGÉ!$C$2:$C$80))</f>
        <v xml:space="preserve"> </v>
      </c>
      <c r="BC23" s="70" t="str">
        <f t="shared" si="13"/>
        <v xml:space="preserve"> </v>
      </c>
      <c r="BD23" s="70" t="str">
        <f t="shared" si="14"/>
        <v xml:space="preserve"> </v>
      </c>
      <c r="BE23" s="129">
        <f>+IF($F23="oui",+VLOOKUP($A23,DATA!$A:$AH,DATA!$AH$3,FALSE),0)</f>
        <v>0</v>
      </c>
      <c r="BF23" s="129">
        <f t="shared" si="15"/>
        <v>614.66666666666674</v>
      </c>
      <c r="BG23" s="136" t="str">
        <f>+IF(BE23&gt;0,+MAX((BH$4:BH22),BD23),"")</f>
        <v/>
      </c>
      <c r="BH23" s="136" t="str">
        <f>+IF(BE23&gt;0,+MAX((BH$4:BH22),+WORKDAY.INTL(BG23,+BE23/8,,CONGÉ!$C$2:$C$73)),"")</f>
        <v/>
      </c>
      <c r="BI23" s="136" t="str">
        <f t="shared" si="16"/>
        <v xml:space="preserve"> </v>
      </c>
      <c r="BJ23" s="43">
        <f t="shared" si="11"/>
        <v>224157</v>
      </c>
      <c r="BK23" s="77">
        <f t="shared" ca="1" si="17"/>
        <v>45754</v>
      </c>
      <c r="BL23" s="78">
        <f>+(((AC23*POSTE!$H$5)+(CUM!AD23*POSTE!$H$4))/(POSTE!$H$4*POSTE!$H$5*2))</f>
        <v>18.506197916666668</v>
      </c>
      <c r="BM23" s="90">
        <f ca="1">+WORKDAY.INTL(BK23,BL23,,CONGÉ!C$4:C$72)</f>
        <v>45778</v>
      </c>
      <c r="BN23" s="78" t="e">
        <f t="shared" ca="1" si="18"/>
        <v>#VALUE!</v>
      </c>
    </row>
    <row r="24" spans="1:66" x14ac:dyDescent="0.25">
      <c r="A24" s="49">
        <f t="shared" si="19"/>
        <v>20</v>
      </c>
      <c r="B24" s="185" cm="1">
        <f t="array" ref="B24">_xlfn.LET(_xlpm.CORR,IF(DATA!$B$4:$B$104="",IF(DATA!$A$4:$A$104="","--",DATA!$A$4:$A$104),DATA!$B$4:$B$104),_xlpm.Rx,SMALL(_xlpm.CORR,A24),IFERROR(MATCH(_xlpm.Rx,_xlpm.CORR,0),0))</f>
        <v>0</v>
      </c>
      <c r="C24" s="195" t="str" cm="1">
        <f t="array" ref="C24">IF($B24=0,"",INDEX(Données,$B24,C$3))</f>
        <v/>
      </c>
      <c r="D24" s="196" t="str" cm="1">
        <f t="array" ref="D24">IF($B24=0,"",INDEX(Données,$B24,D$3))</f>
        <v/>
      </c>
      <c r="E24" s="197" t="str" cm="1">
        <f t="array" ref="E24">IF($B24=0,"",INDEX(Données,$B24,E$3))</f>
        <v/>
      </c>
      <c r="F24" s="198" t="str" cm="1">
        <f t="array" ref="F24">IF($B24=0,"",INDEX(Données,$B24,F$3))</f>
        <v/>
      </c>
      <c r="G24" s="43">
        <f>+IF($F24="oui",+VLOOKUP($A24,DATA!$A:$AG,DATA!$P$3,FALSE),0)</f>
        <v>0</v>
      </c>
      <c r="H24" s="44">
        <f>+IF($F24="oui",+VLOOKUP($A24,DATA!$A:$AG,DATA!$R$3,FALSE),0)</f>
        <v>0</v>
      </c>
      <c r="I24" s="44">
        <f>+IF($F24="oui",+VLOOKUP($A24,DATA!$A:$AG,DATA!$T$3,FALSE),0)</f>
        <v>0</v>
      </c>
      <c r="J24" s="44">
        <f>+IF($F24="oui",+VLOOKUP($A24,DATA!$A:$AG,DATA!$V$3,FALSE),0)</f>
        <v>0</v>
      </c>
      <c r="K24" s="44">
        <f>+IF($F24="oui",+VLOOKUP($A24,DATA!$A:$AG,DATA!$X$3,FALSE),0)</f>
        <v>0</v>
      </c>
      <c r="L24" s="44">
        <f>+IF($F24="oui",+VLOOKUP($A24,DATA!$A:$AG,DATA!$Z$3,FALSE),0)</f>
        <v>0</v>
      </c>
      <c r="M24" s="44">
        <f>+IF($F24="oui",+VLOOKUP($A24,DATA!$A:$AG,DATA!$AB$3,FALSE),0)</f>
        <v>0</v>
      </c>
      <c r="N24" s="44">
        <f>+IF($F24="oui",+VLOOKUP($A24,DATA!$A:$AG,DATA!$AD$3,FALSE),0)</f>
        <v>0</v>
      </c>
      <c r="O24" s="45">
        <f>+IF($F24="oui",+VLOOKUP($A24,DATA!$A:$AG,DATA!$AF$3,FALSE),0)</f>
        <v>0</v>
      </c>
      <c r="P24" s="116">
        <f t="shared" si="12"/>
        <v>0</v>
      </c>
      <c r="Q24" s="21">
        <f>+IF($F24="oui",+VLOOKUP($A24,DATA!$A:$AG,DATA!$Q$3,FALSE),0)</f>
        <v>0</v>
      </c>
      <c r="R24" s="22">
        <f>+IF($F24="oui",+VLOOKUP($A24,DATA!$A:$AG,DATA!$S$3,FALSE),0)</f>
        <v>0</v>
      </c>
      <c r="S24" s="22">
        <f>+IF($F24="oui",+VLOOKUP($A24,DATA!$A:$AG,DATA!$U$3,FALSE),0)</f>
        <v>0</v>
      </c>
      <c r="T24" s="22">
        <f>+IF($F24="oui",+VLOOKUP($A24,DATA!$A:$AG,DATA!$W$3,FALSE),0)</f>
        <v>0</v>
      </c>
      <c r="U24" s="22">
        <f>+IF($F24="oui",+VLOOKUP($A24,DATA!$A:$AG,DATA!$Y$3,FALSE),0)</f>
        <v>0</v>
      </c>
      <c r="V24" s="22">
        <f>+IF($F24="oui",+VLOOKUP($A24,DATA!$A:$AG,DATA!$AA$3,FALSE),0)</f>
        <v>0</v>
      </c>
      <c r="W24" s="22">
        <f>+IF($F24="oui",+VLOOKUP($A24,DATA!$A:$AG,DATA!$AC$3,FALSE),0)</f>
        <v>0</v>
      </c>
      <c r="X24" s="22">
        <f>+IF($F24="oui",+VLOOKUP($A24,DATA!$A:$AG,DATA!$AE$3,FALSE),0)</f>
        <v>0</v>
      </c>
      <c r="Y24" s="23">
        <f>+IF($F24="oui",+VLOOKUP($A24,DATA!$A:$AG,DATA!$AG$3,FALSE),0)</f>
        <v>0</v>
      </c>
      <c r="Z24" s="118">
        <f t="shared" si="1"/>
        <v>0</v>
      </c>
      <c r="AA24" s="43">
        <f t="shared" si="2"/>
        <v>48445</v>
      </c>
      <c r="AB24" s="44">
        <f t="shared" si="3"/>
        <v>216477</v>
      </c>
      <c r="AC24" s="44">
        <f t="shared" si="4"/>
        <v>185990</v>
      </c>
      <c r="AD24" s="44">
        <f t="shared" si="5"/>
        <v>38167</v>
      </c>
      <c r="AE24" s="44">
        <f t="shared" si="6"/>
        <v>38898</v>
      </c>
      <c r="AF24" s="44">
        <f t="shared" si="7"/>
        <v>25684</v>
      </c>
      <c r="AG24" s="44">
        <f t="shared" si="8"/>
        <v>0</v>
      </c>
      <c r="AH24" s="44">
        <f t="shared" si="9"/>
        <v>14613</v>
      </c>
      <c r="AI24" s="45">
        <f t="shared" si="10"/>
        <v>1489</v>
      </c>
      <c r="AJ24" s="70" t="str">
        <f>+IF(Q24=0," ",+WORKDAY.INTL(+VLOOKUP(AJ$1,POSTE!$B:$G,3,FALSE),+CUM!AA23/+VLOOKUP(AJ$1,POSTE!$B:$H,7,FALSE),,CONGÉ!$C$2:$C$80))</f>
        <v xml:space="preserve"> </v>
      </c>
      <c r="AK24" s="50" t="str">
        <f>+IF(R24=0," ",+WORKDAY.INTL(+VLOOKUP(AK$1,POSTE!$B:$G,3,FALSE),+CUM!AB23/+VLOOKUP(AK$1,POSTE!$B:$H,7,FALSE),,CONGÉ!$C$2:$C$80))</f>
        <v xml:space="preserve"> </v>
      </c>
      <c r="AL24" s="50" t="str">
        <f>+IF(S24=0," ",+WORKDAY.INTL(+VLOOKUP(AL$1,POSTE!$B:$G,3,FALSE),+CUM!AC23/+VLOOKUP(AL$1,POSTE!$B:$H,7,FALSE),,CONGÉ!$C$2:$C$80))</f>
        <v xml:space="preserve"> </v>
      </c>
      <c r="AM24" s="50" t="str">
        <f>+IF(T24=0," ",+WORKDAY.INTL(+VLOOKUP(AM$1,POSTE!$B:$G,3,FALSE),+CUM!AD23/+VLOOKUP(AM$1,POSTE!$B:$H,7,FALSE),,CONGÉ!$C$2:$C$80))</f>
        <v xml:space="preserve"> </v>
      </c>
      <c r="AN24" s="50" t="str">
        <f>+IF(U24=0," ",+WORKDAY.INTL(+VLOOKUP(AN$1,POSTE!$B:$G,3,FALSE),+CUM!AE23/+VLOOKUP(AN$1,POSTE!$B:$H,7,FALSE),,CONGÉ!$C$2:$C$80))</f>
        <v xml:space="preserve"> </v>
      </c>
      <c r="AO24" s="50" t="str">
        <f>+IF(V24=0," ",+WORKDAY.INTL(+VLOOKUP(AO$1,POSTE!$B:$G,3,FALSE),+CUM!AF23/+VLOOKUP(AO$1,POSTE!$B:$H,7,FALSE),,CONGÉ!$C$2:$C$80))</f>
        <v xml:space="preserve"> </v>
      </c>
      <c r="AP24" s="50" t="str">
        <f>+IF(W24=0," ",+WORKDAY.INTL(+VLOOKUP(AP$1,POSTE!$B:$G,3,FALSE),+CUM!AG23/+VLOOKUP(AP$1,POSTE!$B:$H,7,FALSE),,CONGÉ!$C$2:$C$80))</f>
        <v xml:space="preserve"> </v>
      </c>
      <c r="AQ24" s="50" t="str">
        <f>+IF(X24=0," ",+WORKDAY.INTL(+VLOOKUP(AQ$1,POSTE!$B:$G,3,FALSE),+CUM!AH23/+VLOOKUP(AQ$1,POSTE!$B:$H,7,FALSE),,CONGÉ!$C$2:$C$80))</f>
        <v xml:space="preserve"> </v>
      </c>
      <c r="AR24" s="71" t="str">
        <f>+IF(Y24=0," ",+WORKDAY.INTL(+VLOOKUP(AR$1,POSTE!$B:$G,3,FALSE),+CUM!AI23/+VLOOKUP(AR$1,POSTE!$B:$H,7,FALSE),,CONGÉ!$C$2:$C$80))</f>
        <v xml:space="preserve"> </v>
      </c>
      <c r="AS24" s="72" t="str">
        <f>+IF(Q24=0," ",+WORKDAY.INTL(+VLOOKUP(AS$1,POSTE!$B:$G,3,FALSE),+CUM!AA24/+VLOOKUP(AS$1,POSTE!$B:$H,7,FALSE),,CONGÉ!$C$2:$C$80))</f>
        <v xml:space="preserve"> </v>
      </c>
      <c r="AT24" s="73" t="str">
        <f>+IF(R24=0," ",+WORKDAY.INTL(+VLOOKUP(AT$1,POSTE!$B:$G,3,FALSE),+CUM!AB24/+VLOOKUP(AT$1,POSTE!$B:$H,7,FALSE),,CONGÉ!$C$2:$C$80))</f>
        <v xml:space="preserve"> </v>
      </c>
      <c r="AU24" s="73" t="str">
        <f>+IF(AND(S24=0,T24=0)," ",+WORKDAY.INTL(+VLOOKUP($AS$1,POSTE!B:J,3,FALSE),+(((AC24*POSTE!$H$5)+(CUM!AD24*POSTE!$H$4))/(POSTE!$H$4*POSTE!$H$5*2)),,CONGÉ!$C$2:$C$80))</f>
        <v xml:space="preserve"> </v>
      </c>
      <c r="AV24" s="73" t="str">
        <f>+IF(U24=0," ",+WORKDAY.INTL(+VLOOKUP(AV$1,POSTE!$B:$G,3,FALSE),+CUM!AE24/+VLOOKUP(AV$1,POSTE!$B:$H,7,FALSE),,CONGÉ!$C$2:$C$80))</f>
        <v xml:space="preserve"> </v>
      </c>
      <c r="AW24" s="73" t="str">
        <f>+IF(V24=0," ",+WORKDAY.INTL(+VLOOKUP(AW$1,POSTE!$B:$G,3,FALSE),+CUM!AF24/+VLOOKUP(AW$1,POSTE!$B:$H,7,FALSE),,CONGÉ!$C$2:$C$80))</f>
        <v xml:space="preserve"> </v>
      </c>
      <c r="AX24" s="73" t="str">
        <f>+IF(W24=0," ",+WORKDAY.INTL(+VLOOKUP(AX$1,POSTE!$B:$G,3,FALSE),+CUM!AG24/+VLOOKUP(AX$1,POSTE!$B:$H,7,FALSE),,CONGÉ!$C$2:$C$80))</f>
        <v xml:space="preserve"> </v>
      </c>
      <c r="AY24" s="73" t="str">
        <f>+IF(X24=0," ",+WORKDAY.INTL(+VLOOKUP(AY$1,POSTE!$B:$G,3,FALSE),+CUM!AH24/+VLOOKUP(AY$1,POSTE!$B:$H,7,FALSE),,CONGÉ!$C$2:$C$80))</f>
        <v xml:space="preserve"> </v>
      </c>
      <c r="AZ24" s="73" t="str">
        <f>+IF(Y24=0," ",+WORKDAY.INTL(+VLOOKUP(AZ$1,POSTE!$B:$G,3,FALSE),+CUM!AI24/+VLOOKUP(AZ$1,POSTE!$B:$H,7,FALSE),,CONGÉ!$C$2:$C$80))</f>
        <v xml:space="preserve"> </v>
      </c>
      <c r="BA24" s="73" t="str">
        <f>+IF(S24=0," ",+WORKDAY.INTL(+VLOOKUP(BA$1,POSTE!$B:$G,3,FALSE),+CUM!AC24/+VLOOKUP(BA$1,POSTE!$B:$H,7,FALSE),,CONGÉ!$C$2:$C$80))</f>
        <v xml:space="preserve"> </v>
      </c>
      <c r="BB24" s="73" t="str">
        <f>+IF(T24=0," ",+WORKDAY.INTL(+VLOOKUP(BB$1,POSTE!$B:$G,3,FALSE),+CUM!AD24/+VLOOKUP(BB$1,POSTE!$B:$H,7,FALSE),,CONGÉ!$C$2:$C$80))</f>
        <v xml:space="preserve"> </v>
      </c>
      <c r="BC24" s="70" t="str">
        <f t="shared" si="13"/>
        <v xml:space="preserve"> </v>
      </c>
      <c r="BD24" s="70" t="str">
        <f t="shared" si="14"/>
        <v xml:space="preserve"> </v>
      </c>
      <c r="BE24" s="129">
        <f>+IF($F24="oui",+VLOOKUP($A24,DATA!$A:$AH,DATA!$AH$3,FALSE),0)</f>
        <v>0</v>
      </c>
      <c r="BF24" s="129">
        <f t="shared" si="15"/>
        <v>614.66666666666674</v>
      </c>
      <c r="BG24" s="136" t="str">
        <f>+IF(BE24&gt;0,+MAX((BH$4:BH23),BD24),"")</f>
        <v/>
      </c>
      <c r="BH24" s="136" t="str">
        <f>+IF(BE24&gt;0,+MAX((BH$4:BH23),+WORKDAY.INTL(BG24,+BE24/8,,CONGÉ!$C$2:$C$73)),"")</f>
        <v/>
      </c>
      <c r="BI24" s="136" t="str">
        <f t="shared" si="16"/>
        <v xml:space="preserve"> </v>
      </c>
      <c r="BJ24" s="43">
        <f t="shared" si="11"/>
        <v>224157</v>
      </c>
      <c r="BK24" s="77">
        <f t="shared" ca="1" si="17"/>
        <v>45754</v>
      </c>
      <c r="BL24" s="78">
        <f>+(((AC24*POSTE!$H$5)+(CUM!AD24*POSTE!$H$4))/(POSTE!$H$4*POSTE!$H$5*2))</f>
        <v>18.506197916666668</v>
      </c>
      <c r="BM24" s="90">
        <f ca="1">+WORKDAY.INTL(BK24,BL24,,CONGÉ!C$4:C$72)</f>
        <v>45778</v>
      </c>
      <c r="BN24" s="78" t="e">
        <f t="shared" ca="1" si="18"/>
        <v>#VALUE!</v>
      </c>
    </row>
    <row r="25" spans="1:66" x14ac:dyDescent="0.25">
      <c r="A25" s="49">
        <f t="shared" si="19"/>
        <v>21</v>
      </c>
      <c r="B25" s="185" cm="1">
        <f t="array" ref="B25">_xlfn.LET(_xlpm.CORR,IF(DATA!$B$4:$B$104="",IF(DATA!$A$4:$A$104="","--",DATA!$A$4:$A$104),DATA!$B$4:$B$104),_xlpm.Rx,SMALL(_xlpm.CORR,A25),IFERROR(MATCH(_xlpm.Rx,_xlpm.CORR,0),0))</f>
        <v>0</v>
      </c>
      <c r="C25" s="195" t="str" cm="1">
        <f t="array" ref="C25">IF($B25=0,"",INDEX(Données,$B25,C$3))</f>
        <v/>
      </c>
      <c r="D25" s="196" t="str" cm="1">
        <f t="array" ref="D25">IF($B25=0,"",INDEX(Données,$B25,D$3))</f>
        <v/>
      </c>
      <c r="E25" s="197" t="str" cm="1">
        <f t="array" ref="E25">IF($B25=0,"",INDEX(Données,$B25,E$3))</f>
        <v/>
      </c>
      <c r="F25" s="198" t="str" cm="1">
        <f t="array" ref="F25">IF($B25=0,"",INDEX(Données,$B25,F$3))</f>
        <v/>
      </c>
      <c r="G25" s="43">
        <f>+IF($F25="oui",+VLOOKUP($A25,DATA!$A:$AG,DATA!$P$3,FALSE),0)</f>
        <v>0</v>
      </c>
      <c r="H25" s="44">
        <f>+IF($F25="oui",+VLOOKUP($A25,DATA!$A:$AG,DATA!$R$3,FALSE),0)</f>
        <v>0</v>
      </c>
      <c r="I25" s="44">
        <f>+IF($F25="oui",+VLOOKUP($A25,DATA!$A:$AG,DATA!$T$3,FALSE),0)</f>
        <v>0</v>
      </c>
      <c r="J25" s="44">
        <f>+IF($F25="oui",+VLOOKUP($A25,DATA!$A:$AG,DATA!$V$3,FALSE),0)</f>
        <v>0</v>
      </c>
      <c r="K25" s="44">
        <f>+IF($F25="oui",+VLOOKUP($A25,DATA!$A:$AG,DATA!$X$3,FALSE),0)</f>
        <v>0</v>
      </c>
      <c r="L25" s="44">
        <f>+IF($F25="oui",+VLOOKUP($A25,DATA!$A:$AG,DATA!$Z$3,FALSE),0)</f>
        <v>0</v>
      </c>
      <c r="M25" s="44">
        <f>+IF($F25="oui",+VLOOKUP($A25,DATA!$A:$AG,DATA!$AB$3,FALSE),0)</f>
        <v>0</v>
      </c>
      <c r="N25" s="44">
        <f>+IF($F25="oui",+VLOOKUP($A25,DATA!$A:$AG,DATA!$AD$3,FALSE),0)</f>
        <v>0</v>
      </c>
      <c r="O25" s="45">
        <f>+IF($F25="oui",+VLOOKUP($A25,DATA!$A:$AG,DATA!$AF$3,FALSE),0)</f>
        <v>0</v>
      </c>
      <c r="P25" s="116">
        <f t="shared" si="12"/>
        <v>0</v>
      </c>
      <c r="Q25" s="21">
        <f>+IF($F25="oui",+VLOOKUP($A25,DATA!$A:$AG,DATA!$Q$3,FALSE),0)</f>
        <v>0</v>
      </c>
      <c r="R25" s="22">
        <f>+IF($F25="oui",+VLOOKUP($A25,DATA!$A:$AG,DATA!$S$3,FALSE),0)</f>
        <v>0</v>
      </c>
      <c r="S25" s="22">
        <f>+IF($F25="oui",+VLOOKUP($A25,DATA!$A:$AG,DATA!$U$3,FALSE),0)</f>
        <v>0</v>
      </c>
      <c r="T25" s="22">
        <f>+IF($F25="oui",+VLOOKUP($A25,DATA!$A:$AG,DATA!$W$3,FALSE),0)</f>
        <v>0</v>
      </c>
      <c r="U25" s="22">
        <f>+IF($F25="oui",+VLOOKUP($A25,DATA!$A:$AG,DATA!$Y$3,FALSE),0)</f>
        <v>0</v>
      </c>
      <c r="V25" s="22">
        <f>+IF($F25="oui",+VLOOKUP($A25,DATA!$A:$AG,DATA!$AA$3,FALSE),0)</f>
        <v>0</v>
      </c>
      <c r="W25" s="22">
        <f>+IF($F25="oui",+VLOOKUP($A25,DATA!$A:$AG,DATA!$AC$3,FALSE),0)</f>
        <v>0</v>
      </c>
      <c r="X25" s="22">
        <f>+IF($F25="oui",+VLOOKUP($A25,DATA!$A:$AG,DATA!$AE$3,FALSE),0)</f>
        <v>0</v>
      </c>
      <c r="Y25" s="23">
        <f>+IF($F25="oui",+VLOOKUP($A25,DATA!$A:$AG,DATA!$AG$3,FALSE),0)</f>
        <v>0</v>
      </c>
      <c r="Z25" s="118">
        <f t="shared" si="1"/>
        <v>0</v>
      </c>
      <c r="AA25" s="43">
        <f t="shared" si="2"/>
        <v>48445</v>
      </c>
      <c r="AB25" s="44">
        <f t="shared" si="3"/>
        <v>216477</v>
      </c>
      <c r="AC25" s="44">
        <f t="shared" si="4"/>
        <v>185990</v>
      </c>
      <c r="AD25" s="44">
        <f t="shared" si="5"/>
        <v>38167</v>
      </c>
      <c r="AE25" s="44">
        <f t="shared" si="6"/>
        <v>38898</v>
      </c>
      <c r="AF25" s="44">
        <f t="shared" si="7"/>
        <v>25684</v>
      </c>
      <c r="AG25" s="44">
        <f t="shared" si="8"/>
        <v>0</v>
      </c>
      <c r="AH25" s="44">
        <f t="shared" si="9"/>
        <v>14613</v>
      </c>
      <c r="AI25" s="45">
        <f t="shared" si="10"/>
        <v>1489</v>
      </c>
      <c r="AJ25" s="70" t="str">
        <f>+IF(Q25=0," ",+WORKDAY.INTL(+VLOOKUP(AJ$1,POSTE!$B:$G,3,FALSE),+CUM!AA24/+VLOOKUP(AJ$1,POSTE!$B:$H,7,FALSE),,CONGÉ!$C$2:$C$80))</f>
        <v xml:space="preserve"> </v>
      </c>
      <c r="AK25" s="50" t="str">
        <f>+IF(R25=0," ",+WORKDAY.INTL(+VLOOKUP(AK$1,POSTE!$B:$G,3,FALSE),+CUM!AB24/+VLOOKUP(AK$1,POSTE!$B:$H,7,FALSE),,CONGÉ!$C$2:$C$80))</f>
        <v xml:space="preserve"> </v>
      </c>
      <c r="AL25" s="50" t="str">
        <f>+IF(S25=0," ",+WORKDAY.INTL(+VLOOKUP(AL$1,POSTE!$B:$G,3,FALSE),+CUM!AC24/+VLOOKUP(AL$1,POSTE!$B:$H,7,FALSE),,CONGÉ!$C$2:$C$80))</f>
        <v xml:space="preserve"> </v>
      </c>
      <c r="AM25" s="50" t="str">
        <f>+IF(T25=0," ",+WORKDAY.INTL(+VLOOKUP(AM$1,POSTE!$B:$G,3,FALSE),+CUM!AD24/+VLOOKUP(AM$1,POSTE!$B:$H,7,FALSE),,CONGÉ!$C$2:$C$80))</f>
        <v xml:space="preserve"> </v>
      </c>
      <c r="AN25" s="50" t="str">
        <f>+IF(U25=0," ",+WORKDAY.INTL(+VLOOKUP(AN$1,POSTE!$B:$G,3,FALSE),+CUM!AE24/+VLOOKUP(AN$1,POSTE!$B:$H,7,FALSE),,CONGÉ!$C$2:$C$80))</f>
        <v xml:space="preserve"> </v>
      </c>
      <c r="AO25" s="50" t="str">
        <f>+IF(V25=0," ",+WORKDAY.INTL(+VLOOKUP(AO$1,POSTE!$B:$G,3,FALSE),+CUM!AF24/+VLOOKUP(AO$1,POSTE!$B:$H,7,FALSE),,CONGÉ!$C$2:$C$80))</f>
        <v xml:space="preserve"> </v>
      </c>
      <c r="AP25" s="50" t="str">
        <f>+IF(W25=0," ",+WORKDAY.INTL(+VLOOKUP(AP$1,POSTE!$B:$G,3,FALSE),+CUM!AG24/+VLOOKUP(AP$1,POSTE!$B:$H,7,FALSE),,CONGÉ!$C$2:$C$80))</f>
        <v xml:space="preserve"> </v>
      </c>
      <c r="AQ25" s="50" t="str">
        <f>+IF(X25=0," ",+WORKDAY.INTL(+VLOOKUP(AQ$1,POSTE!$B:$G,3,FALSE),+CUM!AH24/+VLOOKUP(AQ$1,POSTE!$B:$H,7,FALSE),,CONGÉ!$C$2:$C$80))</f>
        <v xml:space="preserve"> </v>
      </c>
      <c r="AR25" s="71" t="str">
        <f>+IF(Y25=0," ",+WORKDAY.INTL(+VLOOKUP(AR$1,POSTE!$B:$G,3,FALSE),+CUM!AI24/+VLOOKUP(AR$1,POSTE!$B:$H,7,FALSE),,CONGÉ!$C$2:$C$80))</f>
        <v xml:space="preserve"> </v>
      </c>
      <c r="AS25" s="72" t="str">
        <f>+IF(Q25=0," ",+WORKDAY.INTL(+VLOOKUP(AS$1,POSTE!$B:$G,3,FALSE),+CUM!AA25/+VLOOKUP(AS$1,POSTE!$B:$H,7,FALSE),,CONGÉ!$C$2:$C$80))</f>
        <v xml:space="preserve"> </v>
      </c>
      <c r="AT25" s="73" t="str">
        <f>+IF(R25=0," ",+WORKDAY.INTL(+VLOOKUP(AT$1,POSTE!$B:$G,3,FALSE),+CUM!AB25/+VLOOKUP(AT$1,POSTE!$B:$H,7,FALSE),,CONGÉ!$C$2:$C$80))</f>
        <v xml:space="preserve"> </v>
      </c>
      <c r="AU25" s="73" t="str">
        <f>+IF(AND(S25=0,T25=0)," ",+WORKDAY.INTL(+VLOOKUP($AS$1,POSTE!B:J,3,FALSE),+(((AC25*POSTE!$H$5)+(CUM!AD25*POSTE!$H$4))/(POSTE!$H$4*POSTE!$H$5*2)),,CONGÉ!$C$2:$C$80))</f>
        <v xml:space="preserve"> </v>
      </c>
      <c r="AV25" s="73" t="str">
        <f>+IF(U25=0," ",+WORKDAY.INTL(+VLOOKUP(AV$1,POSTE!$B:$G,3,FALSE),+CUM!AE25/+VLOOKUP(AV$1,POSTE!$B:$H,7,FALSE),,CONGÉ!$C$2:$C$80))</f>
        <v xml:space="preserve"> </v>
      </c>
      <c r="AW25" s="73" t="str">
        <f>+IF(V25=0," ",+WORKDAY.INTL(+VLOOKUP(AW$1,POSTE!$B:$G,3,FALSE),+CUM!AF25/+VLOOKUP(AW$1,POSTE!$B:$H,7,FALSE),,CONGÉ!$C$2:$C$80))</f>
        <v xml:space="preserve"> </v>
      </c>
      <c r="AX25" s="73" t="str">
        <f>+IF(W25=0," ",+WORKDAY.INTL(+VLOOKUP(AX$1,POSTE!$B:$G,3,FALSE),+CUM!AG25/+VLOOKUP(AX$1,POSTE!$B:$H,7,FALSE),,CONGÉ!$C$2:$C$80))</f>
        <v xml:space="preserve"> </v>
      </c>
      <c r="AY25" s="73" t="str">
        <f>+IF(X25=0," ",+WORKDAY.INTL(+VLOOKUP(AY$1,POSTE!$B:$G,3,FALSE),+CUM!AH25/+VLOOKUP(AY$1,POSTE!$B:$H,7,FALSE),,CONGÉ!$C$2:$C$80))</f>
        <v xml:space="preserve"> </v>
      </c>
      <c r="AZ25" s="73" t="str">
        <f>+IF(Y25=0," ",+WORKDAY.INTL(+VLOOKUP(AZ$1,POSTE!$B:$G,3,FALSE),+CUM!AI25/+VLOOKUP(AZ$1,POSTE!$B:$H,7,FALSE),,CONGÉ!$C$2:$C$80))</f>
        <v xml:space="preserve"> </v>
      </c>
      <c r="BA25" s="73" t="str">
        <f>+IF(S25=0," ",+WORKDAY.INTL(+VLOOKUP(BA$1,POSTE!$B:$G,3,FALSE),+CUM!AC25/+VLOOKUP(BA$1,POSTE!$B:$H,7,FALSE),,CONGÉ!$C$2:$C$80))</f>
        <v xml:space="preserve"> </v>
      </c>
      <c r="BB25" s="73" t="str">
        <f>+IF(T25=0," ",+WORKDAY.INTL(+VLOOKUP(BB$1,POSTE!$B:$G,3,FALSE),+CUM!AD25/+VLOOKUP(BB$1,POSTE!$B:$H,7,FALSE),,CONGÉ!$C$2:$C$80))</f>
        <v xml:space="preserve"> </v>
      </c>
      <c r="BC25" s="70" t="str">
        <f t="shared" si="13"/>
        <v xml:space="preserve"> </v>
      </c>
      <c r="BD25" s="70" t="str">
        <f t="shared" si="14"/>
        <v xml:space="preserve"> </v>
      </c>
      <c r="BE25" s="129">
        <f>+IF($F25="oui",+VLOOKUP($A25,DATA!$A:$AH,DATA!$AH$3,FALSE),0)</f>
        <v>0</v>
      </c>
      <c r="BF25" s="129">
        <f t="shared" si="15"/>
        <v>614.66666666666674</v>
      </c>
      <c r="BG25" s="136" t="str">
        <f>+IF(BE25&gt;0,+MAX((BH$4:BH24),BD25),"")</f>
        <v/>
      </c>
      <c r="BH25" s="136" t="str">
        <f>+IF(BE25&gt;0,+MAX((BH$4:BH24),+WORKDAY.INTL(BG25,+BE25/8,,CONGÉ!$C$2:$C$73)),"")</f>
        <v/>
      </c>
      <c r="BI25" s="136" t="str">
        <f t="shared" si="16"/>
        <v xml:space="preserve"> </v>
      </c>
      <c r="BJ25" s="43">
        <f t="shared" si="11"/>
        <v>224157</v>
      </c>
      <c r="BK25" s="77">
        <f t="shared" ca="1" si="17"/>
        <v>45754</v>
      </c>
      <c r="BL25" s="78">
        <f>+(((AC25*POSTE!$H$5)+(CUM!AD25*POSTE!$H$4))/(POSTE!$H$4*POSTE!$H$5*2))</f>
        <v>18.506197916666668</v>
      </c>
      <c r="BM25" s="90">
        <f ca="1">+WORKDAY.INTL(BK25,BL25,,CONGÉ!C$4:C$72)</f>
        <v>45778</v>
      </c>
      <c r="BN25" s="78" t="e">
        <f t="shared" ca="1" si="18"/>
        <v>#VALUE!</v>
      </c>
    </row>
    <row r="26" spans="1:66" ht="15.75" thickBot="1" x14ac:dyDescent="0.3">
      <c r="A26" s="49">
        <f t="shared" si="19"/>
        <v>22</v>
      </c>
      <c r="B26" s="185" cm="1">
        <f t="array" ref="B26">_xlfn.LET(_xlpm.CORR,IF(DATA!$B$4:$B$104="",IF(DATA!$A$4:$A$104="","--",DATA!$A$4:$A$104),DATA!$B$4:$B$104),_xlpm.Rx,SMALL(_xlpm.CORR,A26),IFERROR(MATCH(_xlpm.Rx,_xlpm.CORR,0),0))</f>
        <v>0</v>
      </c>
      <c r="C26" s="199" t="str" cm="1">
        <f t="array" ref="C26">IF($B26=0,"",INDEX(Données,$B26,C$3))</f>
        <v/>
      </c>
      <c r="D26" s="200" t="str" cm="1">
        <f t="array" ref="D26">IF($B26=0,"",INDEX(Données,$B26,D$3))</f>
        <v/>
      </c>
      <c r="E26" s="201" t="str" cm="1">
        <f t="array" ref="E26">IF($B26=0,"",INDEX(Données,$B26,E$3))</f>
        <v/>
      </c>
      <c r="F26" s="202" t="str" cm="1">
        <f t="array" ref="F26">IF($B26=0,"",INDEX(Données,$B26,F$3))</f>
        <v/>
      </c>
      <c r="G26" s="43">
        <f>+IF($F26="oui",+VLOOKUP($A26,DATA!$A:$AG,DATA!$P$3,FALSE),0)</f>
        <v>0</v>
      </c>
      <c r="H26" s="44">
        <f>+IF($F26="oui",+VLOOKUP($A26,DATA!$A:$AG,DATA!$R$3,FALSE),0)</f>
        <v>0</v>
      </c>
      <c r="I26" s="44">
        <f>+IF($F26="oui",+VLOOKUP($A26,DATA!$A:$AG,DATA!$T$3,FALSE),0)</f>
        <v>0</v>
      </c>
      <c r="J26" s="44">
        <f>+IF($F26="oui",+VLOOKUP($A26,DATA!$A:$AG,DATA!$V$3,FALSE),0)</f>
        <v>0</v>
      </c>
      <c r="K26" s="44">
        <f>+IF($F26="oui",+VLOOKUP($A26,DATA!$A:$AG,DATA!$X$3,FALSE),0)</f>
        <v>0</v>
      </c>
      <c r="L26" s="44">
        <f>+IF($F26="oui",+VLOOKUP($A26,DATA!$A:$AG,DATA!$Z$3,FALSE),0)</f>
        <v>0</v>
      </c>
      <c r="M26" s="44">
        <f>+IF($F26="oui",+VLOOKUP($A26,DATA!$A:$AG,DATA!$AB$3,FALSE),0)</f>
        <v>0</v>
      </c>
      <c r="N26" s="44">
        <f>+IF($F26="oui",+VLOOKUP($A26,DATA!$A:$AG,DATA!$AD$3,FALSE),0)</f>
        <v>0</v>
      </c>
      <c r="O26" s="45">
        <f>+IF($F26="oui",+VLOOKUP($A26,DATA!$A:$AG,DATA!$AF$3,FALSE),0)</f>
        <v>0</v>
      </c>
      <c r="P26" s="116">
        <f t="shared" si="12"/>
        <v>0</v>
      </c>
      <c r="Q26" s="21">
        <f>+IF($F26="oui",+VLOOKUP($A26,DATA!$A:$AG,DATA!$Q$3,FALSE),0)</f>
        <v>0</v>
      </c>
      <c r="R26" s="22">
        <f>+IF($F26="oui",+VLOOKUP($A26,DATA!$A:$AG,DATA!$S$3,FALSE),0)</f>
        <v>0</v>
      </c>
      <c r="S26" s="22">
        <f>+IF($F26="oui",+VLOOKUP($A26,DATA!$A:$AG,DATA!$U$3,FALSE),0)</f>
        <v>0</v>
      </c>
      <c r="T26" s="22">
        <f>+IF($F26="oui",+VLOOKUP($A26,DATA!$A:$AG,DATA!$W$3,FALSE),0)</f>
        <v>0</v>
      </c>
      <c r="U26" s="22">
        <f>+IF($F26="oui",+VLOOKUP($A26,DATA!$A:$AG,DATA!$Y$3,FALSE),0)</f>
        <v>0</v>
      </c>
      <c r="V26" s="22">
        <f>+IF($F26="oui",+VLOOKUP($A26,DATA!$A:$AG,DATA!$AA$3,FALSE),0)</f>
        <v>0</v>
      </c>
      <c r="W26" s="22">
        <f>+IF($F26="oui",+VLOOKUP($A26,DATA!$A:$AG,DATA!$AC$3,FALSE),0)</f>
        <v>0</v>
      </c>
      <c r="X26" s="22">
        <f>+IF($F26="oui",+VLOOKUP($A26,DATA!$A:$AG,DATA!$AE$3,FALSE),0)</f>
        <v>0</v>
      </c>
      <c r="Y26" s="23">
        <f>+IF($F26="oui",+VLOOKUP($A26,DATA!$A:$AG,DATA!$AG$3,FALSE),0)</f>
        <v>0</v>
      </c>
      <c r="Z26" s="118">
        <f t="shared" si="1"/>
        <v>0</v>
      </c>
      <c r="AA26" s="43">
        <f t="shared" si="2"/>
        <v>48445</v>
      </c>
      <c r="AB26" s="44">
        <f t="shared" si="3"/>
        <v>216477</v>
      </c>
      <c r="AC26" s="44">
        <f t="shared" si="4"/>
        <v>185990</v>
      </c>
      <c r="AD26" s="44">
        <f t="shared" si="5"/>
        <v>38167</v>
      </c>
      <c r="AE26" s="44">
        <f t="shared" si="6"/>
        <v>38898</v>
      </c>
      <c r="AF26" s="44">
        <f t="shared" si="7"/>
        <v>25684</v>
      </c>
      <c r="AG26" s="44">
        <f t="shared" si="8"/>
        <v>0</v>
      </c>
      <c r="AH26" s="44">
        <f t="shared" si="9"/>
        <v>14613</v>
      </c>
      <c r="AI26" s="45">
        <f t="shared" si="10"/>
        <v>1489</v>
      </c>
      <c r="AJ26" s="70" t="str">
        <f>+IF(Q26=0," ",+WORKDAY.INTL(+VLOOKUP(AJ$1,POSTE!$B:$G,3,FALSE),+CUM!AA25/+VLOOKUP(AJ$1,POSTE!$B:$H,7,FALSE),,CONGÉ!$C$2:$C$80))</f>
        <v xml:space="preserve"> </v>
      </c>
      <c r="AK26" s="50" t="str">
        <f>+IF(R26=0," ",+WORKDAY.INTL(+VLOOKUP(AK$1,POSTE!$B:$G,3,FALSE),+CUM!AB25/+VLOOKUP(AK$1,POSTE!$B:$H,7,FALSE),,CONGÉ!$C$2:$C$80))</f>
        <v xml:space="preserve"> </v>
      </c>
      <c r="AL26" s="50" t="str">
        <f>+IF(S26=0," ",+WORKDAY.INTL(+VLOOKUP(AL$1,POSTE!$B:$G,3,FALSE),+CUM!AC25/+VLOOKUP(AL$1,POSTE!$B:$H,7,FALSE),,CONGÉ!$C$2:$C$80))</f>
        <v xml:space="preserve"> </v>
      </c>
      <c r="AM26" s="50" t="str">
        <f>+IF(T26=0," ",+WORKDAY.INTL(+VLOOKUP(AM$1,POSTE!$B:$G,3,FALSE),+CUM!AD25/+VLOOKUP(AM$1,POSTE!$B:$H,7,FALSE),,CONGÉ!$C$2:$C$80))</f>
        <v xml:space="preserve"> </v>
      </c>
      <c r="AN26" s="50" t="str">
        <f>+IF(U26=0," ",+WORKDAY.INTL(+VLOOKUP(AN$1,POSTE!$B:$G,3,FALSE),+CUM!AE25/+VLOOKUP(AN$1,POSTE!$B:$H,7,FALSE),,CONGÉ!$C$2:$C$80))</f>
        <v xml:space="preserve"> </v>
      </c>
      <c r="AO26" s="50" t="str">
        <f>+IF(V26=0," ",+WORKDAY.INTL(+VLOOKUP(AO$1,POSTE!$B:$G,3,FALSE),+CUM!AF25/+VLOOKUP(AO$1,POSTE!$B:$H,7,FALSE),,CONGÉ!$C$2:$C$80))</f>
        <v xml:space="preserve"> </v>
      </c>
      <c r="AP26" s="50" t="str">
        <f>+IF(W26=0," ",+WORKDAY.INTL(+VLOOKUP(AP$1,POSTE!$B:$G,3,FALSE),+CUM!AG25/+VLOOKUP(AP$1,POSTE!$B:$H,7,FALSE),,CONGÉ!$C$2:$C$80))</f>
        <v xml:space="preserve"> </v>
      </c>
      <c r="AQ26" s="50" t="str">
        <f>+IF(X26=0," ",+WORKDAY.INTL(+VLOOKUP(AQ$1,POSTE!$B:$G,3,FALSE),+CUM!AH25/+VLOOKUP(AQ$1,POSTE!$B:$H,7,FALSE),,CONGÉ!$C$2:$C$80))</f>
        <v xml:space="preserve"> </v>
      </c>
      <c r="AR26" s="71" t="str">
        <f>+IF(Y26=0," ",+WORKDAY.INTL(+VLOOKUP(AR$1,POSTE!$B:$G,3,FALSE),+CUM!AI25/+VLOOKUP(AR$1,POSTE!$B:$H,7,FALSE),,CONGÉ!$C$2:$C$80))</f>
        <v xml:space="preserve"> </v>
      </c>
      <c r="AS26" s="72" t="str">
        <f>+IF(Q26=0," ",+WORKDAY.INTL(+VLOOKUP(AS$1,POSTE!$B:$G,3,FALSE),+CUM!AA26/+VLOOKUP(AS$1,POSTE!$B:$H,7,FALSE),,CONGÉ!$C$2:$C$80))</f>
        <v xml:space="preserve"> </v>
      </c>
      <c r="AT26" s="73" t="str">
        <f>+IF(R26=0," ",+WORKDAY.INTL(+VLOOKUP(AT$1,POSTE!$B:$G,3,FALSE),+CUM!AB26/+VLOOKUP(AT$1,POSTE!$B:$H,7,FALSE),,CONGÉ!$C$2:$C$80))</f>
        <v xml:space="preserve"> </v>
      </c>
      <c r="AU26" s="73" t="str">
        <f>+IF(AND(S26=0,T26=0)," ",+WORKDAY.INTL(+VLOOKUP($AS$1,POSTE!B:J,3,FALSE),+(((AC26*POSTE!$H$5)+(CUM!AD26*POSTE!$H$4))/(POSTE!$H$4*POSTE!$H$5*2)),,CONGÉ!$C$2:$C$80))</f>
        <v xml:space="preserve"> </v>
      </c>
      <c r="AV26" s="73" t="str">
        <f>+IF(U26=0," ",+WORKDAY.INTL(+VLOOKUP(AV$1,POSTE!$B:$G,3,FALSE),+CUM!AE26/+VLOOKUP(AV$1,POSTE!$B:$H,7,FALSE),,CONGÉ!$C$2:$C$80))</f>
        <v xml:space="preserve"> </v>
      </c>
      <c r="AW26" s="73" t="str">
        <f>+IF(V26=0," ",+WORKDAY.INTL(+VLOOKUP(AW$1,POSTE!$B:$G,3,FALSE),+CUM!AF26/+VLOOKUP(AW$1,POSTE!$B:$H,7,FALSE),,CONGÉ!$C$2:$C$80))</f>
        <v xml:space="preserve"> </v>
      </c>
      <c r="AX26" s="73" t="str">
        <f>+IF(W26=0," ",+WORKDAY.INTL(+VLOOKUP(AX$1,POSTE!$B:$G,3,FALSE),+CUM!AG26/+VLOOKUP(AX$1,POSTE!$B:$H,7,FALSE),,CONGÉ!$C$2:$C$80))</f>
        <v xml:space="preserve"> </v>
      </c>
      <c r="AY26" s="73" t="str">
        <f>+IF(X26=0," ",+WORKDAY.INTL(+VLOOKUP(AY$1,POSTE!$B:$G,3,FALSE),+CUM!AH26/+VLOOKUP(AY$1,POSTE!$B:$H,7,FALSE),,CONGÉ!$C$2:$C$80))</f>
        <v xml:space="preserve"> </v>
      </c>
      <c r="AZ26" s="73" t="str">
        <f>+IF(Y26=0," ",+WORKDAY.INTL(+VLOOKUP(AZ$1,POSTE!$B:$G,3,FALSE),+CUM!AI26/+VLOOKUP(AZ$1,POSTE!$B:$H,7,FALSE),,CONGÉ!$C$2:$C$80))</f>
        <v xml:space="preserve"> </v>
      </c>
      <c r="BA26" s="73" t="str">
        <f>+IF(S26=0," ",+WORKDAY.INTL(+VLOOKUP(BA$1,POSTE!$B:$G,3,FALSE),+CUM!AC26/+VLOOKUP(BA$1,POSTE!$B:$H,7,FALSE),,CONGÉ!$C$2:$C$80))</f>
        <v xml:space="preserve"> </v>
      </c>
      <c r="BB26" s="73" t="str">
        <f>+IF(T26=0," ",+WORKDAY.INTL(+VLOOKUP(BB$1,POSTE!$B:$G,3,FALSE),+CUM!AD26/+VLOOKUP(BB$1,POSTE!$B:$H,7,FALSE),,CONGÉ!$C$2:$C$80))</f>
        <v xml:space="preserve"> </v>
      </c>
      <c r="BC26" s="70" t="str">
        <f t="shared" si="13"/>
        <v xml:space="preserve"> </v>
      </c>
      <c r="BD26" s="70" t="str">
        <f t="shared" si="14"/>
        <v xml:space="preserve"> </v>
      </c>
      <c r="BE26" s="129">
        <f>+IF($F26="oui",+VLOOKUP($A26,DATA!$A:$AH,DATA!$AH$3,FALSE),0)</f>
        <v>0</v>
      </c>
      <c r="BF26" s="129">
        <f t="shared" si="15"/>
        <v>614.66666666666674</v>
      </c>
      <c r="BG26" s="136" t="str">
        <f>+IF(BE26&gt;0,+MAX((BH$4:BH25),BD26),"")</f>
        <v/>
      </c>
      <c r="BH26" s="136" t="str">
        <f>+IF(BE26&gt;0,+MAX((BH$4:BH25),+WORKDAY.INTL(BG26,+BE26/8,,CONGÉ!$C$2:$C$73)),"")</f>
        <v/>
      </c>
      <c r="BI26" s="136" t="str">
        <f t="shared" si="16"/>
        <v xml:space="preserve"> </v>
      </c>
      <c r="BJ26" s="43">
        <f t="shared" si="11"/>
        <v>224157</v>
      </c>
      <c r="BK26" s="77">
        <f t="shared" ca="1" si="17"/>
        <v>45754</v>
      </c>
      <c r="BL26" s="78">
        <f>+(((AC26*POSTE!$H$5)+(CUM!AD26*POSTE!$H$4))/(POSTE!$H$4*POSTE!$H$5*2))</f>
        <v>18.506197916666668</v>
      </c>
      <c r="BM26" s="90">
        <f ca="1">+WORKDAY.INTL(BK26,BL26,,CONGÉ!C$4:C$72)</f>
        <v>45778</v>
      </c>
      <c r="BN26" s="78" t="e">
        <f t="shared" ca="1" si="18"/>
        <v>#VALUE!</v>
      </c>
    </row>
    <row r="27" spans="1:66" ht="15.75" thickTop="1" x14ac:dyDescent="0.25">
      <c r="A27" s="49">
        <f t="shared" si="19"/>
        <v>23</v>
      </c>
      <c r="B27" s="185" cm="1">
        <f t="array" ref="B27">_xlfn.LET(_xlpm.CORR,IF(DATA!$B$4:$B$104="",IF(DATA!$A$4:$A$104="","--",DATA!$A$4:$A$104),DATA!$B$4:$B$104),_xlpm.Rx,SMALL(_xlpm.CORR,A27),IFERROR(MATCH(_xlpm.Rx,_xlpm.CORR,0),0))</f>
        <v>0</v>
      </c>
      <c r="C27" s="174" t="e">
        <f>+VLOOKUP($A27,DATA!$A:$AG,DATA!$E$3,FALSE)</f>
        <v>#N/A</v>
      </c>
      <c r="D27" s="174" t="e">
        <f>+VLOOKUP($A27,DATA!$A:$AG,DATA!$D$3,FALSE)</f>
        <v>#N/A</v>
      </c>
      <c r="E27" s="190" t="e">
        <f>+VLOOKUP($A27,DATA!$A:$AG,DATA!$G$3,FALSE)</f>
        <v>#N/A</v>
      </c>
      <c r="F27" s="175" t="e">
        <f>+VLOOKUP($A27,DATA!$A:$AG,DATA!$O$3,FALSE)</f>
        <v>#N/A</v>
      </c>
      <c r="G27" s="43" t="e">
        <f>+IF($F27="oui",+VLOOKUP($A27,DATA!$A:$AG,DATA!$P$3,FALSE),0)</f>
        <v>#N/A</v>
      </c>
      <c r="H27" s="44" t="e">
        <f>+IF($F27="oui",+VLOOKUP($A27,DATA!$A:$AG,DATA!$R$3,FALSE),0)</f>
        <v>#N/A</v>
      </c>
      <c r="I27" s="44" t="e">
        <f>+IF($F27="oui",+VLOOKUP($A27,DATA!$A:$AG,DATA!$T$3,FALSE),0)</f>
        <v>#N/A</v>
      </c>
      <c r="J27" s="44" t="e">
        <f>+IF($F27="oui",+VLOOKUP($A27,DATA!$A:$AG,DATA!$V$3,FALSE),0)</f>
        <v>#N/A</v>
      </c>
      <c r="K27" s="44" t="e">
        <f>+IF($F27="oui",+VLOOKUP($A27,DATA!$A:$AG,DATA!$X$3,FALSE),0)</f>
        <v>#N/A</v>
      </c>
      <c r="L27" s="44" t="e">
        <f>+IF($F27="oui",+VLOOKUP($A27,DATA!$A:$AG,DATA!$Z$3,FALSE),0)</f>
        <v>#N/A</v>
      </c>
      <c r="M27" s="44" t="e">
        <f>+IF($F27="oui",+VLOOKUP($A27,DATA!$A:$AG,DATA!$AB$3,FALSE),0)</f>
        <v>#N/A</v>
      </c>
      <c r="N27" s="44" t="e">
        <f>+IF($F27="oui",+VLOOKUP($A27,DATA!$A:$AG,DATA!$AD$3,FALSE),0)</f>
        <v>#N/A</v>
      </c>
      <c r="O27" s="45" t="e">
        <f>+IF($F27="oui",+VLOOKUP($A27,DATA!$A:$AG,DATA!$AF$3,FALSE),0)</f>
        <v>#N/A</v>
      </c>
      <c r="P27" s="116" t="e">
        <f t="shared" si="12"/>
        <v>#N/A</v>
      </c>
      <c r="Q27" s="21" t="e">
        <f>+IF($F27="oui",+VLOOKUP($A27,DATA!$A:$AG,DATA!$Q$3,FALSE),0)</f>
        <v>#N/A</v>
      </c>
      <c r="R27" s="22" t="e">
        <f>+IF($F27="oui",+VLOOKUP($A27,DATA!$A:$AG,DATA!$S$3,FALSE),0)</f>
        <v>#N/A</v>
      </c>
      <c r="S27" s="22" t="e">
        <f>+IF($F27="oui",+VLOOKUP($A27,DATA!$A:$AG,DATA!$U$3,FALSE),0)</f>
        <v>#N/A</v>
      </c>
      <c r="T27" s="22" t="e">
        <f>+IF($F27="oui",+VLOOKUP($A27,DATA!$A:$AG,DATA!$W$3,FALSE),0)</f>
        <v>#N/A</v>
      </c>
      <c r="U27" s="22" t="e">
        <f>+IF($F27="oui",+VLOOKUP($A27,DATA!$A:$AG,DATA!$Y$3,FALSE),0)</f>
        <v>#N/A</v>
      </c>
      <c r="V27" s="22" t="e">
        <f>+IF($F27="oui",+VLOOKUP($A27,DATA!$A:$AG,DATA!$AA$3,FALSE),0)</f>
        <v>#N/A</v>
      </c>
      <c r="W27" s="22" t="e">
        <f>+IF($F27="oui",+VLOOKUP($A27,DATA!$A:$AG,DATA!$AC$3,FALSE),0)</f>
        <v>#N/A</v>
      </c>
      <c r="X27" s="22" t="e">
        <f>+IF($F27="oui",+VLOOKUP($A27,DATA!$A:$AG,DATA!$AE$3,FALSE),0)</f>
        <v>#N/A</v>
      </c>
      <c r="Y27" s="23" t="e">
        <f>+IF($F27="oui",+VLOOKUP($A27,DATA!$A:$AG,DATA!$AG$3,FALSE),0)</f>
        <v>#N/A</v>
      </c>
      <c r="Z27" s="118" t="e">
        <f t="shared" si="1"/>
        <v>#N/A</v>
      </c>
      <c r="AA27" s="43" t="e">
        <f t="shared" si="2"/>
        <v>#N/A</v>
      </c>
      <c r="AB27" s="44" t="e">
        <f t="shared" si="3"/>
        <v>#N/A</v>
      </c>
      <c r="AC27" s="44" t="e">
        <f t="shared" si="4"/>
        <v>#N/A</v>
      </c>
      <c r="AD27" s="44" t="e">
        <f t="shared" si="5"/>
        <v>#N/A</v>
      </c>
      <c r="AE27" s="44" t="e">
        <f t="shared" si="6"/>
        <v>#N/A</v>
      </c>
      <c r="AF27" s="44" t="e">
        <f t="shared" si="7"/>
        <v>#N/A</v>
      </c>
      <c r="AG27" s="44" t="e">
        <f t="shared" si="8"/>
        <v>#N/A</v>
      </c>
      <c r="AH27" s="44" t="e">
        <f t="shared" si="9"/>
        <v>#N/A</v>
      </c>
      <c r="AI27" s="45" t="e">
        <f t="shared" si="10"/>
        <v>#N/A</v>
      </c>
      <c r="AJ27" s="70" t="e">
        <f>+IF(Q27=0," ",+WORKDAY.INTL(+VLOOKUP(AJ$1,POSTE!$B:$G,3,FALSE),+CUM!AA26/+VLOOKUP(AJ$1,POSTE!$B:$H,7,FALSE),,CONGÉ!$C$2:$C$80))</f>
        <v>#N/A</v>
      </c>
      <c r="AK27" s="50" t="e">
        <f>+IF(R27=0," ",+WORKDAY.INTL(+VLOOKUP(AK$1,POSTE!$B:$G,3,FALSE),+CUM!AB26/+VLOOKUP(AK$1,POSTE!$B:$H,7,FALSE),,CONGÉ!$C$2:$C$80))</f>
        <v>#N/A</v>
      </c>
      <c r="AL27" s="50" t="e">
        <f>+IF(S27=0," ",+WORKDAY.INTL(+VLOOKUP(AL$1,POSTE!$B:$G,3,FALSE),+CUM!AC26/+VLOOKUP(AL$1,POSTE!$B:$H,7,FALSE),,CONGÉ!$C$2:$C$80))</f>
        <v>#N/A</v>
      </c>
      <c r="AM27" s="50" t="e">
        <f>+IF(T27=0," ",+WORKDAY.INTL(+VLOOKUP(AM$1,POSTE!$B:$G,3,FALSE),+CUM!AD26/+VLOOKUP(AM$1,POSTE!$B:$H,7,FALSE),,CONGÉ!$C$2:$C$80))</f>
        <v>#N/A</v>
      </c>
      <c r="AN27" s="50" t="e">
        <f>+IF(U27=0," ",+WORKDAY.INTL(+VLOOKUP(AN$1,POSTE!$B:$G,3,FALSE),+CUM!AE26/+VLOOKUP(AN$1,POSTE!$B:$H,7,FALSE),,CONGÉ!$C$2:$C$80))</f>
        <v>#N/A</v>
      </c>
      <c r="AO27" s="50" t="e">
        <f>+IF(V27=0," ",+WORKDAY.INTL(+VLOOKUP(AO$1,POSTE!$B:$G,3,FALSE),+CUM!AF26/+VLOOKUP(AO$1,POSTE!$B:$H,7,FALSE),,CONGÉ!$C$2:$C$80))</f>
        <v>#N/A</v>
      </c>
      <c r="AP27" s="50" t="e">
        <f>+IF(W27=0," ",+WORKDAY.INTL(+VLOOKUP(AP$1,POSTE!$B:$G,3,FALSE),+CUM!AG26/+VLOOKUP(AP$1,POSTE!$B:$H,7,FALSE),,CONGÉ!$C$2:$C$80))</f>
        <v>#N/A</v>
      </c>
      <c r="AQ27" s="50" t="e">
        <f>+IF(X27=0," ",+WORKDAY.INTL(+VLOOKUP(AQ$1,POSTE!$B:$G,3,FALSE),+CUM!AH26/+VLOOKUP(AQ$1,POSTE!$B:$H,7,FALSE),,CONGÉ!$C$2:$C$80))</f>
        <v>#N/A</v>
      </c>
      <c r="AR27" s="71" t="e">
        <f>+IF(Y27=0," ",+WORKDAY.INTL(+VLOOKUP(AR$1,POSTE!$B:$G,3,FALSE),+CUM!AI26/+VLOOKUP(AR$1,POSTE!$B:$H,7,FALSE),,CONGÉ!$C$2:$C$80))</f>
        <v>#N/A</v>
      </c>
      <c r="AS27" s="72" t="e">
        <f>+IF(Q27=0," ",+WORKDAY.INTL(+VLOOKUP(AS$1,POSTE!$B:$G,3,FALSE),+CUM!AA27/+VLOOKUP(AS$1,POSTE!$B:$H,7,FALSE),,CONGÉ!$C$2:$C$80))</f>
        <v>#N/A</v>
      </c>
      <c r="AT27" s="73" t="e">
        <f>+IF(R27=0," ",+WORKDAY.INTL(+VLOOKUP(AT$1,POSTE!$B:$G,3,FALSE),+CUM!AB27/+VLOOKUP(AT$1,POSTE!$B:$H,7,FALSE),,CONGÉ!$C$2:$C$80))</f>
        <v>#N/A</v>
      </c>
      <c r="AU27" s="73" t="e">
        <f>+IF(AND(S27=0,T27=0)," ",+WORKDAY.INTL(+VLOOKUP($AS$1,POSTE!B:J,3,FALSE),+(((AC27*POSTE!$H$5)+(CUM!AD27*POSTE!$H$4))/(POSTE!$H$4*POSTE!$H$5*2)),,CONGÉ!$C$2:$C$80))</f>
        <v>#N/A</v>
      </c>
      <c r="AV27" s="73" t="e">
        <f>+IF(U27=0," ",+WORKDAY.INTL(+VLOOKUP(AV$1,POSTE!$B:$G,3,FALSE),+CUM!AE27/+VLOOKUP(AV$1,POSTE!$B:$H,7,FALSE),,CONGÉ!$C$2:$C$80))</f>
        <v>#N/A</v>
      </c>
      <c r="AW27" s="73" t="e">
        <f>+IF(V27=0," ",+WORKDAY.INTL(+VLOOKUP(AW$1,POSTE!$B:$G,3,FALSE),+CUM!AF27/+VLOOKUP(AW$1,POSTE!$B:$H,7,FALSE),,CONGÉ!$C$2:$C$80))</f>
        <v>#N/A</v>
      </c>
      <c r="AX27" s="73" t="e">
        <f>+IF(W27=0," ",+WORKDAY.INTL(+VLOOKUP(AX$1,POSTE!$B:$G,3,FALSE),+CUM!AG27/+VLOOKUP(AX$1,POSTE!$B:$H,7,FALSE),,CONGÉ!$C$2:$C$80))</f>
        <v>#N/A</v>
      </c>
      <c r="AY27" s="73" t="e">
        <f>+IF(X27=0," ",+WORKDAY.INTL(+VLOOKUP(AY$1,POSTE!$B:$G,3,FALSE),+CUM!AH27/+VLOOKUP(AY$1,POSTE!$B:$H,7,FALSE),,CONGÉ!$C$2:$C$80))</f>
        <v>#N/A</v>
      </c>
      <c r="AZ27" s="73" t="e">
        <f>+IF(Y27=0," ",+WORKDAY.INTL(+VLOOKUP(AZ$1,POSTE!$B:$G,3,FALSE),+CUM!AI27/+VLOOKUP(AZ$1,POSTE!$B:$H,7,FALSE),,CONGÉ!$C$2:$C$80))</f>
        <v>#N/A</v>
      </c>
      <c r="BA27" s="73" t="e">
        <f>+IF(S27=0," ",+WORKDAY.INTL(+VLOOKUP(BA$1,POSTE!$B:$G,3,FALSE),+CUM!AC27/+VLOOKUP(BA$1,POSTE!$B:$H,7,FALSE),,CONGÉ!$C$2:$C$80))</f>
        <v>#N/A</v>
      </c>
      <c r="BB27" s="73" t="e">
        <f>+IF(T27=0," ",+WORKDAY.INTL(+VLOOKUP(BB$1,POSTE!$B:$G,3,FALSE),+CUM!AD27/+VLOOKUP(BB$1,POSTE!$B:$H,7,FALSE),,CONGÉ!$C$2:$C$80))</f>
        <v>#N/A</v>
      </c>
      <c r="BC27" s="70" t="e">
        <f t="shared" si="13"/>
        <v>#N/A</v>
      </c>
      <c r="BD27" s="70" t="e">
        <f t="shared" si="14"/>
        <v>#N/A</v>
      </c>
      <c r="BE27" s="129" t="e">
        <f>+IF($F27="oui",+VLOOKUP($A27,DATA!$A:$AH,DATA!$AH$3,FALSE),0)</f>
        <v>#N/A</v>
      </c>
      <c r="BF27" s="129" t="e">
        <f t="shared" si="15"/>
        <v>#N/A</v>
      </c>
      <c r="BG27" s="136" t="e">
        <f>+IF(BE27&gt;0,+MAX((BH$4:BH26),BD27),"")</f>
        <v>#N/A</v>
      </c>
      <c r="BH27" s="136" t="e">
        <f>+IF(BE27&gt;0,+MAX((BH$4:BH26),+WORKDAY.INTL(BG27,+BE27/8,,CONGÉ!$C$2:$C$73)),"")</f>
        <v>#N/A</v>
      </c>
      <c r="BI27" s="136" t="e">
        <f t="shared" si="16"/>
        <v>#N/A</v>
      </c>
      <c r="BJ27" s="43" t="e">
        <f t="shared" si="11"/>
        <v>#N/A</v>
      </c>
      <c r="BK27" s="77">
        <f t="shared" ca="1" si="17"/>
        <v>45754</v>
      </c>
      <c r="BL27" s="78" t="e">
        <f>+(((AC27*POSTE!$H$5)+(CUM!AD27*POSTE!$H$4))/(POSTE!$H$4*POSTE!$H$5*2))</f>
        <v>#N/A</v>
      </c>
      <c r="BM27" s="90" t="e">
        <f ca="1">+WORKDAY.INTL(BK27,BL27,,CONGÉ!C$4:C$72)</f>
        <v>#N/A</v>
      </c>
      <c r="BN27" s="78" t="e">
        <f t="shared" ca="1" si="18"/>
        <v>#N/A</v>
      </c>
    </row>
    <row r="28" spans="1:66" x14ac:dyDescent="0.25">
      <c r="A28" s="49">
        <f t="shared" si="19"/>
        <v>24</v>
      </c>
      <c r="B28" s="185" cm="1">
        <f t="array" ref="B28">_xlfn.LET(_xlpm.CORR,IF(DATA!$B$4:$B$104="",IF(DATA!$A$4:$A$104="","--",DATA!$A$4:$A$104),DATA!$B$4:$B$104),_xlpm.Rx,SMALL(_xlpm.CORR,A28),IFERROR(MATCH(_xlpm.Rx,_xlpm.CORR,0),0))</f>
        <v>0</v>
      </c>
      <c r="C28" s="18" t="e">
        <f>+VLOOKUP($A28,DATA!$A:$AG,DATA!$E$3,FALSE)</f>
        <v>#N/A</v>
      </c>
      <c r="D28" s="18" t="e">
        <f>+VLOOKUP($A28,DATA!$A:$AG,DATA!$D$3,FALSE)</f>
        <v>#N/A</v>
      </c>
      <c r="E28" s="186" t="e">
        <f>+VLOOKUP($A28,DATA!$A:$AG,DATA!$G$3,FALSE)</f>
        <v>#N/A</v>
      </c>
      <c r="F28" s="19" t="e">
        <f>+VLOOKUP($A28,DATA!$A:$AG,DATA!$O$3,FALSE)</f>
        <v>#N/A</v>
      </c>
      <c r="G28" s="43" t="e">
        <f>+IF($F28="oui",+VLOOKUP($A28,DATA!$A:$AG,DATA!$P$3,FALSE),0)</f>
        <v>#N/A</v>
      </c>
      <c r="H28" s="44" t="e">
        <f>+IF($F28="oui",+VLOOKUP($A28,DATA!$A:$AG,DATA!$R$3,FALSE),0)</f>
        <v>#N/A</v>
      </c>
      <c r="I28" s="44" t="e">
        <f>+IF($F28="oui",+VLOOKUP($A28,DATA!$A:$AG,DATA!$T$3,FALSE),0)</f>
        <v>#N/A</v>
      </c>
      <c r="J28" s="44" t="e">
        <f>+IF($F28="oui",+VLOOKUP($A28,DATA!$A:$AG,DATA!$V$3,FALSE),0)</f>
        <v>#N/A</v>
      </c>
      <c r="K28" s="44" t="e">
        <f>+IF($F28="oui",+VLOOKUP($A28,DATA!$A:$AG,DATA!$X$3,FALSE),0)</f>
        <v>#N/A</v>
      </c>
      <c r="L28" s="44" t="e">
        <f>+IF($F28="oui",+VLOOKUP($A28,DATA!$A:$AG,DATA!$Z$3,FALSE),0)</f>
        <v>#N/A</v>
      </c>
      <c r="M28" s="44" t="e">
        <f>+IF($F28="oui",+VLOOKUP($A28,DATA!$A:$AG,DATA!$AB$3,FALSE),0)</f>
        <v>#N/A</v>
      </c>
      <c r="N28" s="44" t="e">
        <f>+IF($F28="oui",+VLOOKUP($A28,DATA!$A:$AG,DATA!$AD$3,FALSE),0)</f>
        <v>#N/A</v>
      </c>
      <c r="O28" s="45" t="e">
        <f>+IF($F28="oui",+VLOOKUP($A28,DATA!$A:$AG,DATA!$AF$3,FALSE),0)</f>
        <v>#N/A</v>
      </c>
      <c r="P28" s="116" t="e">
        <f t="shared" si="12"/>
        <v>#N/A</v>
      </c>
      <c r="Q28" s="21" t="e">
        <f>+IF($F28="oui",+VLOOKUP($A28,DATA!$A:$AG,DATA!$Q$3,FALSE),0)</f>
        <v>#N/A</v>
      </c>
      <c r="R28" s="22" t="e">
        <f>+IF($F28="oui",+VLOOKUP($A28,DATA!$A:$AG,DATA!$S$3,FALSE),0)</f>
        <v>#N/A</v>
      </c>
      <c r="S28" s="22" t="e">
        <f>+IF($F28="oui",+VLOOKUP($A28,DATA!$A:$AG,DATA!$U$3,FALSE),0)</f>
        <v>#N/A</v>
      </c>
      <c r="T28" s="22" t="e">
        <f>+IF($F28="oui",+VLOOKUP($A28,DATA!$A:$AG,DATA!$W$3,FALSE),0)</f>
        <v>#N/A</v>
      </c>
      <c r="U28" s="22" t="e">
        <f>+IF($F28="oui",+VLOOKUP($A28,DATA!$A:$AG,DATA!$Y$3,FALSE),0)</f>
        <v>#N/A</v>
      </c>
      <c r="V28" s="22" t="e">
        <f>+IF($F28="oui",+VLOOKUP($A28,DATA!$A:$AG,DATA!$AA$3,FALSE),0)</f>
        <v>#N/A</v>
      </c>
      <c r="W28" s="22" t="e">
        <f>+IF($F28="oui",+VLOOKUP($A28,DATA!$A:$AG,DATA!$AC$3,FALSE),0)</f>
        <v>#N/A</v>
      </c>
      <c r="X28" s="22" t="e">
        <f>+IF($F28="oui",+VLOOKUP($A28,DATA!$A:$AG,DATA!$AE$3,FALSE),0)</f>
        <v>#N/A</v>
      </c>
      <c r="Y28" s="23" t="e">
        <f>+IF($F28="oui",+VLOOKUP($A28,DATA!$A:$AG,DATA!$AG$3,FALSE),0)</f>
        <v>#N/A</v>
      </c>
      <c r="Z28" s="118" t="e">
        <f t="shared" si="1"/>
        <v>#N/A</v>
      </c>
      <c r="AA28" s="43" t="e">
        <f t="shared" si="2"/>
        <v>#N/A</v>
      </c>
      <c r="AB28" s="44" t="e">
        <f t="shared" si="3"/>
        <v>#N/A</v>
      </c>
      <c r="AC28" s="44" t="e">
        <f t="shared" si="4"/>
        <v>#N/A</v>
      </c>
      <c r="AD28" s="44" t="e">
        <f t="shared" si="5"/>
        <v>#N/A</v>
      </c>
      <c r="AE28" s="44" t="e">
        <f t="shared" si="6"/>
        <v>#N/A</v>
      </c>
      <c r="AF28" s="44" t="e">
        <f t="shared" si="7"/>
        <v>#N/A</v>
      </c>
      <c r="AG28" s="44" t="e">
        <f t="shared" si="8"/>
        <v>#N/A</v>
      </c>
      <c r="AH28" s="44" t="e">
        <f t="shared" si="9"/>
        <v>#N/A</v>
      </c>
      <c r="AI28" s="45" t="e">
        <f t="shared" si="10"/>
        <v>#N/A</v>
      </c>
      <c r="AJ28" s="70" t="e">
        <f>+IF(Q28=0," ",+WORKDAY.INTL(+VLOOKUP(AJ$1,POSTE!$B:$G,3,FALSE),+CUM!AA27/+VLOOKUP(AJ$1,POSTE!$B:$H,7,FALSE),,CONGÉ!$C$2:$C$80))</f>
        <v>#N/A</v>
      </c>
      <c r="AK28" s="50" t="e">
        <f>+IF(R28=0," ",+WORKDAY.INTL(+VLOOKUP(AK$1,POSTE!$B:$G,3,FALSE),+CUM!AB27/+VLOOKUP(AK$1,POSTE!$B:$H,7,FALSE),,CONGÉ!$C$2:$C$80))</f>
        <v>#N/A</v>
      </c>
      <c r="AL28" s="50" t="e">
        <f>+IF(S28=0," ",+WORKDAY.INTL(+VLOOKUP(AL$1,POSTE!$B:$G,3,FALSE),+CUM!AC27/+VLOOKUP(AL$1,POSTE!$B:$H,7,FALSE),,CONGÉ!$C$2:$C$80))</f>
        <v>#N/A</v>
      </c>
      <c r="AM28" s="50" t="e">
        <f>+IF(T28=0," ",+WORKDAY.INTL(+VLOOKUP(AM$1,POSTE!$B:$G,3,FALSE),+CUM!AD27/+VLOOKUP(AM$1,POSTE!$B:$H,7,FALSE),,CONGÉ!$C$2:$C$80))</f>
        <v>#N/A</v>
      </c>
      <c r="AN28" s="50" t="e">
        <f>+IF(U28=0," ",+WORKDAY.INTL(+VLOOKUP(AN$1,POSTE!$B:$G,3,FALSE),+CUM!AE27/+VLOOKUP(AN$1,POSTE!$B:$H,7,FALSE),,CONGÉ!$C$2:$C$80))</f>
        <v>#N/A</v>
      </c>
      <c r="AO28" s="50" t="e">
        <f>+IF(V28=0," ",+WORKDAY.INTL(+VLOOKUP(AO$1,POSTE!$B:$G,3,FALSE),+CUM!AF27/+VLOOKUP(AO$1,POSTE!$B:$H,7,FALSE),,CONGÉ!$C$2:$C$80))</f>
        <v>#N/A</v>
      </c>
      <c r="AP28" s="50" t="e">
        <f>+IF(W28=0," ",+WORKDAY.INTL(+VLOOKUP(AP$1,POSTE!$B:$G,3,FALSE),+CUM!AG27/+VLOOKUP(AP$1,POSTE!$B:$H,7,FALSE),,CONGÉ!$C$2:$C$80))</f>
        <v>#N/A</v>
      </c>
      <c r="AQ28" s="50" t="e">
        <f>+IF(X28=0," ",+WORKDAY.INTL(+VLOOKUP(AQ$1,POSTE!$B:$G,3,FALSE),+CUM!AH27/+VLOOKUP(AQ$1,POSTE!$B:$H,7,FALSE),,CONGÉ!$C$2:$C$80))</f>
        <v>#N/A</v>
      </c>
      <c r="AR28" s="71" t="e">
        <f>+IF(Y28=0," ",+WORKDAY.INTL(+VLOOKUP(AR$1,POSTE!$B:$G,3,FALSE),+CUM!AI27/+VLOOKUP(AR$1,POSTE!$B:$H,7,FALSE),,CONGÉ!$C$2:$C$80))</f>
        <v>#N/A</v>
      </c>
      <c r="AS28" s="72" t="e">
        <f>+IF(Q28=0," ",+WORKDAY.INTL(+VLOOKUP(AS$1,POSTE!$B:$G,3,FALSE),+CUM!AA28/+VLOOKUP(AS$1,POSTE!$B:$H,7,FALSE),,CONGÉ!$C$2:$C$80))</f>
        <v>#N/A</v>
      </c>
      <c r="AT28" s="73" t="e">
        <f>+IF(R28=0," ",+WORKDAY.INTL(+VLOOKUP(AT$1,POSTE!$B:$G,3,FALSE),+CUM!AB28/+VLOOKUP(AT$1,POSTE!$B:$H,7,FALSE),,CONGÉ!$C$2:$C$80))</f>
        <v>#N/A</v>
      </c>
      <c r="AU28" s="73" t="e">
        <f>+IF(AND(S28=0,T28=0)," ",+WORKDAY.INTL(+VLOOKUP($AS$1,POSTE!B:J,3,FALSE),+(((AC28*POSTE!$H$5)+(CUM!AD28*POSTE!$H$4))/(POSTE!$H$4*POSTE!$H$5*2)),,CONGÉ!$C$2:$C$80))</f>
        <v>#N/A</v>
      </c>
      <c r="AV28" s="73" t="e">
        <f>+IF(U28=0," ",+WORKDAY.INTL(+VLOOKUP(AV$1,POSTE!$B:$G,3,FALSE),+CUM!AE28/+VLOOKUP(AV$1,POSTE!$B:$H,7,FALSE),,CONGÉ!$C$2:$C$80))</f>
        <v>#N/A</v>
      </c>
      <c r="AW28" s="73" t="e">
        <f>+IF(V28=0," ",+WORKDAY.INTL(+VLOOKUP(AW$1,POSTE!$B:$G,3,FALSE),+CUM!AF28/+VLOOKUP(AW$1,POSTE!$B:$H,7,FALSE),,CONGÉ!$C$2:$C$80))</f>
        <v>#N/A</v>
      </c>
      <c r="AX28" s="73" t="e">
        <f>+IF(W28=0," ",+WORKDAY.INTL(+VLOOKUP(AX$1,POSTE!$B:$G,3,FALSE),+CUM!AG28/+VLOOKUP(AX$1,POSTE!$B:$H,7,FALSE),,CONGÉ!$C$2:$C$80))</f>
        <v>#N/A</v>
      </c>
      <c r="AY28" s="73" t="e">
        <f>+IF(X28=0," ",+WORKDAY.INTL(+VLOOKUP(AY$1,POSTE!$B:$G,3,FALSE),+CUM!AH28/+VLOOKUP(AY$1,POSTE!$B:$H,7,FALSE),,CONGÉ!$C$2:$C$80))</f>
        <v>#N/A</v>
      </c>
      <c r="AZ28" s="73" t="e">
        <f>+IF(Y28=0," ",+WORKDAY.INTL(+VLOOKUP(AZ$1,POSTE!$B:$G,3,FALSE),+CUM!AI28/+VLOOKUP(AZ$1,POSTE!$B:$H,7,FALSE),,CONGÉ!$C$2:$C$80))</f>
        <v>#N/A</v>
      </c>
      <c r="BA28" s="73" t="e">
        <f>+IF(S28=0," ",+WORKDAY.INTL(+VLOOKUP(BA$1,POSTE!$B:$G,3,FALSE),+CUM!AC28/+VLOOKUP(BA$1,POSTE!$B:$H,7,FALSE),,CONGÉ!$C$2:$C$80))</f>
        <v>#N/A</v>
      </c>
      <c r="BB28" s="73" t="e">
        <f>+IF(T28=0," ",+WORKDAY.INTL(+VLOOKUP(BB$1,POSTE!$B:$G,3,FALSE),+CUM!AD28/+VLOOKUP(BB$1,POSTE!$B:$H,7,FALSE),,CONGÉ!$C$2:$C$80))</f>
        <v>#N/A</v>
      </c>
      <c r="BC28" s="70" t="e">
        <f t="shared" si="13"/>
        <v>#N/A</v>
      </c>
      <c r="BD28" s="70" t="e">
        <f t="shared" si="14"/>
        <v>#N/A</v>
      </c>
      <c r="BE28" s="129" t="e">
        <f>+IF($F28="oui",+VLOOKUP($A28,DATA!$A:$AH,DATA!$AH$3,FALSE),0)</f>
        <v>#N/A</v>
      </c>
      <c r="BF28" s="129" t="e">
        <f t="shared" si="15"/>
        <v>#N/A</v>
      </c>
      <c r="BG28" s="136" t="e">
        <f>+IF(BE28&gt;0,+MAX((BH$4:BH27),BD28),"")</f>
        <v>#N/A</v>
      </c>
      <c r="BH28" s="136" t="e">
        <f>+IF(BE28&gt;0,+MAX((BH$4:BH27),+WORKDAY.INTL(BG28,+BE28/8,,CONGÉ!$C$2:$C$73)),"")</f>
        <v>#N/A</v>
      </c>
      <c r="BI28" s="136" t="e">
        <f t="shared" si="16"/>
        <v>#N/A</v>
      </c>
      <c r="BJ28" s="43" t="e">
        <f t="shared" si="11"/>
        <v>#N/A</v>
      </c>
      <c r="BK28" s="77">
        <f t="shared" ca="1" si="17"/>
        <v>45754</v>
      </c>
      <c r="BL28" s="78" t="e">
        <f>+(((AC28*POSTE!$H$5)+(CUM!AD28*POSTE!$H$4))/(POSTE!$H$4*POSTE!$H$5*2))</f>
        <v>#N/A</v>
      </c>
      <c r="BM28" s="90" t="e">
        <f ca="1">+WORKDAY.INTL(BK28,BL28,,CONGÉ!C$4:C$72)</f>
        <v>#N/A</v>
      </c>
      <c r="BN28" s="78" t="e">
        <f t="shared" ca="1" si="18"/>
        <v>#N/A</v>
      </c>
    </row>
    <row r="29" spans="1:66" x14ac:dyDescent="0.25">
      <c r="A29" s="49">
        <f t="shared" si="19"/>
        <v>25</v>
      </c>
      <c r="B29" s="185" cm="1">
        <f t="array" ref="B29">_xlfn.LET(_xlpm.CORR,IF(DATA!$B$4:$B$104="",IF(DATA!$A$4:$A$104="","--",DATA!$A$4:$A$104),DATA!$B$4:$B$104),_xlpm.Rx,SMALL(_xlpm.CORR,A29),IFERROR(MATCH(_xlpm.Rx,_xlpm.CORR,0),0))</f>
        <v>0</v>
      </c>
      <c r="C29" s="18" t="e">
        <f>+VLOOKUP($A29,DATA!$A:$AG,DATA!$E$3,FALSE)</f>
        <v>#N/A</v>
      </c>
      <c r="D29" s="18" t="e">
        <f>+VLOOKUP($A29,DATA!$A:$AG,DATA!$D$3,FALSE)</f>
        <v>#N/A</v>
      </c>
      <c r="E29" s="186" t="e">
        <f>+VLOOKUP($A29,DATA!$A:$AG,DATA!$G$3,FALSE)</f>
        <v>#N/A</v>
      </c>
      <c r="F29" s="19" t="e">
        <f>+VLOOKUP($A29,DATA!$A:$AG,DATA!$O$3,FALSE)</f>
        <v>#N/A</v>
      </c>
      <c r="G29" s="43" t="e">
        <f>+IF($F29="oui",+VLOOKUP($A29,DATA!$A:$AG,DATA!$P$3,FALSE),0)</f>
        <v>#N/A</v>
      </c>
      <c r="H29" s="44" t="e">
        <f>+IF($F29="oui",+VLOOKUP($A29,DATA!$A:$AG,DATA!$R$3,FALSE),0)</f>
        <v>#N/A</v>
      </c>
      <c r="I29" s="44" t="e">
        <f>+IF($F29="oui",+VLOOKUP($A29,DATA!$A:$AG,DATA!$T$3,FALSE),0)</f>
        <v>#N/A</v>
      </c>
      <c r="J29" s="44" t="e">
        <f>+IF($F29="oui",+VLOOKUP($A29,DATA!$A:$AG,DATA!$V$3,FALSE),0)</f>
        <v>#N/A</v>
      </c>
      <c r="K29" s="44" t="e">
        <f>+IF($F29="oui",+VLOOKUP($A29,DATA!$A:$AG,DATA!$X$3,FALSE),0)</f>
        <v>#N/A</v>
      </c>
      <c r="L29" s="44" t="e">
        <f>+IF($F29="oui",+VLOOKUP($A29,DATA!$A:$AG,DATA!$Z$3,FALSE),0)</f>
        <v>#N/A</v>
      </c>
      <c r="M29" s="44" t="e">
        <f>+IF($F29="oui",+VLOOKUP($A29,DATA!$A:$AG,DATA!$AB$3,FALSE),0)</f>
        <v>#N/A</v>
      </c>
      <c r="N29" s="44" t="e">
        <f>+IF($F29="oui",+VLOOKUP($A29,DATA!$A:$AG,DATA!$AD$3,FALSE),0)</f>
        <v>#N/A</v>
      </c>
      <c r="O29" s="45" t="e">
        <f>+IF($F29="oui",+VLOOKUP($A29,DATA!$A:$AG,DATA!$AF$3,FALSE),0)</f>
        <v>#N/A</v>
      </c>
      <c r="P29" s="116" t="e">
        <f t="shared" si="12"/>
        <v>#N/A</v>
      </c>
      <c r="Q29" s="21" t="e">
        <f>+IF($F29="oui",+VLOOKUP($A29,DATA!$A:$AG,DATA!$Q$3,FALSE),0)</f>
        <v>#N/A</v>
      </c>
      <c r="R29" s="22" t="e">
        <f>+IF($F29="oui",+VLOOKUP($A29,DATA!$A:$AG,DATA!$S$3,FALSE),0)</f>
        <v>#N/A</v>
      </c>
      <c r="S29" s="22" t="e">
        <f>+IF($F29="oui",+VLOOKUP($A29,DATA!$A:$AG,DATA!$U$3,FALSE),0)</f>
        <v>#N/A</v>
      </c>
      <c r="T29" s="22" t="e">
        <f>+IF($F29="oui",+VLOOKUP($A29,DATA!$A:$AG,DATA!$W$3,FALSE),0)</f>
        <v>#N/A</v>
      </c>
      <c r="U29" s="22" t="e">
        <f>+IF($F29="oui",+VLOOKUP($A29,DATA!$A:$AG,DATA!$Y$3,FALSE),0)</f>
        <v>#N/A</v>
      </c>
      <c r="V29" s="22" t="e">
        <f>+IF($F29="oui",+VLOOKUP($A29,DATA!$A:$AG,DATA!$AA$3,FALSE),0)</f>
        <v>#N/A</v>
      </c>
      <c r="W29" s="22" t="e">
        <f>+IF($F29="oui",+VLOOKUP($A29,DATA!$A:$AG,DATA!$AC$3,FALSE),0)</f>
        <v>#N/A</v>
      </c>
      <c r="X29" s="22" t="e">
        <f>+IF($F29="oui",+VLOOKUP($A29,DATA!$A:$AG,DATA!$AE$3,FALSE),0)</f>
        <v>#N/A</v>
      </c>
      <c r="Y29" s="23" t="e">
        <f>+IF($F29="oui",+VLOOKUP($A29,DATA!$A:$AG,DATA!$AG$3,FALSE),0)</f>
        <v>#N/A</v>
      </c>
      <c r="Z29" s="118" t="e">
        <f t="shared" si="1"/>
        <v>#N/A</v>
      </c>
      <c r="AA29" s="43" t="e">
        <f t="shared" si="2"/>
        <v>#N/A</v>
      </c>
      <c r="AB29" s="44" t="e">
        <f t="shared" si="3"/>
        <v>#N/A</v>
      </c>
      <c r="AC29" s="44" t="e">
        <f t="shared" si="4"/>
        <v>#N/A</v>
      </c>
      <c r="AD29" s="44" t="e">
        <f t="shared" si="5"/>
        <v>#N/A</v>
      </c>
      <c r="AE29" s="44" t="e">
        <f t="shared" si="6"/>
        <v>#N/A</v>
      </c>
      <c r="AF29" s="44" t="e">
        <f t="shared" si="7"/>
        <v>#N/A</v>
      </c>
      <c r="AG29" s="44" t="e">
        <f t="shared" si="8"/>
        <v>#N/A</v>
      </c>
      <c r="AH29" s="44" t="e">
        <f t="shared" si="9"/>
        <v>#N/A</v>
      </c>
      <c r="AI29" s="45" t="e">
        <f t="shared" si="10"/>
        <v>#N/A</v>
      </c>
      <c r="AJ29" s="70" t="e">
        <f>+IF(Q29=0," ",+WORKDAY.INTL(+VLOOKUP(AJ$1,POSTE!$B:$G,3,FALSE),+CUM!AA28/+VLOOKUP(AJ$1,POSTE!$B:$H,7,FALSE),,CONGÉ!$C$2:$C$80))</f>
        <v>#N/A</v>
      </c>
      <c r="AK29" s="50" t="e">
        <f>+IF(R29=0," ",+WORKDAY.INTL(+VLOOKUP(AK$1,POSTE!$B:$G,3,FALSE),+CUM!AB28/+VLOOKUP(AK$1,POSTE!$B:$H,7,FALSE),,CONGÉ!$C$2:$C$80))</f>
        <v>#N/A</v>
      </c>
      <c r="AL29" s="50" t="e">
        <f>+IF(S29=0," ",+WORKDAY.INTL(+VLOOKUP(AL$1,POSTE!$B:$G,3,FALSE),+CUM!AC28/+VLOOKUP(AL$1,POSTE!$B:$H,7,FALSE),,CONGÉ!$C$2:$C$80))</f>
        <v>#N/A</v>
      </c>
      <c r="AM29" s="50" t="e">
        <f>+IF(T29=0," ",+WORKDAY.INTL(+VLOOKUP(AM$1,POSTE!$B:$G,3,FALSE),+CUM!AD28/+VLOOKUP(AM$1,POSTE!$B:$H,7,FALSE),,CONGÉ!$C$2:$C$80))</f>
        <v>#N/A</v>
      </c>
      <c r="AN29" s="50" t="e">
        <f>+IF(U29=0," ",+WORKDAY.INTL(+VLOOKUP(AN$1,POSTE!$B:$G,3,FALSE),+CUM!AE28/+VLOOKUP(AN$1,POSTE!$B:$H,7,FALSE),,CONGÉ!$C$2:$C$80))</f>
        <v>#N/A</v>
      </c>
      <c r="AO29" s="50" t="e">
        <f>+IF(V29=0," ",+WORKDAY.INTL(+VLOOKUP(AO$1,POSTE!$B:$G,3,FALSE),+CUM!AF28/+VLOOKUP(AO$1,POSTE!$B:$H,7,FALSE),,CONGÉ!$C$2:$C$80))</f>
        <v>#N/A</v>
      </c>
      <c r="AP29" s="50" t="e">
        <f>+IF(W29=0," ",+WORKDAY.INTL(+VLOOKUP(AP$1,POSTE!$B:$G,3,FALSE),+CUM!AG28/+VLOOKUP(AP$1,POSTE!$B:$H,7,FALSE),,CONGÉ!$C$2:$C$80))</f>
        <v>#N/A</v>
      </c>
      <c r="AQ29" s="50" t="e">
        <f>+IF(X29=0," ",+WORKDAY.INTL(+VLOOKUP(AQ$1,POSTE!$B:$G,3,FALSE),+CUM!AH28/+VLOOKUP(AQ$1,POSTE!$B:$H,7,FALSE),,CONGÉ!$C$2:$C$80))</f>
        <v>#N/A</v>
      </c>
      <c r="AR29" s="71" t="e">
        <f>+IF(Y29=0," ",+WORKDAY.INTL(+VLOOKUP(AR$1,POSTE!$B:$G,3,FALSE),+CUM!AI28/+VLOOKUP(AR$1,POSTE!$B:$H,7,FALSE),,CONGÉ!$C$2:$C$80))</f>
        <v>#N/A</v>
      </c>
      <c r="AS29" s="72" t="e">
        <f>+IF(Q29=0," ",+WORKDAY.INTL(+VLOOKUP(AS$1,POSTE!$B:$G,3,FALSE),+CUM!AA29/+VLOOKUP(AS$1,POSTE!$B:$H,7,FALSE),,CONGÉ!$C$2:$C$80))</f>
        <v>#N/A</v>
      </c>
      <c r="AT29" s="73" t="e">
        <f>+IF(R29=0," ",+WORKDAY.INTL(+VLOOKUP(AT$1,POSTE!$B:$G,3,FALSE),+CUM!AB29/+VLOOKUP(AT$1,POSTE!$B:$H,7,FALSE),,CONGÉ!$C$2:$C$80))</f>
        <v>#N/A</v>
      </c>
      <c r="AU29" s="73" t="e">
        <f>+IF(AND(S29=0,T29=0)," ",+WORKDAY.INTL(+VLOOKUP($AS$1,POSTE!B:J,3,FALSE),+(((AC29*POSTE!$H$5)+(CUM!AD29*POSTE!$H$4))/(POSTE!$H$4*POSTE!$H$5*2)),,CONGÉ!$C$2:$C$80))</f>
        <v>#N/A</v>
      </c>
      <c r="AV29" s="73" t="e">
        <f>+IF(U29=0," ",+WORKDAY.INTL(+VLOOKUP(AV$1,POSTE!$B:$G,3,FALSE),+CUM!AE29/+VLOOKUP(AV$1,POSTE!$B:$H,7,FALSE),,CONGÉ!$C$2:$C$80))</f>
        <v>#N/A</v>
      </c>
      <c r="AW29" s="73" t="e">
        <f>+IF(V29=0," ",+WORKDAY.INTL(+VLOOKUP(AW$1,POSTE!$B:$G,3,FALSE),+CUM!AF29/+VLOOKUP(AW$1,POSTE!$B:$H,7,FALSE),,CONGÉ!$C$2:$C$80))</f>
        <v>#N/A</v>
      </c>
      <c r="AX29" s="73" t="e">
        <f>+IF(W29=0," ",+WORKDAY.INTL(+VLOOKUP(AX$1,POSTE!$B:$G,3,FALSE),+CUM!AG29/+VLOOKUP(AX$1,POSTE!$B:$H,7,FALSE),,CONGÉ!$C$2:$C$80))</f>
        <v>#N/A</v>
      </c>
      <c r="AY29" s="73" t="e">
        <f>+IF(X29=0," ",+WORKDAY.INTL(+VLOOKUP(AY$1,POSTE!$B:$G,3,FALSE),+CUM!AH29/+VLOOKUP(AY$1,POSTE!$B:$H,7,FALSE),,CONGÉ!$C$2:$C$80))</f>
        <v>#N/A</v>
      </c>
      <c r="AZ29" s="73" t="e">
        <f>+IF(Y29=0," ",+WORKDAY.INTL(+VLOOKUP(AZ$1,POSTE!$B:$G,3,FALSE),+CUM!AI29/+VLOOKUP(AZ$1,POSTE!$B:$H,7,FALSE),,CONGÉ!$C$2:$C$80))</f>
        <v>#N/A</v>
      </c>
      <c r="BA29" s="73" t="e">
        <f>+IF(S29=0," ",+WORKDAY.INTL(+VLOOKUP(BA$1,POSTE!$B:$G,3,FALSE),+CUM!AC29/+VLOOKUP(BA$1,POSTE!$B:$H,7,FALSE),,CONGÉ!$C$2:$C$80))</f>
        <v>#N/A</v>
      </c>
      <c r="BB29" s="73" t="e">
        <f>+IF(T29=0," ",+WORKDAY.INTL(+VLOOKUP(BB$1,POSTE!$B:$G,3,FALSE),+CUM!AD29/+VLOOKUP(BB$1,POSTE!$B:$H,7,FALSE),,CONGÉ!$C$2:$C$80))</f>
        <v>#N/A</v>
      </c>
      <c r="BC29" s="70" t="e">
        <f t="shared" si="13"/>
        <v>#N/A</v>
      </c>
      <c r="BD29" s="70" t="e">
        <f t="shared" si="14"/>
        <v>#N/A</v>
      </c>
      <c r="BE29" s="129" t="e">
        <f>+IF($F29="oui",+VLOOKUP($A29,DATA!$A:$AH,DATA!$AH$3,FALSE),0)</f>
        <v>#N/A</v>
      </c>
      <c r="BF29" s="129" t="e">
        <f t="shared" si="15"/>
        <v>#N/A</v>
      </c>
      <c r="BG29" s="136" t="e">
        <f>+IF(BE29&gt;0,+MAX((BH$4:BH28),BD29),"")</f>
        <v>#N/A</v>
      </c>
      <c r="BH29" s="136" t="e">
        <f>+IF(BE29&gt;0,+MAX((BH$4:BH28),+WORKDAY.INTL(BG29,+BE29/8,,CONGÉ!$C$2:$C$73)),"")</f>
        <v>#N/A</v>
      </c>
      <c r="BI29" s="136" t="e">
        <f t="shared" si="16"/>
        <v>#N/A</v>
      </c>
      <c r="BJ29" s="43" t="e">
        <f t="shared" si="11"/>
        <v>#N/A</v>
      </c>
      <c r="BK29" s="77">
        <f t="shared" ca="1" si="17"/>
        <v>45754</v>
      </c>
      <c r="BL29" s="78" t="e">
        <f>+(((AC29*POSTE!$H$5)+(CUM!AD29*POSTE!$H$4))/(POSTE!$H$4*POSTE!$H$5*2))</f>
        <v>#N/A</v>
      </c>
      <c r="BM29" s="90" t="e">
        <f ca="1">+WORKDAY.INTL(BK29,BL29,,CONGÉ!C$4:C$72)</f>
        <v>#N/A</v>
      </c>
      <c r="BN29" s="78" t="e">
        <f t="shared" ca="1" si="18"/>
        <v>#N/A</v>
      </c>
    </row>
    <row r="30" spans="1:66" x14ac:dyDescent="0.25">
      <c r="A30" s="49">
        <f t="shared" si="19"/>
        <v>26</v>
      </c>
      <c r="B30" s="185" cm="1">
        <f t="array" ref="B30">_xlfn.LET(_xlpm.CORR,IF(DATA!$B$4:$B$104="",IF(DATA!$A$4:$A$104="","--",DATA!$A$4:$A$104),DATA!$B$4:$B$104),_xlpm.Rx,SMALL(_xlpm.CORR,A30),IFERROR(MATCH(_xlpm.Rx,_xlpm.CORR,0),0))</f>
        <v>0</v>
      </c>
      <c r="C30" s="18" t="e">
        <f>+VLOOKUP($A30,DATA!$A:$AG,DATA!$E$3,FALSE)</f>
        <v>#N/A</v>
      </c>
      <c r="D30" s="18" t="e">
        <f>+VLOOKUP($A30,DATA!$A:$AG,DATA!$D$3,FALSE)</f>
        <v>#N/A</v>
      </c>
      <c r="E30" s="186" t="e">
        <f>+VLOOKUP($A30,DATA!$A:$AG,DATA!$G$3,FALSE)</f>
        <v>#N/A</v>
      </c>
      <c r="F30" s="19" t="e">
        <f>+VLOOKUP($A30,DATA!$A:$AG,DATA!$O$3,FALSE)</f>
        <v>#N/A</v>
      </c>
      <c r="G30" s="43" t="e">
        <f>+IF($F30="oui",+VLOOKUP($A30,DATA!$A:$AG,DATA!$P$3,FALSE),0)</f>
        <v>#N/A</v>
      </c>
      <c r="H30" s="44" t="e">
        <f>+IF($F30="oui",+VLOOKUP($A30,DATA!$A:$AG,DATA!$R$3,FALSE),0)</f>
        <v>#N/A</v>
      </c>
      <c r="I30" s="44" t="e">
        <f>+IF($F30="oui",+VLOOKUP($A30,DATA!$A:$AG,DATA!$T$3,FALSE),0)</f>
        <v>#N/A</v>
      </c>
      <c r="J30" s="44" t="e">
        <f>+IF($F30="oui",+VLOOKUP($A30,DATA!$A:$AG,DATA!$V$3,FALSE),0)</f>
        <v>#N/A</v>
      </c>
      <c r="K30" s="44" t="e">
        <f>+IF($F30="oui",+VLOOKUP($A30,DATA!$A:$AG,DATA!$X$3,FALSE),0)</f>
        <v>#N/A</v>
      </c>
      <c r="L30" s="44" t="e">
        <f>+IF($F30="oui",+VLOOKUP($A30,DATA!$A:$AG,DATA!$Z$3,FALSE),0)</f>
        <v>#N/A</v>
      </c>
      <c r="M30" s="44" t="e">
        <f>+IF($F30="oui",+VLOOKUP($A30,DATA!$A:$AG,DATA!$AB$3,FALSE),0)</f>
        <v>#N/A</v>
      </c>
      <c r="N30" s="44" t="e">
        <f>+IF($F30="oui",+VLOOKUP($A30,DATA!$A:$AG,DATA!$AD$3,FALSE),0)</f>
        <v>#N/A</v>
      </c>
      <c r="O30" s="45" t="e">
        <f>+IF($F30="oui",+VLOOKUP($A30,DATA!$A:$AG,DATA!$AF$3,FALSE),0)</f>
        <v>#N/A</v>
      </c>
      <c r="P30" s="116" t="e">
        <f t="shared" si="12"/>
        <v>#N/A</v>
      </c>
      <c r="Q30" s="21" t="e">
        <f>+IF($F30="oui",+VLOOKUP($A30,DATA!$A:$AG,DATA!$Q$3,FALSE),0)</f>
        <v>#N/A</v>
      </c>
      <c r="R30" s="22" t="e">
        <f>+IF($F30="oui",+VLOOKUP($A30,DATA!$A:$AG,DATA!$S$3,FALSE),0)</f>
        <v>#N/A</v>
      </c>
      <c r="S30" s="22" t="e">
        <f>+IF($F30="oui",+VLOOKUP($A30,DATA!$A:$AG,DATA!$U$3,FALSE),0)</f>
        <v>#N/A</v>
      </c>
      <c r="T30" s="22" t="e">
        <f>+IF($F30="oui",+VLOOKUP($A30,DATA!$A:$AG,DATA!$W$3,FALSE),0)</f>
        <v>#N/A</v>
      </c>
      <c r="U30" s="22" t="e">
        <f>+IF($F30="oui",+VLOOKUP($A30,DATA!$A:$AG,DATA!$Y$3,FALSE),0)</f>
        <v>#N/A</v>
      </c>
      <c r="V30" s="22" t="e">
        <f>+IF($F30="oui",+VLOOKUP($A30,DATA!$A:$AG,DATA!$AA$3,FALSE),0)</f>
        <v>#N/A</v>
      </c>
      <c r="W30" s="22" t="e">
        <f>+IF($F30="oui",+VLOOKUP($A30,DATA!$A:$AG,DATA!$AC$3,FALSE),0)</f>
        <v>#N/A</v>
      </c>
      <c r="X30" s="22" t="e">
        <f>+IF($F30="oui",+VLOOKUP($A30,DATA!$A:$AG,DATA!$AE$3,FALSE),0)</f>
        <v>#N/A</v>
      </c>
      <c r="Y30" s="23" t="e">
        <f>+IF($F30="oui",+VLOOKUP($A30,DATA!$A:$AG,DATA!$AG$3,FALSE),0)</f>
        <v>#N/A</v>
      </c>
      <c r="Z30" s="118" t="e">
        <f t="shared" si="1"/>
        <v>#N/A</v>
      </c>
      <c r="AA30" s="43" t="e">
        <f t="shared" si="2"/>
        <v>#N/A</v>
      </c>
      <c r="AB30" s="44" t="e">
        <f t="shared" si="3"/>
        <v>#N/A</v>
      </c>
      <c r="AC30" s="44" t="e">
        <f t="shared" si="4"/>
        <v>#N/A</v>
      </c>
      <c r="AD30" s="44" t="e">
        <f t="shared" si="5"/>
        <v>#N/A</v>
      </c>
      <c r="AE30" s="44" t="e">
        <f t="shared" si="6"/>
        <v>#N/A</v>
      </c>
      <c r="AF30" s="44" t="e">
        <f t="shared" si="7"/>
        <v>#N/A</v>
      </c>
      <c r="AG30" s="44" t="e">
        <f t="shared" si="8"/>
        <v>#N/A</v>
      </c>
      <c r="AH30" s="44" t="e">
        <f t="shared" si="9"/>
        <v>#N/A</v>
      </c>
      <c r="AI30" s="45" t="e">
        <f t="shared" si="10"/>
        <v>#N/A</v>
      </c>
      <c r="AJ30" s="70" t="e">
        <f>+IF(Q30=0," ",+WORKDAY.INTL(+VLOOKUP(AJ$1,POSTE!$B:$G,3,FALSE),+CUM!AA29/+VLOOKUP(AJ$1,POSTE!$B:$H,7,FALSE),,CONGÉ!$C$2:$C$80))</f>
        <v>#N/A</v>
      </c>
      <c r="AK30" s="50" t="e">
        <f>+IF(R30=0," ",+WORKDAY.INTL(+VLOOKUP(AK$1,POSTE!$B:$G,3,FALSE),+CUM!AB29/+VLOOKUP(AK$1,POSTE!$B:$H,7,FALSE),,CONGÉ!$C$2:$C$80))</f>
        <v>#N/A</v>
      </c>
      <c r="AL30" s="50" t="e">
        <f>+IF(S30=0," ",+WORKDAY.INTL(+VLOOKUP(AL$1,POSTE!$B:$G,3,FALSE),+CUM!AC29/+VLOOKUP(AL$1,POSTE!$B:$H,7,FALSE),,CONGÉ!$C$2:$C$80))</f>
        <v>#N/A</v>
      </c>
      <c r="AM30" s="50" t="e">
        <f>+IF(T30=0," ",+WORKDAY.INTL(+VLOOKUP(AM$1,POSTE!$B:$G,3,FALSE),+CUM!AD29/+VLOOKUP(AM$1,POSTE!$B:$H,7,FALSE),,CONGÉ!$C$2:$C$80))</f>
        <v>#N/A</v>
      </c>
      <c r="AN30" s="50" t="e">
        <f>+IF(U30=0," ",+WORKDAY.INTL(+VLOOKUP(AN$1,POSTE!$B:$G,3,FALSE),+CUM!AE29/+VLOOKUP(AN$1,POSTE!$B:$H,7,FALSE),,CONGÉ!$C$2:$C$80))</f>
        <v>#N/A</v>
      </c>
      <c r="AO30" s="50" t="e">
        <f>+IF(V30=0," ",+WORKDAY.INTL(+VLOOKUP(AO$1,POSTE!$B:$G,3,FALSE),+CUM!AF29/+VLOOKUP(AO$1,POSTE!$B:$H,7,FALSE),,CONGÉ!$C$2:$C$80))</f>
        <v>#N/A</v>
      </c>
      <c r="AP30" s="50" t="e">
        <f>+IF(W30=0," ",+WORKDAY.INTL(+VLOOKUP(AP$1,POSTE!$B:$G,3,FALSE),+CUM!AG29/+VLOOKUP(AP$1,POSTE!$B:$H,7,FALSE),,CONGÉ!$C$2:$C$80))</f>
        <v>#N/A</v>
      </c>
      <c r="AQ30" s="50" t="e">
        <f>+IF(X30=0," ",+WORKDAY.INTL(+VLOOKUP(AQ$1,POSTE!$B:$G,3,FALSE),+CUM!AH29/+VLOOKUP(AQ$1,POSTE!$B:$H,7,FALSE),,CONGÉ!$C$2:$C$80))</f>
        <v>#N/A</v>
      </c>
      <c r="AR30" s="71" t="e">
        <f>+IF(Y30=0," ",+WORKDAY.INTL(+VLOOKUP(AR$1,POSTE!$B:$G,3,FALSE),+CUM!AI29/+VLOOKUP(AR$1,POSTE!$B:$H,7,FALSE),,CONGÉ!$C$2:$C$80))</f>
        <v>#N/A</v>
      </c>
      <c r="AS30" s="72" t="e">
        <f>+IF(Q30=0," ",+WORKDAY.INTL(+VLOOKUP(AS$1,POSTE!$B:$G,3,FALSE),+CUM!AA30/+VLOOKUP(AS$1,POSTE!$B:$H,7,FALSE),,CONGÉ!$C$2:$C$80))</f>
        <v>#N/A</v>
      </c>
      <c r="AT30" s="73" t="e">
        <f>+IF(R30=0," ",+WORKDAY.INTL(+VLOOKUP(AT$1,POSTE!$B:$G,3,FALSE),+CUM!AB30/+VLOOKUP(AT$1,POSTE!$B:$H,7,FALSE),,CONGÉ!$C$2:$C$80))</f>
        <v>#N/A</v>
      </c>
      <c r="AU30" s="73" t="e">
        <f>+IF(AND(S30=0,T30=0)," ",+WORKDAY.INTL(+VLOOKUP($AS$1,POSTE!B:J,3,FALSE),+(((AC30*POSTE!$H$5)+(CUM!AD30*POSTE!$H$4))/(POSTE!$H$4*POSTE!$H$5*2)),,CONGÉ!$C$2:$C$80))</f>
        <v>#N/A</v>
      </c>
      <c r="AV30" s="73" t="e">
        <f>+IF(U30=0," ",+WORKDAY.INTL(+VLOOKUP(AV$1,POSTE!$B:$G,3,FALSE),+CUM!AE30/+VLOOKUP(AV$1,POSTE!$B:$H,7,FALSE),,CONGÉ!$C$2:$C$80))</f>
        <v>#N/A</v>
      </c>
      <c r="AW30" s="73" t="e">
        <f>+IF(V30=0," ",+WORKDAY.INTL(+VLOOKUP(AW$1,POSTE!$B:$G,3,FALSE),+CUM!AF30/+VLOOKUP(AW$1,POSTE!$B:$H,7,FALSE),,CONGÉ!$C$2:$C$80))</f>
        <v>#N/A</v>
      </c>
      <c r="AX30" s="73" t="e">
        <f>+IF(W30=0," ",+WORKDAY.INTL(+VLOOKUP(AX$1,POSTE!$B:$G,3,FALSE),+CUM!AG30/+VLOOKUP(AX$1,POSTE!$B:$H,7,FALSE),,CONGÉ!$C$2:$C$80))</f>
        <v>#N/A</v>
      </c>
      <c r="AY30" s="73" t="e">
        <f>+IF(X30=0," ",+WORKDAY.INTL(+VLOOKUP(AY$1,POSTE!$B:$G,3,FALSE),+CUM!AH30/+VLOOKUP(AY$1,POSTE!$B:$H,7,FALSE),,CONGÉ!$C$2:$C$80))</f>
        <v>#N/A</v>
      </c>
      <c r="AZ30" s="73" t="e">
        <f>+IF(Y30=0," ",+WORKDAY.INTL(+VLOOKUP(AZ$1,POSTE!$B:$G,3,FALSE),+CUM!AI30/+VLOOKUP(AZ$1,POSTE!$B:$H,7,FALSE),,CONGÉ!$C$2:$C$80))</f>
        <v>#N/A</v>
      </c>
      <c r="BA30" s="73" t="e">
        <f>+IF(S30=0," ",+WORKDAY.INTL(+VLOOKUP(BA$1,POSTE!$B:$G,3,FALSE),+CUM!AC30/+VLOOKUP(BA$1,POSTE!$B:$H,7,FALSE),,CONGÉ!$C$2:$C$80))</f>
        <v>#N/A</v>
      </c>
      <c r="BB30" s="73" t="e">
        <f>+IF(T30=0," ",+WORKDAY.INTL(+VLOOKUP(BB$1,POSTE!$B:$G,3,FALSE),+CUM!AD30/+VLOOKUP(BB$1,POSTE!$B:$H,7,FALSE),,CONGÉ!$C$2:$C$80))</f>
        <v>#N/A</v>
      </c>
      <c r="BC30" s="70" t="e">
        <f t="shared" si="13"/>
        <v>#N/A</v>
      </c>
      <c r="BD30" s="70" t="e">
        <f t="shared" si="14"/>
        <v>#N/A</v>
      </c>
      <c r="BE30" s="129" t="e">
        <f>+IF($F30="oui",+VLOOKUP($A30,DATA!$A:$AH,DATA!$AH$3,FALSE),0)</f>
        <v>#N/A</v>
      </c>
      <c r="BF30" s="129" t="e">
        <f t="shared" si="15"/>
        <v>#N/A</v>
      </c>
      <c r="BG30" s="136" t="e">
        <f>+IF(BE30&gt;0,+MAX((BH$4:BH29),BD30),"")</f>
        <v>#N/A</v>
      </c>
      <c r="BH30" s="136" t="e">
        <f>+IF(BE30&gt;0,+MAX((BH$4:BH29),+WORKDAY.INTL(BG30,+BE30/8,,CONGÉ!$C$2:$C$73)),"")</f>
        <v>#N/A</v>
      </c>
      <c r="BI30" s="136" t="e">
        <f t="shared" si="16"/>
        <v>#N/A</v>
      </c>
      <c r="BJ30" s="43" t="e">
        <f t="shared" si="11"/>
        <v>#N/A</v>
      </c>
      <c r="BK30" s="77">
        <f t="shared" ca="1" si="17"/>
        <v>45754</v>
      </c>
      <c r="BL30" s="78" t="e">
        <f>+(((AC30*POSTE!$H$5)+(CUM!AD30*POSTE!$H$4))/(POSTE!$H$4*POSTE!$H$5*2))</f>
        <v>#N/A</v>
      </c>
      <c r="BM30" s="90" t="e">
        <f ca="1">+WORKDAY.INTL(BK30,BL30,,CONGÉ!C$4:C$72)</f>
        <v>#N/A</v>
      </c>
      <c r="BN30" s="78" t="e">
        <f t="shared" ca="1" si="18"/>
        <v>#N/A</v>
      </c>
    </row>
    <row r="31" spans="1:66" x14ac:dyDescent="0.25">
      <c r="A31" s="49">
        <f t="shared" si="19"/>
        <v>27</v>
      </c>
      <c r="B31" s="185" cm="1">
        <f t="array" ref="B31">_xlfn.LET(_xlpm.CORR,IF(DATA!$B$4:$B$104="",IF(DATA!$A$4:$A$104="","--",DATA!$A$4:$A$104),DATA!$B$4:$B$104),_xlpm.Rx,SMALL(_xlpm.CORR,A31),IFERROR(MATCH(_xlpm.Rx,_xlpm.CORR,0),0))</f>
        <v>0</v>
      </c>
      <c r="C31" s="18" t="e">
        <f>+VLOOKUP($A31,DATA!$A:$AG,DATA!$E$3,FALSE)</f>
        <v>#N/A</v>
      </c>
      <c r="D31" s="18" t="e">
        <f>+VLOOKUP($A31,DATA!$A:$AG,DATA!$D$3,FALSE)</f>
        <v>#N/A</v>
      </c>
      <c r="E31" s="186" t="e">
        <f>+VLOOKUP($A31,DATA!$A:$AG,DATA!$G$3,FALSE)</f>
        <v>#N/A</v>
      </c>
      <c r="F31" s="19" t="e">
        <f>+VLOOKUP($A31,DATA!$A:$AG,DATA!$O$3,FALSE)</f>
        <v>#N/A</v>
      </c>
      <c r="G31" s="43" t="e">
        <f>+IF($F31="oui",+VLOOKUP($A31,DATA!$A:$AG,DATA!$P$3,FALSE),0)</f>
        <v>#N/A</v>
      </c>
      <c r="H31" s="44" t="e">
        <f>+IF($F31="oui",+VLOOKUP($A31,DATA!$A:$AG,DATA!$R$3,FALSE),0)</f>
        <v>#N/A</v>
      </c>
      <c r="I31" s="44" t="e">
        <f>+IF($F31="oui",+VLOOKUP($A31,DATA!$A:$AG,DATA!$T$3,FALSE),0)</f>
        <v>#N/A</v>
      </c>
      <c r="J31" s="44" t="e">
        <f>+IF($F31="oui",+VLOOKUP($A31,DATA!$A:$AG,DATA!$V$3,FALSE),0)</f>
        <v>#N/A</v>
      </c>
      <c r="K31" s="44" t="e">
        <f>+IF($F31="oui",+VLOOKUP($A31,DATA!$A:$AG,DATA!$X$3,FALSE),0)</f>
        <v>#N/A</v>
      </c>
      <c r="L31" s="44" t="e">
        <f>+IF($F31="oui",+VLOOKUP($A31,DATA!$A:$AG,DATA!$Z$3,FALSE),0)</f>
        <v>#N/A</v>
      </c>
      <c r="M31" s="44" t="e">
        <f>+IF($F31="oui",+VLOOKUP($A31,DATA!$A:$AG,DATA!$AB$3,FALSE),0)</f>
        <v>#N/A</v>
      </c>
      <c r="N31" s="44" t="e">
        <f>+IF($F31="oui",+VLOOKUP($A31,DATA!$A:$AG,DATA!$AD$3,FALSE),0)</f>
        <v>#N/A</v>
      </c>
      <c r="O31" s="45" t="e">
        <f>+IF($F31="oui",+VLOOKUP($A31,DATA!$A:$AG,DATA!$AF$3,FALSE),0)</f>
        <v>#N/A</v>
      </c>
      <c r="P31" s="116" t="e">
        <f t="shared" si="12"/>
        <v>#N/A</v>
      </c>
      <c r="Q31" s="21" t="e">
        <f>+IF($F31="oui",+VLOOKUP($A31,DATA!$A:$AG,DATA!$Q$3,FALSE),0)</f>
        <v>#N/A</v>
      </c>
      <c r="R31" s="22" t="e">
        <f>+IF($F31="oui",+VLOOKUP($A31,DATA!$A:$AG,DATA!$S$3,FALSE),0)</f>
        <v>#N/A</v>
      </c>
      <c r="S31" s="22" t="e">
        <f>+IF($F31="oui",+VLOOKUP($A31,DATA!$A:$AG,DATA!$U$3,FALSE),0)</f>
        <v>#N/A</v>
      </c>
      <c r="T31" s="22" t="e">
        <f>+IF($F31="oui",+VLOOKUP($A31,DATA!$A:$AG,DATA!$W$3,FALSE),0)</f>
        <v>#N/A</v>
      </c>
      <c r="U31" s="22" t="e">
        <f>+IF($F31="oui",+VLOOKUP($A31,DATA!$A:$AG,DATA!$Y$3,FALSE),0)</f>
        <v>#N/A</v>
      </c>
      <c r="V31" s="22" t="e">
        <f>+IF($F31="oui",+VLOOKUP($A31,DATA!$A:$AG,DATA!$AA$3,FALSE),0)</f>
        <v>#N/A</v>
      </c>
      <c r="W31" s="22" t="e">
        <f>+IF($F31="oui",+VLOOKUP($A31,DATA!$A:$AG,DATA!$AC$3,FALSE),0)</f>
        <v>#N/A</v>
      </c>
      <c r="X31" s="22" t="e">
        <f>+IF($F31="oui",+VLOOKUP($A31,DATA!$A:$AG,DATA!$AE$3,FALSE),0)</f>
        <v>#N/A</v>
      </c>
      <c r="Y31" s="23" t="e">
        <f>+IF($F31="oui",+VLOOKUP($A31,DATA!$A:$AG,DATA!$AG$3,FALSE),0)</f>
        <v>#N/A</v>
      </c>
      <c r="Z31" s="118" t="e">
        <f t="shared" si="1"/>
        <v>#N/A</v>
      </c>
      <c r="AA31" s="43" t="e">
        <f t="shared" si="2"/>
        <v>#N/A</v>
      </c>
      <c r="AB31" s="44" t="e">
        <f t="shared" si="3"/>
        <v>#N/A</v>
      </c>
      <c r="AC31" s="44" t="e">
        <f t="shared" si="4"/>
        <v>#N/A</v>
      </c>
      <c r="AD31" s="44" t="e">
        <f t="shared" si="5"/>
        <v>#N/A</v>
      </c>
      <c r="AE31" s="44" t="e">
        <f t="shared" si="6"/>
        <v>#N/A</v>
      </c>
      <c r="AF31" s="44" t="e">
        <f t="shared" si="7"/>
        <v>#N/A</v>
      </c>
      <c r="AG31" s="44" t="e">
        <f t="shared" si="8"/>
        <v>#N/A</v>
      </c>
      <c r="AH31" s="44" t="e">
        <f t="shared" si="9"/>
        <v>#N/A</v>
      </c>
      <c r="AI31" s="45" t="e">
        <f t="shared" si="10"/>
        <v>#N/A</v>
      </c>
      <c r="AJ31" s="70" t="e">
        <f>+IF(Q31=0," ",+WORKDAY.INTL(+VLOOKUP(AJ$1,POSTE!$B:$G,3,FALSE),+CUM!AA30/+VLOOKUP(AJ$1,POSTE!$B:$H,7,FALSE),,CONGÉ!$C$2:$C$80))</f>
        <v>#N/A</v>
      </c>
      <c r="AK31" s="50" t="e">
        <f>+IF(R31=0," ",+WORKDAY.INTL(+VLOOKUP(AK$1,POSTE!$B:$G,3,FALSE),+CUM!AB30/+VLOOKUP(AK$1,POSTE!$B:$H,7,FALSE),,CONGÉ!$C$2:$C$80))</f>
        <v>#N/A</v>
      </c>
      <c r="AL31" s="50" t="e">
        <f>+IF(S31=0," ",+WORKDAY.INTL(+VLOOKUP(AL$1,POSTE!$B:$G,3,FALSE),+CUM!AC30/+VLOOKUP(AL$1,POSTE!$B:$H,7,FALSE),,CONGÉ!$C$2:$C$80))</f>
        <v>#N/A</v>
      </c>
      <c r="AM31" s="50" t="e">
        <f>+IF(T31=0," ",+WORKDAY.INTL(+VLOOKUP(AM$1,POSTE!$B:$G,3,FALSE),+CUM!AD30/+VLOOKUP(AM$1,POSTE!$B:$H,7,FALSE),,CONGÉ!$C$2:$C$80))</f>
        <v>#N/A</v>
      </c>
      <c r="AN31" s="50" t="e">
        <f>+IF(U31=0," ",+WORKDAY.INTL(+VLOOKUP(AN$1,POSTE!$B:$G,3,FALSE),+CUM!AE30/+VLOOKUP(AN$1,POSTE!$B:$H,7,FALSE),,CONGÉ!$C$2:$C$80))</f>
        <v>#N/A</v>
      </c>
      <c r="AO31" s="50" t="e">
        <f>+IF(V31=0," ",+WORKDAY.INTL(+VLOOKUP(AO$1,POSTE!$B:$G,3,FALSE),+CUM!AF30/+VLOOKUP(AO$1,POSTE!$B:$H,7,FALSE),,CONGÉ!$C$2:$C$80))</f>
        <v>#N/A</v>
      </c>
      <c r="AP31" s="50" t="e">
        <f>+IF(W31=0," ",+WORKDAY.INTL(+VLOOKUP(AP$1,POSTE!$B:$G,3,FALSE),+CUM!AG30/+VLOOKUP(AP$1,POSTE!$B:$H,7,FALSE),,CONGÉ!$C$2:$C$80))</f>
        <v>#N/A</v>
      </c>
      <c r="AQ31" s="50" t="e">
        <f>+IF(X31=0," ",+WORKDAY.INTL(+VLOOKUP(AQ$1,POSTE!$B:$G,3,FALSE),+CUM!AH30/+VLOOKUP(AQ$1,POSTE!$B:$H,7,FALSE),,CONGÉ!$C$2:$C$80))</f>
        <v>#N/A</v>
      </c>
      <c r="AR31" s="71" t="e">
        <f>+IF(Y31=0," ",+WORKDAY.INTL(+VLOOKUP(AR$1,POSTE!$B:$G,3,FALSE),+CUM!AI30/+VLOOKUP(AR$1,POSTE!$B:$H,7,FALSE),,CONGÉ!$C$2:$C$80))</f>
        <v>#N/A</v>
      </c>
      <c r="AS31" s="72" t="e">
        <f>+IF(Q31=0," ",+WORKDAY.INTL(+VLOOKUP(AS$1,POSTE!$B:$G,3,FALSE),+CUM!AA31/+VLOOKUP(AS$1,POSTE!$B:$H,7,FALSE),,CONGÉ!$C$2:$C$80))</f>
        <v>#N/A</v>
      </c>
      <c r="AT31" s="73" t="e">
        <f>+IF(R31=0," ",+WORKDAY.INTL(+VLOOKUP(AT$1,POSTE!$B:$G,3,FALSE),+CUM!AB31/+VLOOKUP(AT$1,POSTE!$B:$H,7,FALSE),,CONGÉ!$C$2:$C$80))</f>
        <v>#N/A</v>
      </c>
      <c r="AU31" s="73" t="e">
        <f>+IF(AND(S31=0,T31=0)," ",+WORKDAY.INTL(+VLOOKUP($AS$1,POSTE!B:J,3,FALSE),+(((AC31*POSTE!$H$5)+(CUM!AD31*POSTE!$H$4))/(POSTE!$H$4*POSTE!$H$5*2)),,CONGÉ!$C$2:$C$80))</f>
        <v>#N/A</v>
      </c>
      <c r="AV31" s="73" t="e">
        <f>+IF(U31=0," ",+WORKDAY.INTL(+VLOOKUP(AV$1,POSTE!$B:$G,3,FALSE),+CUM!AE31/+VLOOKUP(AV$1,POSTE!$B:$H,7,FALSE),,CONGÉ!$C$2:$C$80))</f>
        <v>#N/A</v>
      </c>
      <c r="AW31" s="73" t="e">
        <f>+IF(V31=0," ",+WORKDAY.INTL(+VLOOKUP(AW$1,POSTE!$B:$G,3,FALSE),+CUM!AF31/+VLOOKUP(AW$1,POSTE!$B:$H,7,FALSE),,CONGÉ!$C$2:$C$80))</f>
        <v>#N/A</v>
      </c>
      <c r="AX31" s="73" t="e">
        <f>+IF(W31=0," ",+WORKDAY.INTL(+VLOOKUP(AX$1,POSTE!$B:$G,3,FALSE),+CUM!AG31/+VLOOKUP(AX$1,POSTE!$B:$H,7,FALSE),,CONGÉ!$C$2:$C$80))</f>
        <v>#N/A</v>
      </c>
      <c r="AY31" s="73" t="e">
        <f>+IF(X31=0," ",+WORKDAY.INTL(+VLOOKUP(AY$1,POSTE!$B:$G,3,FALSE),+CUM!AH31/+VLOOKUP(AY$1,POSTE!$B:$H,7,FALSE),,CONGÉ!$C$2:$C$80))</f>
        <v>#N/A</v>
      </c>
      <c r="AZ31" s="73" t="e">
        <f>+IF(Y31=0," ",+WORKDAY.INTL(+VLOOKUP(AZ$1,POSTE!$B:$G,3,FALSE),+CUM!AI31/+VLOOKUP(AZ$1,POSTE!$B:$H,7,FALSE),,CONGÉ!$C$2:$C$80))</f>
        <v>#N/A</v>
      </c>
      <c r="BA31" s="73" t="e">
        <f>+IF(S31=0," ",+WORKDAY.INTL(+VLOOKUP(BA$1,POSTE!$B:$G,3,FALSE),+CUM!AC31/+VLOOKUP(BA$1,POSTE!$B:$H,7,FALSE),,CONGÉ!$C$2:$C$80))</f>
        <v>#N/A</v>
      </c>
      <c r="BB31" s="73" t="e">
        <f>+IF(T31=0," ",+WORKDAY.INTL(+VLOOKUP(BB$1,POSTE!$B:$G,3,FALSE),+CUM!AD31/+VLOOKUP(BB$1,POSTE!$B:$H,7,FALSE),,CONGÉ!$C$2:$C$80))</f>
        <v>#N/A</v>
      </c>
      <c r="BC31" s="70" t="e">
        <f t="shared" si="13"/>
        <v>#N/A</v>
      </c>
      <c r="BD31" s="70" t="e">
        <f t="shared" si="14"/>
        <v>#N/A</v>
      </c>
      <c r="BE31" s="129" t="e">
        <f>+IF($F31="oui",+VLOOKUP($A31,DATA!$A:$AH,DATA!$AH$3,FALSE),0)</f>
        <v>#N/A</v>
      </c>
      <c r="BF31" s="129" t="e">
        <f t="shared" si="15"/>
        <v>#N/A</v>
      </c>
      <c r="BG31" s="136" t="e">
        <f>+IF(BE31&gt;0,+MAX((BH$4:BH30),BD31),"")</f>
        <v>#N/A</v>
      </c>
      <c r="BH31" s="136" t="e">
        <f>+IF(BE31&gt;0,+MAX((BH$4:BH30),+WORKDAY.INTL(BG31,+BE31/8,,CONGÉ!$C$2:$C$73)),"")</f>
        <v>#N/A</v>
      </c>
      <c r="BI31" s="136" t="e">
        <f t="shared" si="16"/>
        <v>#N/A</v>
      </c>
      <c r="BJ31" s="43" t="e">
        <f t="shared" si="11"/>
        <v>#N/A</v>
      </c>
      <c r="BK31" s="77">
        <f t="shared" ca="1" si="17"/>
        <v>45754</v>
      </c>
      <c r="BL31" s="78" t="e">
        <f>+(((AC31*POSTE!$H$5)+(CUM!AD31*POSTE!$H$4))/(POSTE!$H$4*POSTE!$H$5*2))</f>
        <v>#N/A</v>
      </c>
      <c r="BM31" s="90" t="e">
        <f ca="1">+WORKDAY.INTL(BK31,BL31,,CONGÉ!C$4:C$72)</f>
        <v>#N/A</v>
      </c>
      <c r="BN31" s="78" t="e">
        <f t="shared" ca="1" si="18"/>
        <v>#N/A</v>
      </c>
    </row>
    <row r="32" spans="1:66" x14ac:dyDescent="0.25">
      <c r="A32" s="49">
        <f t="shared" si="19"/>
        <v>28</v>
      </c>
      <c r="B32" s="185" cm="1">
        <f t="array" ref="B32">_xlfn.LET(_xlpm.CORR,IF(DATA!$B$4:$B$104="",IF(DATA!$A$4:$A$104="","--",DATA!$A$4:$A$104),DATA!$B$4:$B$104),_xlpm.Rx,SMALL(_xlpm.CORR,A32),IFERROR(MATCH(_xlpm.Rx,_xlpm.CORR,0),0))</f>
        <v>0</v>
      </c>
      <c r="C32" s="18" t="e">
        <f>+VLOOKUP($A32,DATA!$A:$AG,DATA!$E$3,FALSE)</f>
        <v>#N/A</v>
      </c>
      <c r="D32" s="18" t="e">
        <f>+VLOOKUP($A32,DATA!$A:$AG,DATA!$D$3,FALSE)</f>
        <v>#N/A</v>
      </c>
      <c r="E32" s="186" t="e">
        <f>+VLOOKUP($A32,DATA!$A:$AG,DATA!$G$3,FALSE)</f>
        <v>#N/A</v>
      </c>
      <c r="F32" s="19" t="e">
        <f>+VLOOKUP($A32,DATA!$A:$AG,DATA!$O$3,FALSE)</f>
        <v>#N/A</v>
      </c>
      <c r="G32" s="43" t="e">
        <f>+IF($F32="oui",+VLOOKUP($A32,DATA!$A:$AG,DATA!$P$3,FALSE),0)</f>
        <v>#N/A</v>
      </c>
      <c r="H32" s="44" t="e">
        <f>+IF($F32="oui",+VLOOKUP($A32,DATA!$A:$AG,DATA!$R$3,FALSE),0)</f>
        <v>#N/A</v>
      </c>
      <c r="I32" s="44" t="e">
        <f>+IF($F32="oui",+VLOOKUP($A32,DATA!$A:$AG,DATA!$T$3,FALSE),0)</f>
        <v>#N/A</v>
      </c>
      <c r="J32" s="44" t="e">
        <f>+IF($F32="oui",+VLOOKUP($A32,DATA!$A:$AG,DATA!$V$3,FALSE),0)</f>
        <v>#N/A</v>
      </c>
      <c r="K32" s="44" t="e">
        <f>+IF($F32="oui",+VLOOKUP($A32,DATA!$A:$AG,DATA!$X$3,FALSE),0)</f>
        <v>#N/A</v>
      </c>
      <c r="L32" s="44" t="e">
        <f>+IF($F32="oui",+VLOOKUP($A32,DATA!$A:$AG,DATA!$Z$3,FALSE),0)</f>
        <v>#N/A</v>
      </c>
      <c r="M32" s="44" t="e">
        <f>+IF($F32="oui",+VLOOKUP($A32,DATA!$A:$AG,DATA!$AB$3,FALSE),0)</f>
        <v>#N/A</v>
      </c>
      <c r="N32" s="44" t="e">
        <f>+IF($F32="oui",+VLOOKUP($A32,DATA!$A:$AG,DATA!$AD$3,FALSE),0)</f>
        <v>#N/A</v>
      </c>
      <c r="O32" s="45" t="e">
        <f>+IF($F32="oui",+VLOOKUP($A32,DATA!$A:$AG,DATA!$AF$3,FALSE),0)</f>
        <v>#N/A</v>
      </c>
      <c r="P32" s="116" t="e">
        <f t="shared" si="12"/>
        <v>#N/A</v>
      </c>
      <c r="Q32" s="21" t="e">
        <f>+IF($F32="oui",+VLOOKUP($A32,DATA!$A:$AG,DATA!$Q$3,FALSE),0)</f>
        <v>#N/A</v>
      </c>
      <c r="R32" s="22" t="e">
        <f>+IF($F32="oui",+VLOOKUP($A32,DATA!$A:$AG,DATA!$S$3,FALSE),0)</f>
        <v>#N/A</v>
      </c>
      <c r="S32" s="22" t="e">
        <f>+IF($F32="oui",+VLOOKUP($A32,DATA!$A:$AG,DATA!$U$3,FALSE),0)</f>
        <v>#N/A</v>
      </c>
      <c r="T32" s="22" t="e">
        <f>+IF($F32="oui",+VLOOKUP($A32,DATA!$A:$AG,DATA!$W$3,FALSE),0)</f>
        <v>#N/A</v>
      </c>
      <c r="U32" s="22" t="e">
        <f>+IF($F32="oui",+VLOOKUP($A32,DATA!$A:$AG,DATA!$Y$3,FALSE),0)</f>
        <v>#N/A</v>
      </c>
      <c r="V32" s="22" t="e">
        <f>+IF($F32="oui",+VLOOKUP($A32,DATA!$A:$AG,DATA!$AA$3,FALSE),0)</f>
        <v>#N/A</v>
      </c>
      <c r="W32" s="22" t="e">
        <f>+IF($F32="oui",+VLOOKUP($A32,DATA!$A:$AG,DATA!$AC$3,FALSE),0)</f>
        <v>#N/A</v>
      </c>
      <c r="X32" s="22" t="e">
        <f>+IF($F32="oui",+VLOOKUP($A32,DATA!$A:$AG,DATA!$AE$3,FALSE),0)</f>
        <v>#N/A</v>
      </c>
      <c r="Y32" s="23" t="e">
        <f>+IF($F32="oui",+VLOOKUP($A32,DATA!$A:$AG,DATA!$AG$3,FALSE),0)</f>
        <v>#N/A</v>
      </c>
      <c r="Z32" s="118" t="e">
        <f t="shared" si="1"/>
        <v>#N/A</v>
      </c>
      <c r="AA32" s="43" t="e">
        <f t="shared" si="2"/>
        <v>#N/A</v>
      </c>
      <c r="AB32" s="44" t="e">
        <f t="shared" si="3"/>
        <v>#N/A</v>
      </c>
      <c r="AC32" s="44" t="e">
        <f t="shared" si="4"/>
        <v>#N/A</v>
      </c>
      <c r="AD32" s="44" t="e">
        <f t="shared" si="5"/>
        <v>#N/A</v>
      </c>
      <c r="AE32" s="44" t="e">
        <f t="shared" si="6"/>
        <v>#N/A</v>
      </c>
      <c r="AF32" s="44" t="e">
        <f t="shared" si="7"/>
        <v>#N/A</v>
      </c>
      <c r="AG32" s="44" t="e">
        <f t="shared" si="8"/>
        <v>#N/A</v>
      </c>
      <c r="AH32" s="44" t="e">
        <f t="shared" si="9"/>
        <v>#N/A</v>
      </c>
      <c r="AI32" s="45" t="e">
        <f t="shared" si="10"/>
        <v>#N/A</v>
      </c>
      <c r="AJ32" s="70" t="e">
        <f>+IF(Q32=0," ",+WORKDAY.INTL(+VLOOKUP(AJ$1,POSTE!$B:$G,3,FALSE),+CUM!AA31/+VLOOKUP(AJ$1,POSTE!$B:$H,7,FALSE),,CONGÉ!$C$2:$C$80))</f>
        <v>#N/A</v>
      </c>
      <c r="AK32" s="50" t="e">
        <f>+IF(R32=0," ",+WORKDAY.INTL(+VLOOKUP(AK$1,POSTE!$B:$G,3,FALSE),+CUM!AB31/+VLOOKUP(AK$1,POSTE!$B:$H,7,FALSE),,CONGÉ!$C$2:$C$80))</f>
        <v>#N/A</v>
      </c>
      <c r="AL32" s="50" t="e">
        <f>+IF(S32=0," ",+WORKDAY.INTL(+VLOOKUP(AL$1,POSTE!$B:$G,3,FALSE),+CUM!AC31/+VLOOKUP(AL$1,POSTE!$B:$H,7,FALSE),,CONGÉ!$C$2:$C$80))</f>
        <v>#N/A</v>
      </c>
      <c r="AM32" s="50" t="e">
        <f>+IF(T32=0," ",+WORKDAY.INTL(+VLOOKUP(AM$1,POSTE!$B:$G,3,FALSE),+CUM!AD31/+VLOOKUP(AM$1,POSTE!$B:$H,7,FALSE),,CONGÉ!$C$2:$C$80))</f>
        <v>#N/A</v>
      </c>
      <c r="AN32" s="50" t="e">
        <f>+IF(U32=0," ",+WORKDAY.INTL(+VLOOKUP(AN$1,POSTE!$B:$G,3,FALSE),+CUM!AE31/+VLOOKUP(AN$1,POSTE!$B:$H,7,FALSE),,CONGÉ!$C$2:$C$80))</f>
        <v>#N/A</v>
      </c>
      <c r="AO32" s="50" t="e">
        <f>+IF(V32=0," ",+WORKDAY.INTL(+VLOOKUP(AO$1,POSTE!$B:$G,3,FALSE),+CUM!AF31/+VLOOKUP(AO$1,POSTE!$B:$H,7,FALSE),,CONGÉ!$C$2:$C$80))</f>
        <v>#N/A</v>
      </c>
      <c r="AP32" s="50" t="e">
        <f>+IF(W32=0," ",+WORKDAY.INTL(+VLOOKUP(AP$1,POSTE!$B:$G,3,FALSE),+CUM!AG31/+VLOOKUP(AP$1,POSTE!$B:$H,7,FALSE),,CONGÉ!$C$2:$C$80))</f>
        <v>#N/A</v>
      </c>
      <c r="AQ32" s="50" t="e">
        <f>+IF(X32=0," ",+WORKDAY.INTL(+VLOOKUP(AQ$1,POSTE!$B:$G,3,FALSE),+CUM!AH31/+VLOOKUP(AQ$1,POSTE!$B:$H,7,FALSE),,CONGÉ!$C$2:$C$80))</f>
        <v>#N/A</v>
      </c>
      <c r="AR32" s="71" t="e">
        <f>+IF(Y32=0," ",+WORKDAY.INTL(+VLOOKUP(AR$1,POSTE!$B:$G,3,FALSE),+CUM!AI31/+VLOOKUP(AR$1,POSTE!$B:$H,7,FALSE),,CONGÉ!$C$2:$C$80))</f>
        <v>#N/A</v>
      </c>
      <c r="AS32" s="72" t="e">
        <f>+IF(Q32=0," ",+WORKDAY.INTL(+VLOOKUP(AS$1,POSTE!$B:$G,3,FALSE),+CUM!AA32/+VLOOKUP(AS$1,POSTE!$B:$H,7,FALSE),,CONGÉ!$C$2:$C$80))</f>
        <v>#N/A</v>
      </c>
      <c r="AT32" s="73" t="e">
        <f>+IF(R32=0," ",+WORKDAY.INTL(+VLOOKUP(AT$1,POSTE!$B:$G,3,FALSE),+CUM!AB32/+VLOOKUP(AT$1,POSTE!$B:$H,7,FALSE),,CONGÉ!$C$2:$C$80))</f>
        <v>#N/A</v>
      </c>
      <c r="AU32" s="73" t="e">
        <f>+IF(AND(S32=0,T32=0)," ",+WORKDAY.INTL(+VLOOKUP($AS$1,POSTE!B:J,3,FALSE),+(((AC32*POSTE!$H$5)+(CUM!AD32*POSTE!$H$4))/(POSTE!$H$4*POSTE!$H$5*2)),,CONGÉ!$C$2:$C$80))</f>
        <v>#N/A</v>
      </c>
      <c r="AV32" s="73" t="e">
        <f>+IF(U32=0," ",+WORKDAY.INTL(+VLOOKUP(AV$1,POSTE!$B:$G,3,FALSE),+CUM!AE32/+VLOOKUP(AV$1,POSTE!$B:$H,7,FALSE),,CONGÉ!$C$2:$C$80))</f>
        <v>#N/A</v>
      </c>
      <c r="AW32" s="73" t="e">
        <f>+IF(V32=0," ",+WORKDAY.INTL(+VLOOKUP(AW$1,POSTE!$B:$G,3,FALSE),+CUM!AF32/+VLOOKUP(AW$1,POSTE!$B:$H,7,FALSE),,CONGÉ!$C$2:$C$80))</f>
        <v>#N/A</v>
      </c>
      <c r="AX32" s="73" t="e">
        <f>+IF(W32=0," ",+WORKDAY.INTL(+VLOOKUP(AX$1,POSTE!$B:$G,3,FALSE),+CUM!AG32/+VLOOKUP(AX$1,POSTE!$B:$H,7,FALSE),,CONGÉ!$C$2:$C$80))</f>
        <v>#N/A</v>
      </c>
      <c r="AY32" s="73" t="e">
        <f>+IF(X32=0," ",+WORKDAY.INTL(+VLOOKUP(AY$1,POSTE!$B:$G,3,FALSE),+CUM!AH32/+VLOOKUP(AY$1,POSTE!$B:$H,7,FALSE),,CONGÉ!$C$2:$C$80))</f>
        <v>#N/A</v>
      </c>
      <c r="AZ32" s="73" t="e">
        <f>+IF(Y32=0," ",+WORKDAY.INTL(+VLOOKUP(AZ$1,POSTE!$B:$G,3,FALSE),+CUM!AI32/+VLOOKUP(AZ$1,POSTE!$B:$H,7,FALSE),,CONGÉ!$C$2:$C$80))</f>
        <v>#N/A</v>
      </c>
      <c r="BA32" s="73" t="e">
        <f>+IF(S32=0," ",+WORKDAY.INTL(+VLOOKUP(BA$1,POSTE!$B:$G,3,FALSE),+CUM!AC32/+VLOOKUP(BA$1,POSTE!$B:$H,7,FALSE),,CONGÉ!$C$2:$C$80))</f>
        <v>#N/A</v>
      </c>
      <c r="BB32" s="73" t="e">
        <f>+IF(T32=0," ",+WORKDAY.INTL(+VLOOKUP(BB$1,POSTE!$B:$G,3,FALSE),+CUM!AD32/+VLOOKUP(BB$1,POSTE!$B:$H,7,FALSE),,CONGÉ!$C$2:$C$80))</f>
        <v>#N/A</v>
      </c>
      <c r="BC32" s="70" t="e">
        <f t="shared" si="13"/>
        <v>#N/A</v>
      </c>
      <c r="BD32" s="70" t="e">
        <f t="shared" si="14"/>
        <v>#N/A</v>
      </c>
      <c r="BE32" s="129" t="e">
        <f>+IF($F32="oui",+VLOOKUP($A32,DATA!$A:$AH,DATA!$AH$3,FALSE),0)</f>
        <v>#N/A</v>
      </c>
      <c r="BF32" s="129" t="e">
        <f t="shared" si="15"/>
        <v>#N/A</v>
      </c>
      <c r="BG32" s="136" t="e">
        <f>+IF(BE32&gt;0,+MAX((BH$4:BH31),BD32),"")</f>
        <v>#N/A</v>
      </c>
      <c r="BH32" s="136" t="e">
        <f>+IF(BE32&gt;0,+MAX((BH$4:BH31),+WORKDAY.INTL(BG32,+BE32/8,,CONGÉ!$C$2:$C$73)),"")</f>
        <v>#N/A</v>
      </c>
      <c r="BI32" s="136" t="e">
        <f t="shared" si="16"/>
        <v>#N/A</v>
      </c>
      <c r="BJ32" s="43" t="e">
        <f t="shared" si="11"/>
        <v>#N/A</v>
      </c>
      <c r="BK32" s="77">
        <f t="shared" ca="1" si="17"/>
        <v>45754</v>
      </c>
      <c r="BL32" s="78" t="e">
        <f>+(((AC32*POSTE!$H$5)+(CUM!AD32*POSTE!$H$4))/(POSTE!$H$4*POSTE!$H$5*2))</f>
        <v>#N/A</v>
      </c>
      <c r="BM32" s="90" t="e">
        <f ca="1">+WORKDAY.INTL(BK32,BL32,,CONGÉ!C$4:C$72)</f>
        <v>#N/A</v>
      </c>
      <c r="BN32" s="78" t="e">
        <f t="shared" ca="1" si="18"/>
        <v>#N/A</v>
      </c>
    </row>
    <row r="33" spans="1:66" x14ac:dyDescent="0.25">
      <c r="A33" s="49">
        <f t="shared" si="19"/>
        <v>29</v>
      </c>
      <c r="B33" s="185" cm="1">
        <f t="array" ref="B33">_xlfn.LET(_xlpm.CORR,IF(DATA!$B$4:$B$104="",IF(DATA!$A$4:$A$104="","--",DATA!$A$4:$A$104),DATA!$B$4:$B$104),_xlpm.Rx,SMALL(_xlpm.CORR,A33),IFERROR(MATCH(_xlpm.Rx,_xlpm.CORR,0),0))</f>
        <v>0</v>
      </c>
      <c r="C33" s="18" t="e">
        <f>+VLOOKUP($A33,DATA!$A:$AG,DATA!$E$3,FALSE)</f>
        <v>#N/A</v>
      </c>
      <c r="D33" s="18" t="e">
        <f>+VLOOKUP($A33,DATA!$A:$AG,DATA!$D$3,FALSE)</f>
        <v>#N/A</v>
      </c>
      <c r="E33" s="186" t="e">
        <f>+VLOOKUP($A33,DATA!$A:$AG,DATA!$G$3,FALSE)</f>
        <v>#N/A</v>
      </c>
      <c r="F33" s="19" t="e">
        <f>+VLOOKUP($A33,DATA!$A:$AG,DATA!$O$3,FALSE)</f>
        <v>#N/A</v>
      </c>
      <c r="G33" s="43" t="e">
        <f>+IF($F33="oui",+VLOOKUP($A33,DATA!$A:$AG,DATA!$P$3,FALSE),0)</f>
        <v>#N/A</v>
      </c>
      <c r="H33" s="44" t="e">
        <f>+IF($F33="oui",+VLOOKUP($A33,DATA!$A:$AG,DATA!$R$3,FALSE),0)</f>
        <v>#N/A</v>
      </c>
      <c r="I33" s="44" t="e">
        <f>+IF($F33="oui",+VLOOKUP($A33,DATA!$A:$AG,DATA!$T$3,FALSE),0)</f>
        <v>#N/A</v>
      </c>
      <c r="J33" s="44" t="e">
        <f>+IF($F33="oui",+VLOOKUP($A33,DATA!$A:$AG,DATA!$V$3,FALSE),0)</f>
        <v>#N/A</v>
      </c>
      <c r="K33" s="44" t="e">
        <f>+IF($F33="oui",+VLOOKUP($A33,DATA!$A:$AG,DATA!$X$3,FALSE),0)</f>
        <v>#N/A</v>
      </c>
      <c r="L33" s="44" t="e">
        <f>+IF($F33="oui",+VLOOKUP($A33,DATA!$A:$AG,DATA!$Z$3,FALSE),0)</f>
        <v>#N/A</v>
      </c>
      <c r="M33" s="44" t="e">
        <f>+IF($F33="oui",+VLOOKUP($A33,DATA!$A:$AG,DATA!$AB$3,FALSE),0)</f>
        <v>#N/A</v>
      </c>
      <c r="N33" s="44" t="e">
        <f>+IF($F33="oui",+VLOOKUP($A33,DATA!$A:$AG,DATA!$AD$3,FALSE),0)</f>
        <v>#N/A</v>
      </c>
      <c r="O33" s="45" t="e">
        <f>+IF($F33="oui",+VLOOKUP($A33,DATA!$A:$AG,DATA!$AF$3,FALSE),0)</f>
        <v>#N/A</v>
      </c>
      <c r="P33" s="116" t="e">
        <f t="shared" si="12"/>
        <v>#N/A</v>
      </c>
      <c r="Q33" s="21" t="e">
        <f>+IF($F33="oui",+VLOOKUP($A33,DATA!$A:$AG,DATA!$Q$3,FALSE),0)</f>
        <v>#N/A</v>
      </c>
      <c r="R33" s="22" t="e">
        <f>+IF($F33="oui",+VLOOKUP($A33,DATA!$A:$AG,DATA!$S$3,FALSE),0)</f>
        <v>#N/A</v>
      </c>
      <c r="S33" s="22" t="e">
        <f>+IF($F33="oui",+VLOOKUP($A33,DATA!$A:$AG,DATA!$U$3,FALSE),0)</f>
        <v>#N/A</v>
      </c>
      <c r="T33" s="22" t="e">
        <f>+IF($F33="oui",+VLOOKUP($A33,DATA!$A:$AG,DATA!$W$3,FALSE),0)</f>
        <v>#N/A</v>
      </c>
      <c r="U33" s="22" t="e">
        <f>+IF($F33="oui",+VLOOKUP($A33,DATA!$A:$AG,DATA!$Y$3,FALSE),0)</f>
        <v>#N/A</v>
      </c>
      <c r="V33" s="22" t="e">
        <f>+IF($F33="oui",+VLOOKUP($A33,DATA!$A:$AG,DATA!$AA$3,FALSE),0)</f>
        <v>#N/A</v>
      </c>
      <c r="W33" s="22" t="e">
        <f>+IF($F33="oui",+VLOOKUP($A33,DATA!$A:$AG,DATA!$AC$3,FALSE),0)</f>
        <v>#N/A</v>
      </c>
      <c r="X33" s="22" t="e">
        <f>+IF($F33="oui",+VLOOKUP($A33,DATA!$A:$AG,DATA!$AE$3,FALSE),0)</f>
        <v>#N/A</v>
      </c>
      <c r="Y33" s="23" t="e">
        <f>+IF($F33="oui",+VLOOKUP($A33,DATA!$A:$AG,DATA!$AG$3,FALSE),0)</f>
        <v>#N/A</v>
      </c>
      <c r="Z33" s="118" t="e">
        <f t="shared" si="1"/>
        <v>#N/A</v>
      </c>
      <c r="AA33" s="43" t="e">
        <f t="shared" si="2"/>
        <v>#N/A</v>
      </c>
      <c r="AB33" s="44" t="e">
        <f t="shared" si="3"/>
        <v>#N/A</v>
      </c>
      <c r="AC33" s="44" t="e">
        <f t="shared" si="4"/>
        <v>#N/A</v>
      </c>
      <c r="AD33" s="44" t="e">
        <f t="shared" si="5"/>
        <v>#N/A</v>
      </c>
      <c r="AE33" s="44" t="e">
        <f t="shared" si="6"/>
        <v>#N/A</v>
      </c>
      <c r="AF33" s="44" t="e">
        <f t="shared" si="7"/>
        <v>#N/A</v>
      </c>
      <c r="AG33" s="44" t="e">
        <f t="shared" si="8"/>
        <v>#N/A</v>
      </c>
      <c r="AH33" s="44" t="e">
        <f t="shared" si="9"/>
        <v>#N/A</v>
      </c>
      <c r="AI33" s="45" t="e">
        <f t="shared" si="10"/>
        <v>#N/A</v>
      </c>
      <c r="AJ33" s="70" t="e">
        <f>+IF(Q33=0," ",+WORKDAY.INTL(+VLOOKUP(AJ$1,POSTE!$B:$G,3,FALSE),+CUM!AA32/+VLOOKUP(AJ$1,POSTE!$B:$H,7,FALSE),,CONGÉ!$C$2:$C$80))</f>
        <v>#N/A</v>
      </c>
      <c r="AK33" s="50" t="e">
        <f>+IF(R33=0," ",+WORKDAY.INTL(+VLOOKUP(AK$1,POSTE!$B:$G,3,FALSE),+CUM!AB32/+VLOOKUP(AK$1,POSTE!$B:$H,7,FALSE),,CONGÉ!$C$2:$C$80))</f>
        <v>#N/A</v>
      </c>
      <c r="AL33" s="50" t="e">
        <f>+IF(S33=0," ",+WORKDAY.INTL(+VLOOKUP(AL$1,POSTE!$B:$G,3,FALSE),+CUM!AC32/+VLOOKUP(AL$1,POSTE!$B:$H,7,FALSE),,CONGÉ!$C$2:$C$80))</f>
        <v>#N/A</v>
      </c>
      <c r="AM33" s="50" t="e">
        <f>+IF(T33=0," ",+WORKDAY.INTL(+VLOOKUP(AM$1,POSTE!$B:$G,3,FALSE),+CUM!AD32/+VLOOKUP(AM$1,POSTE!$B:$H,7,FALSE),,CONGÉ!$C$2:$C$80))</f>
        <v>#N/A</v>
      </c>
      <c r="AN33" s="50" t="e">
        <f>+IF(U33=0," ",+WORKDAY.INTL(+VLOOKUP(AN$1,POSTE!$B:$G,3,FALSE),+CUM!AE32/+VLOOKUP(AN$1,POSTE!$B:$H,7,FALSE),,CONGÉ!$C$2:$C$80))</f>
        <v>#N/A</v>
      </c>
      <c r="AO33" s="50" t="e">
        <f>+IF(V33=0," ",+WORKDAY.INTL(+VLOOKUP(AO$1,POSTE!$B:$G,3,FALSE),+CUM!AF32/+VLOOKUP(AO$1,POSTE!$B:$H,7,FALSE),,CONGÉ!$C$2:$C$80))</f>
        <v>#N/A</v>
      </c>
      <c r="AP33" s="50" t="e">
        <f>+IF(W33=0," ",+WORKDAY.INTL(+VLOOKUP(AP$1,POSTE!$B:$G,3,FALSE),+CUM!AG32/+VLOOKUP(AP$1,POSTE!$B:$H,7,FALSE),,CONGÉ!$C$2:$C$80))</f>
        <v>#N/A</v>
      </c>
      <c r="AQ33" s="50" t="e">
        <f>+IF(X33=0," ",+WORKDAY.INTL(+VLOOKUP(AQ$1,POSTE!$B:$G,3,FALSE),+CUM!AH32/+VLOOKUP(AQ$1,POSTE!$B:$H,7,FALSE),,CONGÉ!$C$2:$C$80))</f>
        <v>#N/A</v>
      </c>
      <c r="AR33" s="71" t="e">
        <f>+IF(Y33=0," ",+WORKDAY.INTL(+VLOOKUP(AR$1,POSTE!$B:$G,3,FALSE),+CUM!AI32/+VLOOKUP(AR$1,POSTE!$B:$H,7,FALSE),,CONGÉ!$C$2:$C$80))</f>
        <v>#N/A</v>
      </c>
      <c r="AS33" s="72" t="e">
        <f>+IF(Q33=0," ",+WORKDAY.INTL(+VLOOKUP(AS$1,POSTE!$B:$G,3,FALSE),+CUM!AA33/+VLOOKUP(AS$1,POSTE!$B:$H,7,FALSE),,CONGÉ!$C$2:$C$80))</f>
        <v>#N/A</v>
      </c>
      <c r="AT33" s="73" t="e">
        <f>+IF(R33=0," ",+WORKDAY.INTL(+VLOOKUP(AT$1,POSTE!$B:$G,3,FALSE),+CUM!AB33/+VLOOKUP(AT$1,POSTE!$B:$H,7,FALSE),,CONGÉ!$C$2:$C$80))</f>
        <v>#N/A</v>
      </c>
      <c r="AU33" s="73" t="e">
        <f>+IF(AND(S33=0,T33=0)," ",+WORKDAY.INTL(+VLOOKUP($AS$1,POSTE!B:J,3,FALSE),+(((AC33*POSTE!$H$5)+(CUM!AD33*POSTE!$H$4))/(POSTE!$H$4*POSTE!$H$5*2)),,CONGÉ!$C$2:$C$80))</f>
        <v>#N/A</v>
      </c>
      <c r="AV33" s="73" t="e">
        <f>+IF(U33=0," ",+WORKDAY.INTL(+VLOOKUP(AV$1,POSTE!$B:$G,3,FALSE),+CUM!AE33/+VLOOKUP(AV$1,POSTE!$B:$H,7,FALSE),,CONGÉ!$C$2:$C$80))</f>
        <v>#N/A</v>
      </c>
      <c r="AW33" s="73" t="e">
        <f>+IF(V33=0," ",+WORKDAY.INTL(+VLOOKUP(AW$1,POSTE!$B:$G,3,FALSE),+CUM!AF33/+VLOOKUP(AW$1,POSTE!$B:$H,7,FALSE),,CONGÉ!$C$2:$C$80))</f>
        <v>#N/A</v>
      </c>
      <c r="AX33" s="73" t="e">
        <f>+IF(W33=0," ",+WORKDAY.INTL(+VLOOKUP(AX$1,POSTE!$B:$G,3,FALSE),+CUM!AG33/+VLOOKUP(AX$1,POSTE!$B:$H,7,FALSE),,CONGÉ!$C$2:$C$80))</f>
        <v>#N/A</v>
      </c>
      <c r="AY33" s="73" t="e">
        <f>+IF(X33=0," ",+WORKDAY.INTL(+VLOOKUP(AY$1,POSTE!$B:$G,3,FALSE),+CUM!AH33/+VLOOKUP(AY$1,POSTE!$B:$H,7,FALSE),,CONGÉ!$C$2:$C$80))</f>
        <v>#N/A</v>
      </c>
      <c r="AZ33" s="73" t="e">
        <f>+IF(Y33=0," ",+WORKDAY.INTL(+VLOOKUP(AZ$1,POSTE!$B:$G,3,FALSE),+CUM!AI33/+VLOOKUP(AZ$1,POSTE!$B:$H,7,FALSE),,CONGÉ!$C$2:$C$80))</f>
        <v>#N/A</v>
      </c>
      <c r="BA33" s="73" t="e">
        <f>+IF(S33=0," ",+WORKDAY.INTL(+VLOOKUP(BA$1,POSTE!$B:$G,3,FALSE),+CUM!AC33/+VLOOKUP(BA$1,POSTE!$B:$H,7,FALSE),,CONGÉ!$C$2:$C$80))</f>
        <v>#N/A</v>
      </c>
      <c r="BB33" s="73" t="e">
        <f>+IF(T33=0," ",+WORKDAY.INTL(+VLOOKUP(BB$1,POSTE!$B:$G,3,FALSE),+CUM!AD33/+VLOOKUP(BB$1,POSTE!$B:$H,7,FALSE),,CONGÉ!$C$2:$C$80))</f>
        <v>#N/A</v>
      </c>
      <c r="BC33" s="70" t="e">
        <f t="shared" si="13"/>
        <v>#N/A</v>
      </c>
      <c r="BD33" s="70" t="e">
        <f t="shared" si="14"/>
        <v>#N/A</v>
      </c>
      <c r="BE33" s="129" t="e">
        <f>+IF($F33="oui",+VLOOKUP($A33,DATA!$A:$AH,DATA!$AH$3,FALSE),0)</f>
        <v>#N/A</v>
      </c>
      <c r="BF33" s="129" t="e">
        <f t="shared" si="15"/>
        <v>#N/A</v>
      </c>
      <c r="BG33" s="136" t="e">
        <f>+IF(BE33&gt;0,+MAX((BH$4:BH32),BD33),"")</f>
        <v>#N/A</v>
      </c>
      <c r="BH33" s="136" t="e">
        <f>+IF(BE33&gt;0,+MAX((BH$4:BH32),+WORKDAY.INTL(BG33,+BE33/8,,CONGÉ!$C$2:$C$73)),"")</f>
        <v>#N/A</v>
      </c>
      <c r="BI33" s="136" t="e">
        <f t="shared" si="16"/>
        <v>#N/A</v>
      </c>
      <c r="BJ33" s="43" t="e">
        <f t="shared" si="11"/>
        <v>#N/A</v>
      </c>
      <c r="BK33" s="77">
        <f t="shared" ca="1" si="17"/>
        <v>45754</v>
      </c>
      <c r="BL33" s="78" t="e">
        <f>+(((AC33*POSTE!$H$5)+(CUM!AD33*POSTE!$H$4))/(POSTE!$H$4*POSTE!$H$5*2))</f>
        <v>#N/A</v>
      </c>
      <c r="BM33" s="90" t="e">
        <f ca="1">+WORKDAY.INTL(BK33,BL33,,CONGÉ!C$4:C$72)</f>
        <v>#N/A</v>
      </c>
      <c r="BN33" s="78" t="e">
        <f t="shared" ca="1" si="18"/>
        <v>#N/A</v>
      </c>
    </row>
    <row r="34" spans="1:66" x14ac:dyDescent="0.25">
      <c r="A34" s="49">
        <f t="shared" si="19"/>
        <v>30</v>
      </c>
      <c r="B34" s="185" cm="1">
        <f t="array" ref="B34">_xlfn.LET(_xlpm.CORR,IF(DATA!$B$4:$B$104="",IF(DATA!$A$4:$A$104="","--",DATA!$A$4:$A$104),DATA!$B$4:$B$104),_xlpm.Rx,SMALL(_xlpm.CORR,A34),IFERROR(MATCH(_xlpm.Rx,_xlpm.CORR,0),0))</f>
        <v>0</v>
      </c>
      <c r="C34" s="18" t="e">
        <f>+VLOOKUP($A34,DATA!$A:$AG,DATA!$E$3,FALSE)</f>
        <v>#N/A</v>
      </c>
      <c r="D34" s="18" t="e">
        <f>+VLOOKUP($A34,DATA!$A:$AG,DATA!$D$3,FALSE)</f>
        <v>#N/A</v>
      </c>
      <c r="E34" s="186" t="e">
        <f>+VLOOKUP($A34,DATA!$A:$AG,DATA!$G$3,FALSE)</f>
        <v>#N/A</v>
      </c>
      <c r="F34" s="19" t="e">
        <f>+VLOOKUP($A34,DATA!$A:$AG,DATA!$O$3,FALSE)</f>
        <v>#N/A</v>
      </c>
      <c r="G34" s="43" t="e">
        <f>+IF($F34="oui",+VLOOKUP($A34,DATA!$A:$AG,DATA!$P$3,FALSE),0)</f>
        <v>#N/A</v>
      </c>
      <c r="H34" s="44" t="e">
        <f>+IF($F34="oui",+VLOOKUP($A34,DATA!$A:$AG,DATA!$R$3,FALSE),0)</f>
        <v>#N/A</v>
      </c>
      <c r="I34" s="44" t="e">
        <f>+IF($F34="oui",+VLOOKUP($A34,DATA!$A:$AG,DATA!$T$3,FALSE),0)</f>
        <v>#N/A</v>
      </c>
      <c r="J34" s="44" t="e">
        <f>+IF($F34="oui",+VLOOKUP($A34,DATA!$A:$AG,DATA!$V$3,FALSE),0)</f>
        <v>#N/A</v>
      </c>
      <c r="K34" s="44" t="e">
        <f>+IF($F34="oui",+VLOOKUP($A34,DATA!$A:$AG,DATA!$X$3,FALSE),0)</f>
        <v>#N/A</v>
      </c>
      <c r="L34" s="44" t="e">
        <f>+IF($F34="oui",+VLOOKUP($A34,DATA!$A:$AG,DATA!$Z$3,FALSE),0)</f>
        <v>#N/A</v>
      </c>
      <c r="M34" s="44" t="e">
        <f>+IF($F34="oui",+VLOOKUP($A34,DATA!$A:$AG,DATA!$AB$3,FALSE),0)</f>
        <v>#N/A</v>
      </c>
      <c r="N34" s="44" t="e">
        <f>+IF($F34="oui",+VLOOKUP($A34,DATA!$A:$AG,DATA!$AD$3,FALSE),0)</f>
        <v>#N/A</v>
      </c>
      <c r="O34" s="45" t="e">
        <f>+IF($F34="oui",+VLOOKUP($A34,DATA!$A:$AG,DATA!$AF$3,FALSE),0)</f>
        <v>#N/A</v>
      </c>
      <c r="P34" s="116" t="e">
        <f t="shared" si="12"/>
        <v>#N/A</v>
      </c>
      <c r="Q34" s="21" t="e">
        <f>+IF($F34="oui",+VLOOKUP($A34,DATA!$A:$AG,DATA!$Q$3,FALSE),0)</f>
        <v>#N/A</v>
      </c>
      <c r="R34" s="22" t="e">
        <f>+IF($F34="oui",+VLOOKUP($A34,DATA!$A:$AG,DATA!$S$3,FALSE),0)</f>
        <v>#N/A</v>
      </c>
      <c r="S34" s="22" t="e">
        <f>+IF($F34="oui",+VLOOKUP($A34,DATA!$A:$AG,DATA!$U$3,FALSE),0)</f>
        <v>#N/A</v>
      </c>
      <c r="T34" s="22" t="e">
        <f>+IF($F34="oui",+VLOOKUP($A34,DATA!$A:$AG,DATA!$W$3,FALSE),0)</f>
        <v>#N/A</v>
      </c>
      <c r="U34" s="22" t="e">
        <f>+IF($F34="oui",+VLOOKUP($A34,DATA!$A:$AG,DATA!$Y$3,FALSE),0)</f>
        <v>#N/A</v>
      </c>
      <c r="V34" s="22" t="e">
        <f>+IF($F34="oui",+VLOOKUP($A34,DATA!$A:$AG,DATA!$AA$3,FALSE),0)</f>
        <v>#N/A</v>
      </c>
      <c r="W34" s="22" t="e">
        <f>+IF($F34="oui",+VLOOKUP($A34,DATA!$A:$AG,DATA!$AC$3,FALSE),0)</f>
        <v>#N/A</v>
      </c>
      <c r="X34" s="22" t="e">
        <f>+IF($F34="oui",+VLOOKUP($A34,DATA!$A:$AG,DATA!$AE$3,FALSE),0)</f>
        <v>#N/A</v>
      </c>
      <c r="Y34" s="23" t="e">
        <f>+IF($F34="oui",+VLOOKUP($A34,DATA!$A:$AG,DATA!$AG$3,FALSE),0)</f>
        <v>#N/A</v>
      </c>
      <c r="Z34" s="118" t="e">
        <f t="shared" si="1"/>
        <v>#N/A</v>
      </c>
      <c r="AA34" s="43" t="e">
        <f t="shared" si="2"/>
        <v>#N/A</v>
      </c>
      <c r="AB34" s="44" t="e">
        <f t="shared" si="3"/>
        <v>#N/A</v>
      </c>
      <c r="AC34" s="44" t="e">
        <f t="shared" si="4"/>
        <v>#N/A</v>
      </c>
      <c r="AD34" s="44" t="e">
        <f t="shared" si="5"/>
        <v>#N/A</v>
      </c>
      <c r="AE34" s="44" t="e">
        <f t="shared" si="6"/>
        <v>#N/A</v>
      </c>
      <c r="AF34" s="44" t="e">
        <f t="shared" si="7"/>
        <v>#N/A</v>
      </c>
      <c r="AG34" s="44" t="e">
        <f t="shared" si="8"/>
        <v>#N/A</v>
      </c>
      <c r="AH34" s="44" t="e">
        <f t="shared" si="9"/>
        <v>#N/A</v>
      </c>
      <c r="AI34" s="45" t="e">
        <f t="shared" si="10"/>
        <v>#N/A</v>
      </c>
      <c r="AJ34" s="70" t="e">
        <f>+IF(Q34=0," ",+WORKDAY.INTL(+VLOOKUP(AJ$1,POSTE!$B:$G,3,FALSE),+CUM!AA33/+VLOOKUP(AJ$1,POSTE!$B:$H,7,FALSE),,CONGÉ!$C$2:$C$80))</f>
        <v>#N/A</v>
      </c>
      <c r="AK34" s="50" t="e">
        <f>+IF(R34=0," ",+WORKDAY.INTL(+VLOOKUP(AK$1,POSTE!$B:$G,3,FALSE),+CUM!AB33/+VLOOKUP(AK$1,POSTE!$B:$H,7,FALSE),,CONGÉ!$C$2:$C$80))</f>
        <v>#N/A</v>
      </c>
      <c r="AL34" s="50" t="e">
        <f>+IF(S34=0," ",+WORKDAY.INTL(+VLOOKUP(AL$1,POSTE!$B:$G,3,FALSE),+CUM!AC33/+VLOOKUP(AL$1,POSTE!$B:$H,7,FALSE),,CONGÉ!$C$2:$C$80))</f>
        <v>#N/A</v>
      </c>
      <c r="AM34" s="50" t="e">
        <f>+IF(T34=0," ",+WORKDAY.INTL(+VLOOKUP(AM$1,POSTE!$B:$G,3,FALSE),+CUM!AD33/+VLOOKUP(AM$1,POSTE!$B:$H,7,FALSE),,CONGÉ!$C$2:$C$80))</f>
        <v>#N/A</v>
      </c>
      <c r="AN34" s="50" t="e">
        <f>+IF(U34=0," ",+WORKDAY.INTL(+VLOOKUP(AN$1,POSTE!$B:$G,3,FALSE),+CUM!AE33/+VLOOKUP(AN$1,POSTE!$B:$H,7,FALSE),,CONGÉ!$C$2:$C$80))</f>
        <v>#N/A</v>
      </c>
      <c r="AO34" s="50" t="e">
        <f>+IF(V34=0," ",+WORKDAY.INTL(+VLOOKUP(AO$1,POSTE!$B:$G,3,FALSE),+CUM!AF33/+VLOOKUP(AO$1,POSTE!$B:$H,7,FALSE),,CONGÉ!$C$2:$C$80))</f>
        <v>#N/A</v>
      </c>
      <c r="AP34" s="50" t="e">
        <f>+IF(W34=0," ",+WORKDAY.INTL(+VLOOKUP(AP$1,POSTE!$B:$G,3,FALSE),+CUM!AG33/+VLOOKUP(AP$1,POSTE!$B:$H,7,FALSE),,CONGÉ!$C$2:$C$80))</f>
        <v>#N/A</v>
      </c>
      <c r="AQ34" s="50" t="e">
        <f>+IF(X34=0," ",+WORKDAY.INTL(+VLOOKUP(AQ$1,POSTE!$B:$G,3,FALSE),+CUM!AH33/+VLOOKUP(AQ$1,POSTE!$B:$H,7,FALSE),,CONGÉ!$C$2:$C$80))</f>
        <v>#N/A</v>
      </c>
      <c r="AR34" s="71" t="e">
        <f>+IF(Y34=0," ",+WORKDAY.INTL(+VLOOKUP(AR$1,POSTE!$B:$G,3,FALSE),+CUM!AI33/+VLOOKUP(AR$1,POSTE!$B:$H,7,FALSE),,CONGÉ!$C$2:$C$80))</f>
        <v>#N/A</v>
      </c>
      <c r="AS34" s="72" t="e">
        <f>+IF(Q34=0," ",+WORKDAY.INTL(+VLOOKUP(AS$1,POSTE!$B:$G,3,FALSE),+CUM!AA34/+VLOOKUP(AS$1,POSTE!$B:$H,7,FALSE),,CONGÉ!$C$2:$C$80))</f>
        <v>#N/A</v>
      </c>
      <c r="AT34" s="73" t="e">
        <f>+IF(R34=0," ",+WORKDAY.INTL(+VLOOKUP(AT$1,POSTE!$B:$G,3,FALSE),+CUM!AB34/+VLOOKUP(AT$1,POSTE!$B:$H,7,FALSE),,CONGÉ!$C$2:$C$80))</f>
        <v>#N/A</v>
      </c>
      <c r="AU34" s="73" t="e">
        <f>+IF(AND(S34=0,T34=0)," ",+WORKDAY.INTL(+VLOOKUP($AS$1,POSTE!B:J,3,FALSE),+(((AC34*POSTE!$H$5)+(CUM!AD34*POSTE!$H$4))/(POSTE!$H$4*POSTE!$H$5*2)),,CONGÉ!$C$2:$C$80))</f>
        <v>#N/A</v>
      </c>
      <c r="AV34" s="73" t="e">
        <f>+IF(U34=0," ",+WORKDAY.INTL(+VLOOKUP(AV$1,POSTE!$B:$G,3,FALSE),+CUM!AE34/+VLOOKUP(AV$1,POSTE!$B:$H,7,FALSE),,CONGÉ!$C$2:$C$80))</f>
        <v>#N/A</v>
      </c>
      <c r="AW34" s="73" t="e">
        <f>+IF(V34=0," ",+WORKDAY.INTL(+VLOOKUP(AW$1,POSTE!$B:$G,3,FALSE),+CUM!AF34/+VLOOKUP(AW$1,POSTE!$B:$H,7,FALSE),,CONGÉ!$C$2:$C$80))</f>
        <v>#N/A</v>
      </c>
      <c r="AX34" s="73" t="e">
        <f>+IF(W34=0," ",+WORKDAY.INTL(+VLOOKUP(AX$1,POSTE!$B:$G,3,FALSE),+CUM!AG34/+VLOOKUP(AX$1,POSTE!$B:$H,7,FALSE),,CONGÉ!$C$2:$C$80))</f>
        <v>#N/A</v>
      </c>
      <c r="AY34" s="73" t="e">
        <f>+IF(X34=0," ",+WORKDAY.INTL(+VLOOKUP(AY$1,POSTE!$B:$G,3,FALSE),+CUM!AH34/+VLOOKUP(AY$1,POSTE!$B:$H,7,FALSE),,CONGÉ!$C$2:$C$80))</f>
        <v>#N/A</v>
      </c>
      <c r="AZ34" s="73" t="e">
        <f>+IF(Y34=0," ",+WORKDAY.INTL(+VLOOKUP(AZ$1,POSTE!$B:$G,3,FALSE),+CUM!AI34/+VLOOKUP(AZ$1,POSTE!$B:$H,7,FALSE),,CONGÉ!$C$2:$C$80))</f>
        <v>#N/A</v>
      </c>
      <c r="BA34" s="73" t="e">
        <f>+IF(S34=0," ",+WORKDAY.INTL(+VLOOKUP(BA$1,POSTE!$B:$G,3,FALSE),+CUM!AC34/+VLOOKUP(BA$1,POSTE!$B:$H,7,FALSE),,CONGÉ!$C$2:$C$80))</f>
        <v>#N/A</v>
      </c>
      <c r="BB34" s="73" t="e">
        <f>+IF(T34=0," ",+WORKDAY.INTL(+VLOOKUP(BB$1,POSTE!$B:$G,3,FALSE),+CUM!AD34/+VLOOKUP(BB$1,POSTE!$B:$H,7,FALSE),,CONGÉ!$C$2:$C$80))</f>
        <v>#N/A</v>
      </c>
      <c r="BC34" s="70" t="e">
        <f t="shared" si="13"/>
        <v>#N/A</v>
      </c>
      <c r="BD34" s="70" t="e">
        <f t="shared" si="14"/>
        <v>#N/A</v>
      </c>
      <c r="BE34" s="129" t="e">
        <f>+IF($F34="oui",+VLOOKUP($A34,DATA!$A:$AH,DATA!$AH$3,FALSE),0)</f>
        <v>#N/A</v>
      </c>
      <c r="BF34" s="129" t="e">
        <f t="shared" si="15"/>
        <v>#N/A</v>
      </c>
      <c r="BG34" s="136" t="e">
        <f>+IF(BE34&gt;0,+MAX((BH$4:BH33),BD34),"")</f>
        <v>#N/A</v>
      </c>
      <c r="BH34" s="136" t="e">
        <f>+IF(BE34&gt;0,+MAX((BH$4:BH33),+WORKDAY.INTL(BG34,+BE34/8,,CONGÉ!$C$2:$C$73)),"")</f>
        <v>#N/A</v>
      </c>
      <c r="BI34" s="136" t="e">
        <f t="shared" si="16"/>
        <v>#N/A</v>
      </c>
      <c r="BJ34" s="43" t="e">
        <f t="shared" si="11"/>
        <v>#N/A</v>
      </c>
      <c r="BK34" s="77">
        <f t="shared" ca="1" si="17"/>
        <v>45754</v>
      </c>
      <c r="BL34" s="78" t="e">
        <f>+(((AC34*POSTE!$H$5)+(CUM!AD34*POSTE!$H$4))/(POSTE!$H$4*POSTE!$H$5*2))</f>
        <v>#N/A</v>
      </c>
      <c r="BM34" s="90" t="e">
        <f ca="1">+WORKDAY.INTL(BK34,BL34,,CONGÉ!C$4:C$72)</f>
        <v>#N/A</v>
      </c>
      <c r="BN34" s="78" t="e">
        <f t="shared" ca="1" si="18"/>
        <v>#N/A</v>
      </c>
    </row>
    <row r="35" spans="1:66" x14ac:dyDescent="0.25">
      <c r="A35" s="49">
        <f t="shared" si="19"/>
        <v>31</v>
      </c>
      <c r="B35" s="185" cm="1">
        <f t="array" ref="B35">_xlfn.LET(_xlpm.CORR,IF(DATA!$B$4:$B$104="",IF(DATA!$A$4:$A$104="","--",DATA!$A$4:$A$104),DATA!$B$4:$B$104),_xlpm.Rx,SMALL(_xlpm.CORR,A35),IFERROR(MATCH(_xlpm.Rx,_xlpm.CORR,0),0))</f>
        <v>0</v>
      </c>
      <c r="C35" s="18" t="e">
        <f>+VLOOKUP($A35,DATA!$A:$AG,DATA!$E$3,FALSE)</f>
        <v>#N/A</v>
      </c>
      <c r="D35" s="18" t="e">
        <f>+VLOOKUP($A35,DATA!$A:$AG,DATA!$D$3,FALSE)</f>
        <v>#N/A</v>
      </c>
      <c r="E35" s="186" t="e">
        <f>+VLOOKUP($A35,DATA!$A:$AG,DATA!$G$3,FALSE)</f>
        <v>#N/A</v>
      </c>
      <c r="F35" s="19" t="e">
        <f>+VLOOKUP($A35,DATA!$A:$AG,DATA!$O$3,FALSE)</f>
        <v>#N/A</v>
      </c>
      <c r="G35" s="43" t="e">
        <f>+IF($F35="oui",+VLOOKUP($A35,DATA!$A:$AG,DATA!$P$3,FALSE),0)</f>
        <v>#N/A</v>
      </c>
      <c r="H35" s="44" t="e">
        <f>+IF($F35="oui",+VLOOKUP($A35,DATA!$A:$AG,DATA!$R$3,FALSE),0)</f>
        <v>#N/A</v>
      </c>
      <c r="I35" s="44" t="e">
        <f>+IF($F35="oui",+VLOOKUP($A35,DATA!$A:$AG,DATA!$T$3,FALSE),0)</f>
        <v>#N/A</v>
      </c>
      <c r="J35" s="44" t="e">
        <f>+IF($F35="oui",+VLOOKUP($A35,DATA!$A:$AG,DATA!$V$3,FALSE),0)</f>
        <v>#N/A</v>
      </c>
      <c r="K35" s="44" t="e">
        <f>+IF($F35="oui",+VLOOKUP($A35,DATA!$A:$AG,DATA!$X$3,FALSE),0)</f>
        <v>#N/A</v>
      </c>
      <c r="L35" s="44" t="e">
        <f>+IF($F35="oui",+VLOOKUP($A35,DATA!$A:$AG,DATA!$Z$3,FALSE),0)</f>
        <v>#N/A</v>
      </c>
      <c r="M35" s="44" t="e">
        <f>+IF($F35="oui",+VLOOKUP($A35,DATA!$A:$AG,DATA!$AB$3,FALSE),0)</f>
        <v>#N/A</v>
      </c>
      <c r="N35" s="44" t="e">
        <f>+IF($F35="oui",+VLOOKUP($A35,DATA!$A:$AG,DATA!$AD$3,FALSE),0)</f>
        <v>#N/A</v>
      </c>
      <c r="O35" s="45" t="e">
        <f>+IF($F35="oui",+VLOOKUP($A35,DATA!$A:$AG,DATA!$AF$3,FALSE),0)</f>
        <v>#N/A</v>
      </c>
      <c r="P35" s="116" t="e">
        <f t="shared" si="12"/>
        <v>#N/A</v>
      </c>
      <c r="Q35" s="21" t="e">
        <f>+IF($F35="oui",+VLOOKUP($A35,DATA!$A:$AG,DATA!$Q$3,FALSE),0)</f>
        <v>#N/A</v>
      </c>
      <c r="R35" s="22" t="e">
        <f>+IF($F35="oui",+VLOOKUP($A35,DATA!$A:$AG,DATA!$S$3,FALSE),0)</f>
        <v>#N/A</v>
      </c>
      <c r="S35" s="22" t="e">
        <f>+IF($F35="oui",+VLOOKUP($A35,DATA!$A:$AG,DATA!$U$3,FALSE),0)</f>
        <v>#N/A</v>
      </c>
      <c r="T35" s="22" t="e">
        <f>+IF($F35="oui",+VLOOKUP($A35,DATA!$A:$AG,DATA!$W$3,FALSE),0)</f>
        <v>#N/A</v>
      </c>
      <c r="U35" s="22" t="e">
        <f>+IF($F35="oui",+VLOOKUP($A35,DATA!$A:$AG,DATA!$Y$3,FALSE),0)</f>
        <v>#N/A</v>
      </c>
      <c r="V35" s="22" t="e">
        <f>+IF($F35="oui",+VLOOKUP($A35,DATA!$A:$AG,DATA!$AA$3,FALSE),0)</f>
        <v>#N/A</v>
      </c>
      <c r="W35" s="22" t="e">
        <f>+IF($F35="oui",+VLOOKUP($A35,DATA!$A:$AG,DATA!$AC$3,FALSE),0)</f>
        <v>#N/A</v>
      </c>
      <c r="X35" s="22" t="e">
        <f>+IF($F35="oui",+VLOOKUP($A35,DATA!$A:$AG,DATA!$AE$3,FALSE),0)</f>
        <v>#N/A</v>
      </c>
      <c r="Y35" s="23" t="e">
        <f>+IF($F35="oui",+VLOOKUP($A35,DATA!$A:$AG,DATA!$AG$3,FALSE),0)</f>
        <v>#N/A</v>
      </c>
      <c r="Z35" s="118" t="e">
        <f t="shared" si="1"/>
        <v>#N/A</v>
      </c>
      <c r="AA35" s="43" t="e">
        <f t="shared" si="2"/>
        <v>#N/A</v>
      </c>
      <c r="AB35" s="44" t="e">
        <f t="shared" si="3"/>
        <v>#N/A</v>
      </c>
      <c r="AC35" s="44" t="e">
        <f t="shared" si="4"/>
        <v>#N/A</v>
      </c>
      <c r="AD35" s="44" t="e">
        <f t="shared" si="5"/>
        <v>#N/A</v>
      </c>
      <c r="AE35" s="44" t="e">
        <f t="shared" si="6"/>
        <v>#N/A</v>
      </c>
      <c r="AF35" s="44" t="e">
        <f t="shared" si="7"/>
        <v>#N/A</v>
      </c>
      <c r="AG35" s="44" t="e">
        <f t="shared" si="8"/>
        <v>#N/A</v>
      </c>
      <c r="AH35" s="44" t="e">
        <f t="shared" si="9"/>
        <v>#N/A</v>
      </c>
      <c r="AI35" s="45" t="e">
        <f t="shared" si="10"/>
        <v>#N/A</v>
      </c>
      <c r="AJ35" s="70" t="e">
        <f>+IF(Q35=0," ",+WORKDAY.INTL(+VLOOKUP(AJ$1,POSTE!$B:$G,3,FALSE),+CUM!AA34/+VLOOKUP(AJ$1,POSTE!$B:$H,7,FALSE),,CONGÉ!$C$2:$C$80))</f>
        <v>#N/A</v>
      </c>
      <c r="AK35" s="50" t="e">
        <f>+IF(R35=0," ",+WORKDAY.INTL(+VLOOKUP(AK$1,POSTE!$B:$G,3,FALSE),+CUM!AB34/+VLOOKUP(AK$1,POSTE!$B:$H,7,FALSE),,CONGÉ!$C$2:$C$80))</f>
        <v>#N/A</v>
      </c>
      <c r="AL35" s="50" t="e">
        <f>+IF(S35=0," ",+WORKDAY.INTL(+VLOOKUP(AL$1,POSTE!$B:$G,3,FALSE),+CUM!AC34/+VLOOKUP(AL$1,POSTE!$B:$H,7,FALSE),,CONGÉ!$C$2:$C$80))</f>
        <v>#N/A</v>
      </c>
      <c r="AM35" s="50" t="e">
        <f>+IF(T35=0," ",+WORKDAY.INTL(+VLOOKUP(AM$1,POSTE!$B:$G,3,FALSE),+CUM!AD34/+VLOOKUP(AM$1,POSTE!$B:$H,7,FALSE),,CONGÉ!$C$2:$C$80))</f>
        <v>#N/A</v>
      </c>
      <c r="AN35" s="50" t="e">
        <f>+IF(U35=0," ",+WORKDAY.INTL(+VLOOKUP(AN$1,POSTE!$B:$G,3,FALSE),+CUM!AE34/+VLOOKUP(AN$1,POSTE!$B:$H,7,FALSE),,CONGÉ!$C$2:$C$80))</f>
        <v>#N/A</v>
      </c>
      <c r="AO35" s="50" t="e">
        <f>+IF(V35=0," ",+WORKDAY.INTL(+VLOOKUP(AO$1,POSTE!$B:$G,3,FALSE),+CUM!AF34/+VLOOKUP(AO$1,POSTE!$B:$H,7,FALSE),,CONGÉ!$C$2:$C$80))</f>
        <v>#N/A</v>
      </c>
      <c r="AP35" s="50" t="e">
        <f>+IF(W35=0," ",+WORKDAY.INTL(+VLOOKUP(AP$1,POSTE!$B:$G,3,FALSE),+CUM!AG34/+VLOOKUP(AP$1,POSTE!$B:$H,7,FALSE),,CONGÉ!$C$2:$C$80))</f>
        <v>#N/A</v>
      </c>
      <c r="AQ35" s="50" t="e">
        <f>+IF(X35=0," ",+WORKDAY.INTL(+VLOOKUP(AQ$1,POSTE!$B:$G,3,FALSE),+CUM!AH34/+VLOOKUP(AQ$1,POSTE!$B:$H,7,FALSE),,CONGÉ!$C$2:$C$80))</f>
        <v>#N/A</v>
      </c>
      <c r="AR35" s="71" t="e">
        <f>+IF(Y35=0," ",+WORKDAY.INTL(+VLOOKUP(AR$1,POSTE!$B:$G,3,FALSE),+CUM!AI34/+VLOOKUP(AR$1,POSTE!$B:$H,7,FALSE),,CONGÉ!$C$2:$C$80))</f>
        <v>#N/A</v>
      </c>
      <c r="AS35" s="72" t="e">
        <f>+IF(Q35=0," ",+WORKDAY.INTL(+VLOOKUP(AS$1,POSTE!$B:$G,3,FALSE),+CUM!AA35/+VLOOKUP(AS$1,POSTE!$B:$H,7,FALSE),,CONGÉ!$C$2:$C$80))</f>
        <v>#N/A</v>
      </c>
      <c r="AT35" s="73" t="e">
        <f>+IF(R35=0," ",+WORKDAY.INTL(+VLOOKUP(AT$1,POSTE!$B:$G,3,FALSE),+CUM!AB35/+VLOOKUP(AT$1,POSTE!$B:$H,7,FALSE),,CONGÉ!$C$2:$C$80))</f>
        <v>#N/A</v>
      </c>
      <c r="AU35" s="73" t="e">
        <f>+IF(AND(S35=0,T35=0)," ",+WORKDAY.INTL(+VLOOKUP($AS$1,POSTE!B:J,3,FALSE),+(((AC35*POSTE!$H$5)+(CUM!AD35*POSTE!$H$4))/(POSTE!$H$4*POSTE!$H$5*2)),,CONGÉ!$C$2:$C$80))</f>
        <v>#N/A</v>
      </c>
      <c r="AV35" s="73" t="e">
        <f>+IF(U35=0," ",+WORKDAY.INTL(+VLOOKUP(AV$1,POSTE!$B:$G,3,FALSE),+CUM!AE35/+VLOOKUP(AV$1,POSTE!$B:$H,7,FALSE),,CONGÉ!$C$2:$C$80))</f>
        <v>#N/A</v>
      </c>
      <c r="AW35" s="73" t="e">
        <f>+IF(V35=0," ",+WORKDAY.INTL(+VLOOKUP(AW$1,POSTE!$B:$G,3,FALSE),+CUM!AF35/+VLOOKUP(AW$1,POSTE!$B:$H,7,FALSE),,CONGÉ!$C$2:$C$80))</f>
        <v>#N/A</v>
      </c>
      <c r="AX35" s="73" t="e">
        <f>+IF(W35=0," ",+WORKDAY.INTL(+VLOOKUP(AX$1,POSTE!$B:$G,3,FALSE),+CUM!AG35/+VLOOKUP(AX$1,POSTE!$B:$H,7,FALSE),,CONGÉ!$C$2:$C$80))</f>
        <v>#N/A</v>
      </c>
      <c r="AY35" s="73" t="e">
        <f>+IF(X35=0," ",+WORKDAY.INTL(+VLOOKUP(AY$1,POSTE!$B:$G,3,FALSE),+CUM!AH35/+VLOOKUP(AY$1,POSTE!$B:$H,7,FALSE),,CONGÉ!$C$2:$C$80))</f>
        <v>#N/A</v>
      </c>
      <c r="AZ35" s="73" t="e">
        <f>+IF(Y35=0," ",+WORKDAY.INTL(+VLOOKUP(AZ$1,POSTE!$B:$G,3,FALSE),+CUM!AI35/+VLOOKUP(AZ$1,POSTE!$B:$H,7,FALSE),,CONGÉ!$C$2:$C$80))</f>
        <v>#N/A</v>
      </c>
      <c r="BA35" s="73" t="e">
        <f>+IF(S35=0," ",+WORKDAY.INTL(+VLOOKUP(BA$1,POSTE!$B:$G,3,FALSE),+CUM!AC35/+VLOOKUP(BA$1,POSTE!$B:$H,7,FALSE),,CONGÉ!$C$2:$C$80))</f>
        <v>#N/A</v>
      </c>
      <c r="BB35" s="73" t="e">
        <f>+IF(T35=0," ",+WORKDAY.INTL(+VLOOKUP(BB$1,POSTE!$B:$G,3,FALSE),+CUM!AD35/+VLOOKUP(BB$1,POSTE!$B:$H,7,FALSE),,CONGÉ!$C$2:$C$80))</f>
        <v>#N/A</v>
      </c>
      <c r="BC35" s="70" t="e">
        <f t="shared" si="13"/>
        <v>#N/A</v>
      </c>
      <c r="BD35" s="70" t="e">
        <f t="shared" si="14"/>
        <v>#N/A</v>
      </c>
      <c r="BE35" s="129" t="e">
        <f>+IF($F35="oui",+VLOOKUP($A35,DATA!$A:$AH,DATA!$AH$3,FALSE),0)</f>
        <v>#N/A</v>
      </c>
      <c r="BF35" s="129" t="e">
        <f t="shared" si="15"/>
        <v>#N/A</v>
      </c>
      <c r="BG35" s="136" t="e">
        <f>+IF(BE35&gt;0,+MAX((BH$4:BH34),BD35),"")</f>
        <v>#N/A</v>
      </c>
      <c r="BH35" s="136" t="e">
        <f>+IF(BE35&gt;0,+MAX((BH$4:BH34),+WORKDAY.INTL(BG35,+BE35/8,,CONGÉ!$C$2:$C$73)),"")</f>
        <v>#N/A</v>
      </c>
      <c r="BI35" s="136" t="e">
        <f t="shared" si="16"/>
        <v>#N/A</v>
      </c>
      <c r="BJ35" s="43" t="e">
        <f t="shared" si="11"/>
        <v>#N/A</v>
      </c>
      <c r="BK35" s="77">
        <f t="shared" ca="1" si="17"/>
        <v>45754</v>
      </c>
      <c r="BL35" s="78" t="e">
        <f>+(((AC35*POSTE!$H$5)+(CUM!AD35*POSTE!$H$4))/(POSTE!$H$4*POSTE!$H$5*2))</f>
        <v>#N/A</v>
      </c>
      <c r="BM35" s="90" t="e">
        <f ca="1">+WORKDAY.INTL(BK35,BL35,,CONGÉ!C$4:C$72)</f>
        <v>#N/A</v>
      </c>
      <c r="BN35" s="78" t="e">
        <f t="shared" ca="1" si="18"/>
        <v>#N/A</v>
      </c>
    </row>
    <row r="36" spans="1:66" x14ac:dyDescent="0.25">
      <c r="A36" s="49">
        <f t="shared" si="19"/>
        <v>32</v>
      </c>
      <c r="B36" s="185" cm="1">
        <f t="array" ref="B36">_xlfn.LET(_xlpm.CORR,IF(DATA!$B$4:$B$104="",IF(DATA!$A$4:$A$104="","--",DATA!$A$4:$A$104),DATA!$B$4:$B$104),_xlpm.Rx,SMALL(_xlpm.CORR,A36),IFERROR(MATCH(_xlpm.Rx,_xlpm.CORR,0),0))</f>
        <v>0</v>
      </c>
      <c r="C36" s="18" t="e">
        <f>+VLOOKUP($A36,DATA!$A:$AG,DATA!$E$3,FALSE)</f>
        <v>#N/A</v>
      </c>
      <c r="D36" s="18" t="e">
        <f>+VLOOKUP($A36,DATA!$A:$AG,DATA!$D$3,FALSE)</f>
        <v>#N/A</v>
      </c>
      <c r="E36" s="186" t="e">
        <f>+VLOOKUP($A36,DATA!$A:$AG,DATA!$G$3,FALSE)</f>
        <v>#N/A</v>
      </c>
      <c r="F36" s="19" t="e">
        <f>+VLOOKUP($A36,DATA!$A:$AG,DATA!$O$3,FALSE)</f>
        <v>#N/A</v>
      </c>
      <c r="G36" s="43" t="e">
        <f>+IF($F36="oui",+VLOOKUP($A36,DATA!$A:$AG,DATA!$P$3,FALSE),0)</f>
        <v>#N/A</v>
      </c>
      <c r="H36" s="44" t="e">
        <f>+IF($F36="oui",+VLOOKUP($A36,DATA!$A:$AG,DATA!$R$3,FALSE),0)</f>
        <v>#N/A</v>
      </c>
      <c r="I36" s="44" t="e">
        <f>+IF($F36="oui",+VLOOKUP($A36,DATA!$A:$AG,DATA!$T$3,FALSE),0)</f>
        <v>#N/A</v>
      </c>
      <c r="J36" s="44" t="e">
        <f>+IF($F36="oui",+VLOOKUP($A36,DATA!$A:$AG,DATA!$V$3,FALSE),0)</f>
        <v>#N/A</v>
      </c>
      <c r="K36" s="44" t="e">
        <f>+IF($F36="oui",+VLOOKUP($A36,DATA!$A:$AG,DATA!$X$3,FALSE),0)</f>
        <v>#N/A</v>
      </c>
      <c r="L36" s="44" t="e">
        <f>+IF($F36="oui",+VLOOKUP($A36,DATA!$A:$AG,DATA!$Z$3,FALSE),0)</f>
        <v>#N/A</v>
      </c>
      <c r="M36" s="44" t="e">
        <f>+IF($F36="oui",+VLOOKUP($A36,DATA!$A:$AG,DATA!$AB$3,FALSE),0)</f>
        <v>#N/A</v>
      </c>
      <c r="N36" s="44" t="e">
        <f>+IF($F36="oui",+VLOOKUP($A36,DATA!$A:$AG,DATA!$AD$3,FALSE),0)</f>
        <v>#N/A</v>
      </c>
      <c r="O36" s="45" t="e">
        <f>+IF($F36="oui",+VLOOKUP($A36,DATA!$A:$AG,DATA!$AF$3,FALSE),0)</f>
        <v>#N/A</v>
      </c>
      <c r="P36" s="116" t="e">
        <f t="shared" si="12"/>
        <v>#N/A</v>
      </c>
      <c r="Q36" s="21" t="e">
        <f>+IF($F36="oui",+VLOOKUP($A36,DATA!$A:$AG,DATA!$Q$3,FALSE),0)</f>
        <v>#N/A</v>
      </c>
      <c r="R36" s="22" t="e">
        <f>+IF($F36="oui",+VLOOKUP($A36,DATA!$A:$AG,DATA!$S$3,FALSE),0)</f>
        <v>#N/A</v>
      </c>
      <c r="S36" s="22" t="e">
        <f>+IF($F36="oui",+VLOOKUP($A36,DATA!$A:$AG,DATA!$U$3,FALSE),0)</f>
        <v>#N/A</v>
      </c>
      <c r="T36" s="22" t="e">
        <f>+IF($F36="oui",+VLOOKUP($A36,DATA!$A:$AG,DATA!$W$3,FALSE),0)</f>
        <v>#N/A</v>
      </c>
      <c r="U36" s="22" t="e">
        <f>+IF($F36="oui",+VLOOKUP($A36,DATA!$A:$AG,DATA!$Y$3,FALSE),0)</f>
        <v>#N/A</v>
      </c>
      <c r="V36" s="22" t="e">
        <f>+IF($F36="oui",+VLOOKUP($A36,DATA!$A:$AG,DATA!$AA$3,FALSE),0)</f>
        <v>#N/A</v>
      </c>
      <c r="W36" s="22" t="e">
        <f>+IF($F36="oui",+VLOOKUP($A36,DATA!$A:$AG,DATA!$AC$3,FALSE),0)</f>
        <v>#N/A</v>
      </c>
      <c r="X36" s="22" t="e">
        <f>+IF($F36="oui",+VLOOKUP($A36,DATA!$A:$AG,DATA!$AE$3,FALSE),0)</f>
        <v>#N/A</v>
      </c>
      <c r="Y36" s="23" t="e">
        <f>+IF($F36="oui",+VLOOKUP($A36,DATA!$A:$AG,DATA!$AG$3,FALSE),0)</f>
        <v>#N/A</v>
      </c>
      <c r="Z36" s="118" t="e">
        <f t="shared" si="1"/>
        <v>#N/A</v>
      </c>
      <c r="AA36" s="43" t="e">
        <f t="shared" si="2"/>
        <v>#N/A</v>
      </c>
      <c r="AB36" s="44" t="e">
        <f t="shared" si="3"/>
        <v>#N/A</v>
      </c>
      <c r="AC36" s="44" t="e">
        <f t="shared" si="4"/>
        <v>#N/A</v>
      </c>
      <c r="AD36" s="44" t="e">
        <f t="shared" si="5"/>
        <v>#N/A</v>
      </c>
      <c r="AE36" s="44" t="e">
        <f t="shared" si="6"/>
        <v>#N/A</v>
      </c>
      <c r="AF36" s="44" t="e">
        <f t="shared" si="7"/>
        <v>#N/A</v>
      </c>
      <c r="AG36" s="44" t="e">
        <f t="shared" si="8"/>
        <v>#N/A</v>
      </c>
      <c r="AH36" s="44" t="e">
        <f t="shared" si="9"/>
        <v>#N/A</v>
      </c>
      <c r="AI36" s="45" t="e">
        <f t="shared" si="10"/>
        <v>#N/A</v>
      </c>
      <c r="AJ36" s="70" t="e">
        <f>+IF(Q36=0," ",+WORKDAY.INTL(+VLOOKUP(AJ$1,POSTE!$B:$G,3,FALSE),+CUM!AA35/+VLOOKUP(AJ$1,POSTE!$B:$H,7,FALSE),,CONGÉ!$C$2:$C$80))</f>
        <v>#N/A</v>
      </c>
      <c r="AK36" s="50" t="e">
        <f>+IF(R36=0," ",+WORKDAY.INTL(+VLOOKUP(AK$1,POSTE!$B:$G,3,FALSE),+CUM!AB35/+VLOOKUP(AK$1,POSTE!$B:$H,7,FALSE),,CONGÉ!$C$2:$C$80))</f>
        <v>#N/A</v>
      </c>
      <c r="AL36" s="50" t="e">
        <f>+IF(S36=0," ",+WORKDAY.INTL(+VLOOKUP(AL$1,POSTE!$B:$G,3,FALSE),+CUM!AC35/+VLOOKUP(AL$1,POSTE!$B:$H,7,FALSE),,CONGÉ!$C$2:$C$80))</f>
        <v>#N/A</v>
      </c>
      <c r="AM36" s="50" t="e">
        <f>+IF(T36=0," ",+WORKDAY.INTL(+VLOOKUP(AM$1,POSTE!$B:$G,3,FALSE),+CUM!AD35/+VLOOKUP(AM$1,POSTE!$B:$H,7,FALSE),,CONGÉ!$C$2:$C$80))</f>
        <v>#N/A</v>
      </c>
      <c r="AN36" s="50" t="e">
        <f>+IF(U36=0," ",+WORKDAY.INTL(+VLOOKUP(AN$1,POSTE!$B:$G,3,FALSE),+CUM!AE35/+VLOOKUP(AN$1,POSTE!$B:$H,7,FALSE),,CONGÉ!$C$2:$C$80))</f>
        <v>#N/A</v>
      </c>
      <c r="AO36" s="50" t="e">
        <f>+IF(V36=0," ",+WORKDAY.INTL(+VLOOKUP(AO$1,POSTE!$B:$G,3,FALSE),+CUM!AF35/+VLOOKUP(AO$1,POSTE!$B:$H,7,FALSE),,CONGÉ!$C$2:$C$80))</f>
        <v>#N/A</v>
      </c>
      <c r="AP36" s="50" t="e">
        <f>+IF(W36=0," ",+WORKDAY.INTL(+VLOOKUP(AP$1,POSTE!$B:$G,3,FALSE),+CUM!AG35/+VLOOKUP(AP$1,POSTE!$B:$H,7,FALSE),,CONGÉ!$C$2:$C$80))</f>
        <v>#N/A</v>
      </c>
      <c r="AQ36" s="50" t="e">
        <f>+IF(X36=0," ",+WORKDAY.INTL(+VLOOKUP(AQ$1,POSTE!$B:$G,3,FALSE),+CUM!AH35/+VLOOKUP(AQ$1,POSTE!$B:$H,7,FALSE),,CONGÉ!$C$2:$C$80))</f>
        <v>#N/A</v>
      </c>
      <c r="AR36" s="71" t="e">
        <f>+IF(Y36=0," ",+WORKDAY.INTL(+VLOOKUP(AR$1,POSTE!$B:$G,3,FALSE),+CUM!AI35/+VLOOKUP(AR$1,POSTE!$B:$H,7,FALSE),,CONGÉ!$C$2:$C$80))</f>
        <v>#N/A</v>
      </c>
      <c r="AS36" s="72" t="e">
        <f>+IF(Q36=0," ",+WORKDAY.INTL(+VLOOKUP(AS$1,POSTE!$B:$G,3,FALSE),+CUM!AA36/+VLOOKUP(AS$1,POSTE!$B:$H,7,FALSE),,CONGÉ!$C$2:$C$80))</f>
        <v>#N/A</v>
      </c>
      <c r="AT36" s="73" t="e">
        <f>+IF(R36=0," ",+WORKDAY.INTL(+VLOOKUP(AT$1,POSTE!$B:$G,3,FALSE),+CUM!AB36/+VLOOKUP(AT$1,POSTE!$B:$H,7,FALSE),,CONGÉ!$C$2:$C$80))</f>
        <v>#N/A</v>
      </c>
      <c r="AU36" s="73" t="e">
        <f>+IF(AND(S36=0,T36=0)," ",+WORKDAY.INTL(+VLOOKUP($AS$1,POSTE!B:J,3,FALSE),+(((AC36*POSTE!$H$5)+(CUM!AD36*POSTE!$H$4))/(POSTE!$H$4*POSTE!$H$5*2)),,CONGÉ!$C$2:$C$80))</f>
        <v>#N/A</v>
      </c>
      <c r="AV36" s="73" t="e">
        <f>+IF(U36=0," ",+WORKDAY.INTL(+VLOOKUP(AV$1,POSTE!$B:$G,3,FALSE),+CUM!AE36/+VLOOKUP(AV$1,POSTE!$B:$H,7,FALSE),,CONGÉ!$C$2:$C$80))</f>
        <v>#N/A</v>
      </c>
      <c r="AW36" s="73" t="e">
        <f>+IF(V36=0," ",+WORKDAY.INTL(+VLOOKUP(AW$1,POSTE!$B:$G,3,FALSE),+CUM!AF36/+VLOOKUP(AW$1,POSTE!$B:$H,7,FALSE),,CONGÉ!$C$2:$C$80))</f>
        <v>#N/A</v>
      </c>
      <c r="AX36" s="73" t="e">
        <f>+IF(W36=0," ",+WORKDAY.INTL(+VLOOKUP(AX$1,POSTE!$B:$G,3,FALSE),+CUM!AG36/+VLOOKUP(AX$1,POSTE!$B:$H,7,FALSE),,CONGÉ!$C$2:$C$80))</f>
        <v>#N/A</v>
      </c>
      <c r="AY36" s="73" t="e">
        <f>+IF(X36=0," ",+WORKDAY.INTL(+VLOOKUP(AY$1,POSTE!$B:$G,3,FALSE),+CUM!AH36/+VLOOKUP(AY$1,POSTE!$B:$H,7,FALSE),,CONGÉ!$C$2:$C$80))</f>
        <v>#N/A</v>
      </c>
      <c r="AZ36" s="73" t="e">
        <f>+IF(Y36=0," ",+WORKDAY.INTL(+VLOOKUP(AZ$1,POSTE!$B:$G,3,FALSE),+CUM!AI36/+VLOOKUP(AZ$1,POSTE!$B:$H,7,FALSE),,CONGÉ!$C$2:$C$80))</f>
        <v>#N/A</v>
      </c>
      <c r="BA36" s="73" t="e">
        <f>+IF(S36=0," ",+WORKDAY.INTL(+VLOOKUP(BA$1,POSTE!$B:$G,3,FALSE),+CUM!AC36/+VLOOKUP(BA$1,POSTE!$B:$H,7,FALSE),,CONGÉ!$C$2:$C$80))</f>
        <v>#N/A</v>
      </c>
      <c r="BB36" s="73" t="e">
        <f>+IF(T36=0," ",+WORKDAY.INTL(+VLOOKUP(BB$1,POSTE!$B:$G,3,FALSE),+CUM!AD36/+VLOOKUP(BB$1,POSTE!$B:$H,7,FALSE),,CONGÉ!$C$2:$C$80))</f>
        <v>#N/A</v>
      </c>
      <c r="BC36" s="70" t="e">
        <f t="shared" si="13"/>
        <v>#N/A</v>
      </c>
      <c r="BD36" s="70" t="e">
        <f t="shared" si="14"/>
        <v>#N/A</v>
      </c>
      <c r="BE36" s="129" t="e">
        <f>+IF($F36="oui",+VLOOKUP($A36,DATA!$A:$AH,DATA!$AH$3,FALSE),0)</f>
        <v>#N/A</v>
      </c>
      <c r="BF36" s="129" t="e">
        <f t="shared" si="15"/>
        <v>#N/A</v>
      </c>
      <c r="BG36" s="136" t="e">
        <f>+IF(BE36&gt;0,+MAX((BH$4:BH35),BD36),"")</f>
        <v>#N/A</v>
      </c>
      <c r="BH36" s="136" t="e">
        <f>+IF(BE36&gt;0,+MAX((BH$4:BH35),+WORKDAY.INTL(BG36,+BE36/8,,CONGÉ!$C$2:$C$73)),"")</f>
        <v>#N/A</v>
      </c>
      <c r="BI36" s="136" t="e">
        <f t="shared" si="16"/>
        <v>#N/A</v>
      </c>
      <c r="BJ36" s="43" t="e">
        <f t="shared" si="11"/>
        <v>#N/A</v>
      </c>
      <c r="BK36" s="77">
        <f t="shared" ca="1" si="17"/>
        <v>45754</v>
      </c>
      <c r="BL36" s="78" t="e">
        <f>+(((AC36*POSTE!$H$5)+(CUM!AD36*POSTE!$H$4))/(POSTE!$H$4*POSTE!$H$5*2))</f>
        <v>#N/A</v>
      </c>
      <c r="BM36" s="90" t="e">
        <f ca="1">+WORKDAY.INTL(BK36,BL36,,CONGÉ!C$4:C$72)</f>
        <v>#N/A</v>
      </c>
      <c r="BN36" s="78" t="e">
        <f t="shared" ca="1" si="18"/>
        <v>#N/A</v>
      </c>
    </row>
    <row r="37" spans="1:66" x14ac:dyDescent="0.25">
      <c r="A37" s="49">
        <f t="shared" si="19"/>
        <v>33</v>
      </c>
      <c r="B37" s="185" cm="1">
        <f t="array" ref="B37">_xlfn.LET(_xlpm.CORR,IF(DATA!$B$4:$B$104="",IF(DATA!$A$4:$A$104="","--",DATA!$A$4:$A$104),DATA!$B$4:$B$104),_xlpm.Rx,SMALL(_xlpm.CORR,A37),IFERROR(MATCH(_xlpm.Rx,_xlpm.CORR,0),0))</f>
        <v>0</v>
      </c>
      <c r="C37" s="18" t="e">
        <f>+VLOOKUP($A37,DATA!$A:$AG,DATA!$E$3,FALSE)</f>
        <v>#N/A</v>
      </c>
      <c r="D37" s="18" t="e">
        <f>+VLOOKUP($A37,DATA!$A:$AG,DATA!$D$3,FALSE)</f>
        <v>#N/A</v>
      </c>
      <c r="E37" s="186" t="e">
        <f>+VLOOKUP($A37,DATA!$A:$AG,DATA!$G$3,FALSE)</f>
        <v>#N/A</v>
      </c>
      <c r="F37" s="19" t="e">
        <f>+VLOOKUP($A37,DATA!$A:$AG,DATA!$O$3,FALSE)</f>
        <v>#N/A</v>
      </c>
      <c r="G37" s="43" t="e">
        <f>+IF($F37="oui",+VLOOKUP($A37,DATA!$A:$AG,DATA!$P$3,FALSE),0)</f>
        <v>#N/A</v>
      </c>
      <c r="H37" s="44" t="e">
        <f>+IF($F37="oui",+VLOOKUP($A37,DATA!$A:$AG,DATA!$R$3,FALSE),0)</f>
        <v>#N/A</v>
      </c>
      <c r="I37" s="44" t="e">
        <f>+IF($F37="oui",+VLOOKUP($A37,DATA!$A:$AG,DATA!$T$3,FALSE),0)</f>
        <v>#N/A</v>
      </c>
      <c r="J37" s="44" t="e">
        <f>+IF($F37="oui",+VLOOKUP($A37,DATA!$A:$AG,DATA!$V$3,FALSE),0)</f>
        <v>#N/A</v>
      </c>
      <c r="K37" s="44" t="e">
        <f>+IF($F37="oui",+VLOOKUP($A37,DATA!$A:$AG,DATA!$X$3,FALSE),0)</f>
        <v>#N/A</v>
      </c>
      <c r="L37" s="44" t="e">
        <f>+IF($F37="oui",+VLOOKUP($A37,DATA!$A:$AG,DATA!$Z$3,FALSE),0)</f>
        <v>#N/A</v>
      </c>
      <c r="M37" s="44" t="e">
        <f>+IF($F37="oui",+VLOOKUP($A37,DATA!$A:$AG,DATA!$AB$3,FALSE),0)</f>
        <v>#N/A</v>
      </c>
      <c r="N37" s="44" t="e">
        <f>+IF($F37="oui",+VLOOKUP($A37,DATA!$A:$AG,DATA!$AD$3,FALSE),0)</f>
        <v>#N/A</v>
      </c>
      <c r="O37" s="45" t="e">
        <f>+IF($F37="oui",+VLOOKUP($A37,DATA!$A:$AG,DATA!$AF$3,FALSE),0)</f>
        <v>#N/A</v>
      </c>
      <c r="P37" s="116" t="e">
        <f t="shared" si="12"/>
        <v>#N/A</v>
      </c>
      <c r="Q37" s="21" t="e">
        <f>+IF($F37="oui",+VLOOKUP($A37,DATA!$A:$AG,DATA!$Q$3,FALSE),0)</f>
        <v>#N/A</v>
      </c>
      <c r="R37" s="22" t="e">
        <f>+IF($F37="oui",+VLOOKUP($A37,DATA!$A:$AG,DATA!$S$3,FALSE),0)</f>
        <v>#N/A</v>
      </c>
      <c r="S37" s="22" t="e">
        <f>+IF($F37="oui",+VLOOKUP($A37,DATA!$A:$AG,DATA!$U$3,FALSE),0)</f>
        <v>#N/A</v>
      </c>
      <c r="T37" s="22" t="e">
        <f>+IF($F37="oui",+VLOOKUP($A37,DATA!$A:$AG,DATA!$W$3,FALSE),0)</f>
        <v>#N/A</v>
      </c>
      <c r="U37" s="22" t="e">
        <f>+IF($F37="oui",+VLOOKUP($A37,DATA!$A:$AG,DATA!$Y$3,FALSE),0)</f>
        <v>#N/A</v>
      </c>
      <c r="V37" s="22" t="e">
        <f>+IF($F37="oui",+VLOOKUP($A37,DATA!$A:$AG,DATA!$AA$3,FALSE),0)</f>
        <v>#N/A</v>
      </c>
      <c r="W37" s="22" t="e">
        <f>+IF($F37="oui",+VLOOKUP($A37,DATA!$A:$AG,DATA!$AC$3,FALSE),0)</f>
        <v>#N/A</v>
      </c>
      <c r="X37" s="22" t="e">
        <f>+IF($F37="oui",+VLOOKUP($A37,DATA!$A:$AG,DATA!$AE$3,FALSE),0)</f>
        <v>#N/A</v>
      </c>
      <c r="Y37" s="23" t="e">
        <f>+IF($F37="oui",+VLOOKUP($A37,DATA!$A:$AG,DATA!$AG$3,FALSE),0)</f>
        <v>#N/A</v>
      </c>
      <c r="Z37" s="118" t="e">
        <f t="shared" ref="Z37:Z68" si="20">SUM(Q37:Y37)</f>
        <v>#N/A</v>
      </c>
      <c r="AA37" s="43" t="e">
        <f t="shared" ref="AA37:AA68" si="21">+AA36+Q37</f>
        <v>#N/A</v>
      </c>
      <c r="AB37" s="44" t="e">
        <f t="shared" ref="AB37:AB68" si="22">+AB36+R37</f>
        <v>#N/A</v>
      </c>
      <c r="AC37" s="44" t="e">
        <f t="shared" ref="AC37:AC68" si="23">+AC36+S37</f>
        <v>#N/A</v>
      </c>
      <c r="AD37" s="44" t="e">
        <f t="shared" ref="AD37:AD68" si="24">+AD36+T37</f>
        <v>#N/A</v>
      </c>
      <c r="AE37" s="44" t="e">
        <f t="shared" ref="AE37:AE68" si="25">+AE36+U37</f>
        <v>#N/A</v>
      </c>
      <c r="AF37" s="44" t="e">
        <f t="shared" ref="AF37:AF68" si="26">+AF36+V37</f>
        <v>#N/A</v>
      </c>
      <c r="AG37" s="44" t="e">
        <f t="shared" ref="AG37:AG68" si="27">+AG36+W37</f>
        <v>#N/A</v>
      </c>
      <c r="AH37" s="44" t="e">
        <f t="shared" ref="AH37:AH68" si="28">+AH36+X37</f>
        <v>#N/A</v>
      </c>
      <c r="AI37" s="45" t="e">
        <f t="shared" ref="AI37:AI68" si="29">+AI36+Y37</f>
        <v>#N/A</v>
      </c>
      <c r="AJ37" s="70" t="e">
        <f>+IF(Q37=0," ",+WORKDAY.INTL(+VLOOKUP(AJ$1,POSTE!$B:$G,3,FALSE),+CUM!AA36/+VLOOKUP(AJ$1,POSTE!$B:$H,7,FALSE),,CONGÉ!$C$2:$C$80))</f>
        <v>#N/A</v>
      </c>
      <c r="AK37" s="50" t="e">
        <f>+IF(R37=0," ",+WORKDAY.INTL(+VLOOKUP(AK$1,POSTE!$B:$G,3,FALSE),+CUM!AB36/+VLOOKUP(AK$1,POSTE!$B:$H,7,FALSE),,CONGÉ!$C$2:$C$80))</f>
        <v>#N/A</v>
      </c>
      <c r="AL37" s="50" t="e">
        <f>+IF(S37=0," ",+WORKDAY.INTL(+VLOOKUP(AL$1,POSTE!$B:$G,3,FALSE),+CUM!AC36/+VLOOKUP(AL$1,POSTE!$B:$H,7,FALSE),,CONGÉ!$C$2:$C$80))</f>
        <v>#N/A</v>
      </c>
      <c r="AM37" s="50" t="e">
        <f>+IF(T37=0," ",+WORKDAY.INTL(+VLOOKUP(AM$1,POSTE!$B:$G,3,FALSE),+CUM!AD36/+VLOOKUP(AM$1,POSTE!$B:$H,7,FALSE),,CONGÉ!$C$2:$C$80))</f>
        <v>#N/A</v>
      </c>
      <c r="AN37" s="50" t="e">
        <f>+IF(U37=0," ",+WORKDAY.INTL(+VLOOKUP(AN$1,POSTE!$B:$G,3,FALSE),+CUM!AE36/+VLOOKUP(AN$1,POSTE!$B:$H,7,FALSE),,CONGÉ!$C$2:$C$80))</f>
        <v>#N/A</v>
      </c>
      <c r="AO37" s="50" t="e">
        <f>+IF(V37=0," ",+WORKDAY.INTL(+VLOOKUP(AO$1,POSTE!$B:$G,3,FALSE),+CUM!AF36/+VLOOKUP(AO$1,POSTE!$B:$H,7,FALSE),,CONGÉ!$C$2:$C$80))</f>
        <v>#N/A</v>
      </c>
      <c r="AP37" s="50" t="e">
        <f>+IF(W37=0," ",+WORKDAY.INTL(+VLOOKUP(AP$1,POSTE!$B:$G,3,FALSE),+CUM!AG36/+VLOOKUP(AP$1,POSTE!$B:$H,7,FALSE),,CONGÉ!$C$2:$C$80))</f>
        <v>#N/A</v>
      </c>
      <c r="AQ37" s="50" t="e">
        <f>+IF(X37=0," ",+WORKDAY.INTL(+VLOOKUP(AQ$1,POSTE!$B:$G,3,FALSE),+CUM!AH36/+VLOOKUP(AQ$1,POSTE!$B:$H,7,FALSE),,CONGÉ!$C$2:$C$80))</f>
        <v>#N/A</v>
      </c>
      <c r="AR37" s="71" t="e">
        <f>+IF(Y37=0," ",+WORKDAY.INTL(+VLOOKUP(AR$1,POSTE!$B:$G,3,FALSE),+CUM!AI36/+VLOOKUP(AR$1,POSTE!$B:$H,7,FALSE),,CONGÉ!$C$2:$C$80))</f>
        <v>#N/A</v>
      </c>
      <c r="AS37" s="72" t="e">
        <f>+IF(Q37=0," ",+WORKDAY.INTL(+VLOOKUP(AS$1,POSTE!$B:$G,3,FALSE),+CUM!AA37/+VLOOKUP(AS$1,POSTE!$B:$H,7,FALSE),,CONGÉ!$C$2:$C$80))</f>
        <v>#N/A</v>
      </c>
      <c r="AT37" s="73" t="e">
        <f>+IF(R37=0," ",+WORKDAY.INTL(+VLOOKUP(AT$1,POSTE!$B:$G,3,FALSE),+CUM!AB37/+VLOOKUP(AT$1,POSTE!$B:$H,7,FALSE),,CONGÉ!$C$2:$C$80))</f>
        <v>#N/A</v>
      </c>
      <c r="AU37" s="73" t="e">
        <f>+IF(AND(S37=0,T37=0)," ",+WORKDAY.INTL(+VLOOKUP($AS$1,POSTE!B:J,3,FALSE),+(((AC37*POSTE!$H$5)+(CUM!AD37*POSTE!$H$4))/(POSTE!$H$4*POSTE!$H$5*2)),,CONGÉ!$C$2:$C$80))</f>
        <v>#N/A</v>
      </c>
      <c r="AV37" s="73" t="e">
        <f>+IF(U37=0," ",+WORKDAY.INTL(+VLOOKUP(AV$1,POSTE!$B:$G,3,FALSE),+CUM!AE37/+VLOOKUP(AV$1,POSTE!$B:$H,7,FALSE),,CONGÉ!$C$2:$C$80))</f>
        <v>#N/A</v>
      </c>
      <c r="AW37" s="73" t="e">
        <f>+IF(V37=0," ",+WORKDAY.INTL(+VLOOKUP(AW$1,POSTE!$B:$G,3,FALSE),+CUM!AF37/+VLOOKUP(AW$1,POSTE!$B:$H,7,FALSE),,CONGÉ!$C$2:$C$80))</f>
        <v>#N/A</v>
      </c>
      <c r="AX37" s="73" t="e">
        <f>+IF(W37=0," ",+WORKDAY.INTL(+VLOOKUP(AX$1,POSTE!$B:$G,3,FALSE),+CUM!AG37/+VLOOKUP(AX$1,POSTE!$B:$H,7,FALSE),,CONGÉ!$C$2:$C$80))</f>
        <v>#N/A</v>
      </c>
      <c r="AY37" s="73" t="e">
        <f>+IF(X37=0," ",+WORKDAY.INTL(+VLOOKUP(AY$1,POSTE!$B:$G,3,FALSE),+CUM!AH37/+VLOOKUP(AY$1,POSTE!$B:$H,7,FALSE),,CONGÉ!$C$2:$C$80))</f>
        <v>#N/A</v>
      </c>
      <c r="AZ37" s="73" t="e">
        <f>+IF(Y37=0," ",+WORKDAY.INTL(+VLOOKUP(AZ$1,POSTE!$B:$G,3,FALSE),+CUM!AI37/+VLOOKUP(AZ$1,POSTE!$B:$H,7,FALSE),,CONGÉ!$C$2:$C$80))</f>
        <v>#N/A</v>
      </c>
      <c r="BA37" s="73" t="e">
        <f>+IF(S37=0," ",+WORKDAY.INTL(+VLOOKUP(BA$1,POSTE!$B:$G,3,FALSE),+CUM!AC37/+VLOOKUP(BA$1,POSTE!$B:$H,7,FALSE),,CONGÉ!$C$2:$C$80))</f>
        <v>#N/A</v>
      </c>
      <c r="BB37" s="73" t="e">
        <f>+IF(T37=0," ",+WORKDAY.INTL(+VLOOKUP(BB$1,POSTE!$B:$G,3,FALSE),+CUM!AD37/+VLOOKUP(BB$1,POSTE!$B:$H,7,FALSE),,CONGÉ!$C$2:$C$80))</f>
        <v>#N/A</v>
      </c>
      <c r="BC37" s="70" t="e">
        <f t="shared" si="13"/>
        <v>#N/A</v>
      </c>
      <c r="BD37" s="70" t="e">
        <f t="shared" si="14"/>
        <v>#N/A</v>
      </c>
      <c r="BE37" s="129" t="e">
        <f>+IF($F37="oui",+VLOOKUP($A37,DATA!$A:$AH,DATA!$AH$3,FALSE),0)</f>
        <v>#N/A</v>
      </c>
      <c r="BF37" s="129" t="e">
        <f t="shared" si="15"/>
        <v>#N/A</v>
      </c>
      <c r="BG37" s="136" t="e">
        <f>+IF(BE37&gt;0,+MAX((BH$4:BH36),BD37),"")</f>
        <v>#N/A</v>
      </c>
      <c r="BH37" s="136" t="e">
        <f>+IF(BE37&gt;0,+MAX((BH$4:BH36),+WORKDAY.INTL(BG37,+BE37/8,,CONGÉ!$C$2:$C$73)),"")</f>
        <v>#N/A</v>
      </c>
      <c r="BI37" s="136" t="e">
        <f t="shared" si="16"/>
        <v>#N/A</v>
      </c>
      <c r="BJ37" s="43" t="e">
        <f t="shared" ref="BJ37:BJ68" si="30">+AC37+AD37</f>
        <v>#N/A</v>
      </c>
      <c r="BK37" s="77">
        <f t="shared" ca="1" si="17"/>
        <v>45754</v>
      </c>
      <c r="BL37" s="78" t="e">
        <f>+(((AC37*POSTE!$H$5)+(CUM!AD37*POSTE!$H$4))/(POSTE!$H$4*POSTE!$H$5*2))</f>
        <v>#N/A</v>
      </c>
      <c r="BM37" s="90" t="e">
        <f ca="1">+WORKDAY.INTL(BK37,BL37,,CONGÉ!C$4:C$72)</f>
        <v>#N/A</v>
      </c>
      <c r="BN37" s="78" t="e">
        <f t="shared" ca="1" si="18"/>
        <v>#N/A</v>
      </c>
    </row>
    <row r="38" spans="1:66" x14ac:dyDescent="0.25">
      <c r="A38" s="49">
        <f t="shared" si="19"/>
        <v>34</v>
      </c>
      <c r="B38" s="185" cm="1">
        <f t="array" ref="B38">_xlfn.LET(_xlpm.CORR,IF(DATA!$B$4:$B$104="",IF(DATA!$A$4:$A$104="","--",DATA!$A$4:$A$104),DATA!$B$4:$B$104),_xlpm.Rx,SMALL(_xlpm.CORR,A38),IFERROR(MATCH(_xlpm.Rx,_xlpm.CORR,0),0))</f>
        <v>0</v>
      </c>
      <c r="C38" s="18" t="e">
        <f>+VLOOKUP($A38,DATA!$A:$AG,DATA!$E$3,FALSE)</f>
        <v>#N/A</v>
      </c>
      <c r="D38" s="18" t="e">
        <f>+VLOOKUP($A38,DATA!$A:$AG,DATA!$D$3,FALSE)</f>
        <v>#N/A</v>
      </c>
      <c r="E38" s="186" t="e">
        <f>+VLOOKUP($A38,DATA!$A:$AG,DATA!$G$3,FALSE)</f>
        <v>#N/A</v>
      </c>
      <c r="F38" s="19" t="e">
        <f>+VLOOKUP($A38,DATA!$A:$AG,DATA!$O$3,FALSE)</f>
        <v>#N/A</v>
      </c>
      <c r="G38" s="43" t="e">
        <f>+IF($F38="oui",+VLOOKUP($A38,DATA!$A:$AG,DATA!$P$3,FALSE),0)</f>
        <v>#N/A</v>
      </c>
      <c r="H38" s="44" t="e">
        <f>+IF($F38="oui",+VLOOKUP($A38,DATA!$A:$AG,DATA!$R$3,FALSE),0)</f>
        <v>#N/A</v>
      </c>
      <c r="I38" s="44" t="e">
        <f>+IF($F38="oui",+VLOOKUP($A38,DATA!$A:$AG,DATA!$T$3,FALSE),0)</f>
        <v>#N/A</v>
      </c>
      <c r="J38" s="44" t="e">
        <f>+IF($F38="oui",+VLOOKUP($A38,DATA!$A:$AG,DATA!$V$3,FALSE),0)</f>
        <v>#N/A</v>
      </c>
      <c r="K38" s="44" t="e">
        <f>+IF($F38="oui",+VLOOKUP($A38,DATA!$A:$AG,DATA!$X$3,FALSE),0)</f>
        <v>#N/A</v>
      </c>
      <c r="L38" s="44" t="e">
        <f>+IF($F38="oui",+VLOOKUP($A38,DATA!$A:$AG,DATA!$Z$3,FALSE),0)</f>
        <v>#N/A</v>
      </c>
      <c r="M38" s="44" t="e">
        <f>+IF($F38="oui",+VLOOKUP($A38,DATA!$A:$AG,DATA!$AB$3,FALSE),0)</f>
        <v>#N/A</v>
      </c>
      <c r="N38" s="44" t="e">
        <f>+IF($F38="oui",+VLOOKUP($A38,DATA!$A:$AG,DATA!$AD$3,FALSE),0)</f>
        <v>#N/A</v>
      </c>
      <c r="O38" s="45" t="e">
        <f>+IF($F38="oui",+VLOOKUP($A38,DATA!$A:$AG,DATA!$AF$3,FALSE),0)</f>
        <v>#N/A</v>
      </c>
      <c r="P38" s="116" t="e">
        <f t="shared" si="12"/>
        <v>#N/A</v>
      </c>
      <c r="Q38" s="21" t="e">
        <f>+IF($F38="oui",+VLOOKUP($A38,DATA!$A:$AG,DATA!$Q$3,FALSE),0)</f>
        <v>#N/A</v>
      </c>
      <c r="R38" s="22" t="e">
        <f>+IF($F38="oui",+VLOOKUP($A38,DATA!$A:$AG,DATA!$S$3,FALSE),0)</f>
        <v>#N/A</v>
      </c>
      <c r="S38" s="22" t="e">
        <f>+IF($F38="oui",+VLOOKUP($A38,DATA!$A:$AG,DATA!$U$3,FALSE),0)</f>
        <v>#N/A</v>
      </c>
      <c r="T38" s="22" t="e">
        <f>+IF($F38="oui",+VLOOKUP($A38,DATA!$A:$AG,DATA!$W$3,FALSE),0)</f>
        <v>#N/A</v>
      </c>
      <c r="U38" s="22" t="e">
        <f>+IF($F38="oui",+VLOOKUP($A38,DATA!$A:$AG,DATA!$Y$3,FALSE),0)</f>
        <v>#N/A</v>
      </c>
      <c r="V38" s="22" t="e">
        <f>+IF($F38="oui",+VLOOKUP($A38,DATA!$A:$AG,DATA!$AA$3,FALSE),0)</f>
        <v>#N/A</v>
      </c>
      <c r="W38" s="22" t="e">
        <f>+IF($F38="oui",+VLOOKUP($A38,DATA!$A:$AG,DATA!$AC$3,FALSE),0)</f>
        <v>#N/A</v>
      </c>
      <c r="X38" s="22" t="e">
        <f>+IF($F38="oui",+VLOOKUP($A38,DATA!$A:$AG,DATA!$AE$3,FALSE),0)</f>
        <v>#N/A</v>
      </c>
      <c r="Y38" s="23" t="e">
        <f>+IF($F38="oui",+VLOOKUP($A38,DATA!$A:$AG,DATA!$AG$3,FALSE),0)</f>
        <v>#N/A</v>
      </c>
      <c r="Z38" s="118" t="e">
        <f t="shared" si="20"/>
        <v>#N/A</v>
      </c>
      <c r="AA38" s="43" t="e">
        <f t="shared" si="21"/>
        <v>#N/A</v>
      </c>
      <c r="AB38" s="44" t="e">
        <f t="shared" si="22"/>
        <v>#N/A</v>
      </c>
      <c r="AC38" s="44" t="e">
        <f t="shared" si="23"/>
        <v>#N/A</v>
      </c>
      <c r="AD38" s="44" t="e">
        <f t="shared" si="24"/>
        <v>#N/A</v>
      </c>
      <c r="AE38" s="44" t="e">
        <f t="shared" si="25"/>
        <v>#N/A</v>
      </c>
      <c r="AF38" s="44" t="e">
        <f t="shared" si="26"/>
        <v>#N/A</v>
      </c>
      <c r="AG38" s="44" t="e">
        <f t="shared" si="27"/>
        <v>#N/A</v>
      </c>
      <c r="AH38" s="44" t="e">
        <f t="shared" si="28"/>
        <v>#N/A</v>
      </c>
      <c r="AI38" s="45" t="e">
        <f t="shared" si="29"/>
        <v>#N/A</v>
      </c>
      <c r="AJ38" s="70" t="e">
        <f>+IF(Q38=0," ",+WORKDAY.INTL(+VLOOKUP(AJ$1,POSTE!$B:$G,3,FALSE),+CUM!AA37/+VLOOKUP(AJ$1,POSTE!$B:$H,7,FALSE),,CONGÉ!$C$2:$C$80))</f>
        <v>#N/A</v>
      </c>
      <c r="AK38" s="50" t="e">
        <f>+IF(R38=0," ",+WORKDAY.INTL(+VLOOKUP(AK$1,POSTE!$B:$G,3,FALSE),+CUM!AB37/+VLOOKUP(AK$1,POSTE!$B:$H,7,FALSE),,CONGÉ!$C$2:$C$80))</f>
        <v>#N/A</v>
      </c>
      <c r="AL38" s="50" t="e">
        <f>+IF(S38=0," ",+WORKDAY.INTL(+VLOOKUP(AL$1,POSTE!$B:$G,3,FALSE),+CUM!AC37/+VLOOKUP(AL$1,POSTE!$B:$H,7,FALSE),,CONGÉ!$C$2:$C$80))</f>
        <v>#N/A</v>
      </c>
      <c r="AM38" s="50" t="e">
        <f>+IF(T38=0," ",+WORKDAY.INTL(+VLOOKUP(AM$1,POSTE!$B:$G,3,FALSE),+CUM!AD37/+VLOOKUP(AM$1,POSTE!$B:$H,7,FALSE),,CONGÉ!$C$2:$C$80))</f>
        <v>#N/A</v>
      </c>
      <c r="AN38" s="50" t="e">
        <f>+IF(U38=0," ",+WORKDAY.INTL(+VLOOKUP(AN$1,POSTE!$B:$G,3,FALSE),+CUM!AE37/+VLOOKUP(AN$1,POSTE!$B:$H,7,FALSE),,CONGÉ!$C$2:$C$80))</f>
        <v>#N/A</v>
      </c>
      <c r="AO38" s="50" t="e">
        <f>+IF(V38=0," ",+WORKDAY.INTL(+VLOOKUP(AO$1,POSTE!$B:$G,3,FALSE),+CUM!AF37/+VLOOKUP(AO$1,POSTE!$B:$H,7,FALSE),,CONGÉ!$C$2:$C$80))</f>
        <v>#N/A</v>
      </c>
      <c r="AP38" s="50" t="e">
        <f>+IF(W38=0," ",+WORKDAY.INTL(+VLOOKUP(AP$1,POSTE!$B:$G,3,FALSE),+CUM!AG37/+VLOOKUP(AP$1,POSTE!$B:$H,7,FALSE),,CONGÉ!$C$2:$C$80))</f>
        <v>#N/A</v>
      </c>
      <c r="AQ38" s="50" t="e">
        <f>+IF(X38=0," ",+WORKDAY.INTL(+VLOOKUP(AQ$1,POSTE!$B:$G,3,FALSE),+CUM!AH37/+VLOOKUP(AQ$1,POSTE!$B:$H,7,FALSE),,CONGÉ!$C$2:$C$80))</f>
        <v>#N/A</v>
      </c>
      <c r="AR38" s="71" t="e">
        <f>+IF(Y38=0," ",+WORKDAY.INTL(+VLOOKUP(AR$1,POSTE!$B:$G,3,FALSE),+CUM!AI37/+VLOOKUP(AR$1,POSTE!$B:$H,7,FALSE),,CONGÉ!$C$2:$C$80))</f>
        <v>#N/A</v>
      </c>
      <c r="AS38" s="72" t="e">
        <f>+IF(Q38=0," ",+WORKDAY.INTL(+VLOOKUP(AS$1,POSTE!$B:$G,3,FALSE),+CUM!AA38/+VLOOKUP(AS$1,POSTE!$B:$H,7,FALSE),,CONGÉ!$C$2:$C$80))</f>
        <v>#N/A</v>
      </c>
      <c r="AT38" s="73" t="e">
        <f>+IF(R38=0," ",+WORKDAY.INTL(+VLOOKUP(AT$1,POSTE!$B:$G,3,FALSE),+CUM!AB38/+VLOOKUP(AT$1,POSTE!$B:$H,7,FALSE),,CONGÉ!$C$2:$C$80))</f>
        <v>#N/A</v>
      </c>
      <c r="AU38" s="73" t="e">
        <f>+IF(AND(S38=0,T38=0)," ",+WORKDAY.INTL(+VLOOKUP($AS$1,POSTE!B:J,3,FALSE),+(((AC38*POSTE!$H$5)+(CUM!AD38*POSTE!$H$4))/(POSTE!$H$4*POSTE!$H$5*2)),,CONGÉ!$C$2:$C$80))</f>
        <v>#N/A</v>
      </c>
      <c r="AV38" s="73" t="e">
        <f>+IF(U38=0," ",+WORKDAY.INTL(+VLOOKUP(AV$1,POSTE!$B:$G,3,FALSE),+CUM!AE38/+VLOOKUP(AV$1,POSTE!$B:$H,7,FALSE),,CONGÉ!$C$2:$C$80))</f>
        <v>#N/A</v>
      </c>
      <c r="AW38" s="73" t="e">
        <f>+IF(V38=0," ",+WORKDAY.INTL(+VLOOKUP(AW$1,POSTE!$B:$G,3,FALSE),+CUM!AF38/+VLOOKUP(AW$1,POSTE!$B:$H,7,FALSE),,CONGÉ!$C$2:$C$80))</f>
        <v>#N/A</v>
      </c>
      <c r="AX38" s="73" t="e">
        <f>+IF(W38=0," ",+WORKDAY.INTL(+VLOOKUP(AX$1,POSTE!$B:$G,3,FALSE),+CUM!AG38/+VLOOKUP(AX$1,POSTE!$B:$H,7,FALSE),,CONGÉ!$C$2:$C$80))</f>
        <v>#N/A</v>
      </c>
      <c r="AY38" s="73" t="e">
        <f>+IF(X38=0," ",+WORKDAY.INTL(+VLOOKUP(AY$1,POSTE!$B:$G,3,FALSE),+CUM!AH38/+VLOOKUP(AY$1,POSTE!$B:$H,7,FALSE),,CONGÉ!$C$2:$C$80))</f>
        <v>#N/A</v>
      </c>
      <c r="AZ38" s="73" t="e">
        <f>+IF(Y38=0," ",+WORKDAY.INTL(+VLOOKUP(AZ$1,POSTE!$B:$G,3,FALSE),+CUM!AI38/+VLOOKUP(AZ$1,POSTE!$B:$H,7,FALSE),,CONGÉ!$C$2:$C$80))</f>
        <v>#N/A</v>
      </c>
      <c r="BA38" s="73" t="e">
        <f>+IF(S38=0," ",+WORKDAY.INTL(+VLOOKUP(BA$1,POSTE!$B:$G,3,FALSE),+CUM!AC38/+VLOOKUP(BA$1,POSTE!$B:$H,7,FALSE),,CONGÉ!$C$2:$C$80))</f>
        <v>#N/A</v>
      </c>
      <c r="BB38" s="73" t="e">
        <f>+IF(T38=0," ",+WORKDAY.INTL(+VLOOKUP(BB$1,POSTE!$B:$G,3,FALSE),+CUM!AD38/+VLOOKUP(BB$1,POSTE!$B:$H,7,FALSE),,CONGÉ!$C$2:$C$80))</f>
        <v>#N/A</v>
      </c>
      <c r="BC38" s="70" t="e">
        <f t="shared" si="13"/>
        <v>#N/A</v>
      </c>
      <c r="BD38" s="70" t="e">
        <f t="shared" si="14"/>
        <v>#N/A</v>
      </c>
      <c r="BE38" s="129" t="e">
        <f>+IF($F38="oui",+VLOOKUP($A38,DATA!$A:$AH,DATA!$AH$3,FALSE),0)</f>
        <v>#N/A</v>
      </c>
      <c r="BF38" s="129" t="e">
        <f t="shared" si="15"/>
        <v>#N/A</v>
      </c>
      <c r="BG38" s="136" t="e">
        <f>+IF(BE38&gt;0,+MAX((BH$4:BH37),BD38),"")</f>
        <v>#N/A</v>
      </c>
      <c r="BH38" s="136" t="e">
        <f>+IF(BE38&gt;0,+MAX((BH$4:BH37),+WORKDAY.INTL(BG38,+BE38/8,,CONGÉ!$C$2:$C$73)),"")</f>
        <v>#N/A</v>
      </c>
      <c r="BI38" s="136" t="e">
        <f t="shared" si="16"/>
        <v>#N/A</v>
      </c>
      <c r="BJ38" s="43" t="e">
        <f t="shared" si="30"/>
        <v>#N/A</v>
      </c>
      <c r="BK38" s="77">
        <f t="shared" ca="1" si="17"/>
        <v>45754</v>
      </c>
      <c r="BL38" s="78" t="e">
        <f>+(((AC38*POSTE!$H$5)+(CUM!AD38*POSTE!$H$4))/(POSTE!$H$4*POSTE!$H$5*2))</f>
        <v>#N/A</v>
      </c>
      <c r="BM38" s="90" t="e">
        <f ca="1">+WORKDAY.INTL(BK38,BL38,,CONGÉ!C$4:C$72)</f>
        <v>#N/A</v>
      </c>
      <c r="BN38" s="78" t="e">
        <f t="shared" ca="1" si="18"/>
        <v>#N/A</v>
      </c>
    </row>
    <row r="39" spans="1:66" x14ac:dyDescent="0.25">
      <c r="A39" s="49">
        <f t="shared" si="19"/>
        <v>35</v>
      </c>
      <c r="B39" s="185" cm="1">
        <f t="array" ref="B39">_xlfn.LET(_xlpm.CORR,IF(DATA!$B$4:$B$104="",IF(DATA!$A$4:$A$104="","--",DATA!$A$4:$A$104),DATA!$B$4:$B$104),_xlpm.Rx,SMALL(_xlpm.CORR,A39),IFERROR(MATCH(_xlpm.Rx,_xlpm.CORR,0),0))</f>
        <v>0</v>
      </c>
      <c r="C39" s="18" t="e">
        <f>+VLOOKUP($A39,DATA!$A:$AG,DATA!$E$3,FALSE)</f>
        <v>#N/A</v>
      </c>
      <c r="D39" s="18" t="e">
        <f>+VLOOKUP($A39,DATA!$A:$AG,DATA!$D$3,FALSE)</f>
        <v>#N/A</v>
      </c>
      <c r="E39" s="186" t="e">
        <f>+VLOOKUP($A39,DATA!$A:$AG,DATA!$G$3,FALSE)</f>
        <v>#N/A</v>
      </c>
      <c r="F39" s="19" t="e">
        <f>+VLOOKUP($A39,DATA!$A:$AG,DATA!$O$3,FALSE)</f>
        <v>#N/A</v>
      </c>
      <c r="G39" s="43" t="e">
        <f>+IF($F39="oui",+VLOOKUP($A39,DATA!$A:$AG,DATA!$P$3,FALSE),0)</f>
        <v>#N/A</v>
      </c>
      <c r="H39" s="44" t="e">
        <f>+IF($F39="oui",+VLOOKUP($A39,DATA!$A:$AG,DATA!$R$3,FALSE),0)</f>
        <v>#N/A</v>
      </c>
      <c r="I39" s="44" t="e">
        <f>+IF($F39="oui",+VLOOKUP($A39,DATA!$A:$AG,DATA!$T$3,FALSE),0)</f>
        <v>#N/A</v>
      </c>
      <c r="J39" s="44" t="e">
        <f>+IF($F39="oui",+VLOOKUP($A39,DATA!$A:$AG,DATA!$V$3,FALSE),0)</f>
        <v>#N/A</v>
      </c>
      <c r="K39" s="44" t="e">
        <f>+IF($F39="oui",+VLOOKUP($A39,DATA!$A:$AG,DATA!$X$3,FALSE),0)</f>
        <v>#N/A</v>
      </c>
      <c r="L39" s="44" t="e">
        <f>+IF($F39="oui",+VLOOKUP($A39,DATA!$A:$AG,DATA!$Z$3,FALSE),0)</f>
        <v>#N/A</v>
      </c>
      <c r="M39" s="44" t="e">
        <f>+IF($F39="oui",+VLOOKUP($A39,DATA!$A:$AG,DATA!$AB$3,FALSE),0)</f>
        <v>#N/A</v>
      </c>
      <c r="N39" s="44" t="e">
        <f>+IF($F39="oui",+VLOOKUP($A39,DATA!$A:$AG,DATA!$AD$3,FALSE),0)</f>
        <v>#N/A</v>
      </c>
      <c r="O39" s="45" t="e">
        <f>+IF($F39="oui",+VLOOKUP($A39,DATA!$A:$AG,DATA!$AF$3,FALSE),0)</f>
        <v>#N/A</v>
      </c>
      <c r="P39" s="116" t="e">
        <f t="shared" si="12"/>
        <v>#N/A</v>
      </c>
      <c r="Q39" s="21" t="e">
        <f>+IF($F39="oui",+VLOOKUP($A39,DATA!$A:$AG,DATA!$Q$3,FALSE),0)</f>
        <v>#N/A</v>
      </c>
      <c r="R39" s="22" t="e">
        <f>+IF($F39="oui",+VLOOKUP($A39,DATA!$A:$AG,DATA!$S$3,FALSE),0)</f>
        <v>#N/A</v>
      </c>
      <c r="S39" s="22" t="e">
        <f>+IF($F39="oui",+VLOOKUP($A39,DATA!$A:$AG,DATA!$U$3,FALSE),0)</f>
        <v>#N/A</v>
      </c>
      <c r="T39" s="22" t="e">
        <f>+IF($F39="oui",+VLOOKUP($A39,DATA!$A:$AG,DATA!$W$3,FALSE),0)</f>
        <v>#N/A</v>
      </c>
      <c r="U39" s="22" t="e">
        <f>+IF($F39="oui",+VLOOKUP($A39,DATA!$A:$AG,DATA!$Y$3,FALSE),0)</f>
        <v>#N/A</v>
      </c>
      <c r="V39" s="22" t="e">
        <f>+IF($F39="oui",+VLOOKUP($A39,DATA!$A:$AG,DATA!$AA$3,FALSE),0)</f>
        <v>#N/A</v>
      </c>
      <c r="W39" s="22" t="e">
        <f>+IF($F39="oui",+VLOOKUP($A39,DATA!$A:$AG,DATA!$AC$3,FALSE),0)</f>
        <v>#N/A</v>
      </c>
      <c r="X39" s="22" t="e">
        <f>+IF($F39="oui",+VLOOKUP($A39,DATA!$A:$AG,DATA!$AE$3,FALSE),0)</f>
        <v>#N/A</v>
      </c>
      <c r="Y39" s="23" t="e">
        <f>+IF($F39="oui",+VLOOKUP($A39,DATA!$A:$AG,DATA!$AG$3,FALSE),0)</f>
        <v>#N/A</v>
      </c>
      <c r="Z39" s="118" t="e">
        <f t="shared" si="20"/>
        <v>#N/A</v>
      </c>
      <c r="AA39" s="43" t="e">
        <f t="shared" si="21"/>
        <v>#N/A</v>
      </c>
      <c r="AB39" s="44" t="e">
        <f t="shared" si="22"/>
        <v>#N/A</v>
      </c>
      <c r="AC39" s="44" t="e">
        <f t="shared" si="23"/>
        <v>#N/A</v>
      </c>
      <c r="AD39" s="44" t="e">
        <f t="shared" si="24"/>
        <v>#N/A</v>
      </c>
      <c r="AE39" s="44" t="e">
        <f t="shared" si="25"/>
        <v>#N/A</v>
      </c>
      <c r="AF39" s="44" t="e">
        <f t="shared" si="26"/>
        <v>#N/A</v>
      </c>
      <c r="AG39" s="44" t="e">
        <f t="shared" si="27"/>
        <v>#N/A</v>
      </c>
      <c r="AH39" s="44" t="e">
        <f t="shared" si="28"/>
        <v>#N/A</v>
      </c>
      <c r="AI39" s="45" t="e">
        <f t="shared" si="29"/>
        <v>#N/A</v>
      </c>
      <c r="AJ39" s="70" t="e">
        <f>+IF(Q39=0," ",+WORKDAY.INTL(+VLOOKUP(AJ$1,POSTE!$B:$G,3,FALSE),+CUM!AA38/+VLOOKUP(AJ$1,POSTE!$B:$H,7,FALSE),,CONGÉ!$C$2:$C$80))</f>
        <v>#N/A</v>
      </c>
      <c r="AK39" s="50" t="e">
        <f>+IF(R39=0," ",+WORKDAY.INTL(+VLOOKUP(AK$1,POSTE!$B:$G,3,FALSE),+CUM!AB38/+VLOOKUP(AK$1,POSTE!$B:$H,7,FALSE),,CONGÉ!$C$2:$C$80))</f>
        <v>#N/A</v>
      </c>
      <c r="AL39" s="50" t="e">
        <f>+IF(S39=0," ",+WORKDAY.INTL(+VLOOKUP(AL$1,POSTE!$B:$G,3,FALSE),+CUM!AC38/+VLOOKUP(AL$1,POSTE!$B:$H,7,FALSE),,CONGÉ!$C$2:$C$80))</f>
        <v>#N/A</v>
      </c>
      <c r="AM39" s="50" t="e">
        <f>+IF(T39=0," ",+WORKDAY.INTL(+VLOOKUP(AM$1,POSTE!$B:$G,3,FALSE),+CUM!AD38/+VLOOKUP(AM$1,POSTE!$B:$H,7,FALSE),,CONGÉ!$C$2:$C$80))</f>
        <v>#N/A</v>
      </c>
      <c r="AN39" s="50" t="e">
        <f>+IF(U39=0," ",+WORKDAY.INTL(+VLOOKUP(AN$1,POSTE!$B:$G,3,FALSE),+CUM!AE38/+VLOOKUP(AN$1,POSTE!$B:$H,7,FALSE),,CONGÉ!$C$2:$C$80))</f>
        <v>#N/A</v>
      </c>
      <c r="AO39" s="50" t="e">
        <f>+IF(V39=0," ",+WORKDAY.INTL(+VLOOKUP(AO$1,POSTE!$B:$G,3,FALSE),+CUM!AF38/+VLOOKUP(AO$1,POSTE!$B:$H,7,FALSE),,CONGÉ!$C$2:$C$80))</f>
        <v>#N/A</v>
      </c>
      <c r="AP39" s="50" t="e">
        <f>+IF(W39=0," ",+WORKDAY.INTL(+VLOOKUP(AP$1,POSTE!$B:$G,3,FALSE),+CUM!AG38/+VLOOKUP(AP$1,POSTE!$B:$H,7,FALSE),,CONGÉ!$C$2:$C$80))</f>
        <v>#N/A</v>
      </c>
      <c r="AQ39" s="50" t="e">
        <f>+IF(X39=0," ",+WORKDAY.INTL(+VLOOKUP(AQ$1,POSTE!$B:$G,3,FALSE),+CUM!AH38/+VLOOKUP(AQ$1,POSTE!$B:$H,7,FALSE),,CONGÉ!$C$2:$C$80))</f>
        <v>#N/A</v>
      </c>
      <c r="AR39" s="71" t="e">
        <f>+IF(Y39=0," ",+WORKDAY.INTL(+VLOOKUP(AR$1,POSTE!$B:$G,3,FALSE),+CUM!AI38/+VLOOKUP(AR$1,POSTE!$B:$H,7,FALSE),,CONGÉ!$C$2:$C$80))</f>
        <v>#N/A</v>
      </c>
      <c r="AS39" s="72" t="e">
        <f>+IF(Q39=0," ",+WORKDAY.INTL(+VLOOKUP(AS$1,POSTE!$B:$G,3,FALSE),+CUM!AA39/+VLOOKUP(AS$1,POSTE!$B:$H,7,FALSE),,CONGÉ!$C$2:$C$80))</f>
        <v>#N/A</v>
      </c>
      <c r="AT39" s="73" t="e">
        <f>+IF(R39=0," ",+WORKDAY.INTL(+VLOOKUP(AT$1,POSTE!$B:$G,3,FALSE),+CUM!AB39/+VLOOKUP(AT$1,POSTE!$B:$H,7,FALSE),,CONGÉ!$C$2:$C$80))</f>
        <v>#N/A</v>
      </c>
      <c r="AU39" s="73" t="e">
        <f>+IF(AND(S39=0,T39=0)," ",+WORKDAY.INTL(+VLOOKUP($AS$1,POSTE!B:J,3,FALSE),+(((AC39*POSTE!$H$5)+(CUM!AD39*POSTE!$H$4))/(POSTE!$H$4*POSTE!$H$5*2)),,CONGÉ!$C$2:$C$80))</f>
        <v>#N/A</v>
      </c>
      <c r="AV39" s="73" t="e">
        <f>+IF(U39=0," ",+WORKDAY.INTL(+VLOOKUP(AV$1,POSTE!$B:$G,3,FALSE),+CUM!AE39/+VLOOKUP(AV$1,POSTE!$B:$H,7,FALSE),,CONGÉ!$C$2:$C$80))</f>
        <v>#N/A</v>
      </c>
      <c r="AW39" s="73" t="e">
        <f>+IF(V39=0," ",+WORKDAY.INTL(+VLOOKUP(AW$1,POSTE!$B:$G,3,FALSE),+CUM!AF39/+VLOOKUP(AW$1,POSTE!$B:$H,7,FALSE),,CONGÉ!$C$2:$C$80))</f>
        <v>#N/A</v>
      </c>
      <c r="AX39" s="73" t="e">
        <f>+IF(W39=0," ",+WORKDAY.INTL(+VLOOKUP(AX$1,POSTE!$B:$G,3,FALSE),+CUM!AG39/+VLOOKUP(AX$1,POSTE!$B:$H,7,FALSE),,CONGÉ!$C$2:$C$80))</f>
        <v>#N/A</v>
      </c>
      <c r="AY39" s="73" t="e">
        <f>+IF(X39=0," ",+WORKDAY.INTL(+VLOOKUP(AY$1,POSTE!$B:$G,3,FALSE),+CUM!AH39/+VLOOKUP(AY$1,POSTE!$B:$H,7,FALSE),,CONGÉ!$C$2:$C$80))</f>
        <v>#N/A</v>
      </c>
      <c r="AZ39" s="73" t="e">
        <f>+IF(Y39=0," ",+WORKDAY.INTL(+VLOOKUP(AZ$1,POSTE!$B:$G,3,FALSE),+CUM!AI39/+VLOOKUP(AZ$1,POSTE!$B:$H,7,FALSE),,CONGÉ!$C$2:$C$80))</f>
        <v>#N/A</v>
      </c>
      <c r="BA39" s="73" t="e">
        <f>+IF(S39=0," ",+WORKDAY.INTL(+VLOOKUP(BA$1,POSTE!$B:$G,3,FALSE),+CUM!AC39/+VLOOKUP(BA$1,POSTE!$B:$H,7,FALSE),,CONGÉ!$C$2:$C$80))</f>
        <v>#N/A</v>
      </c>
      <c r="BB39" s="73" t="e">
        <f>+IF(T39=0," ",+WORKDAY.INTL(+VLOOKUP(BB$1,POSTE!$B:$G,3,FALSE),+CUM!AD39/+VLOOKUP(BB$1,POSTE!$B:$H,7,FALSE),,CONGÉ!$C$2:$C$80))</f>
        <v>#N/A</v>
      </c>
      <c r="BC39" s="70" t="e">
        <f t="shared" si="13"/>
        <v>#N/A</v>
      </c>
      <c r="BD39" s="70" t="e">
        <f t="shared" si="14"/>
        <v>#N/A</v>
      </c>
      <c r="BE39" s="129" t="e">
        <f>+IF($F39="oui",+VLOOKUP($A39,DATA!$A:$AH,DATA!$AH$3,FALSE),0)</f>
        <v>#N/A</v>
      </c>
      <c r="BF39" s="129" t="e">
        <f t="shared" si="15"/>
        <v>#N/A</v>
      </c>
      <c r="BG39" s="136" t="e">
        <f>+IF(BE39&gt;0,+MAX((BH$4:BH38),BD39),"")</f>
        <v>#N/A</v>
      </c>
      <c r="BH39" s="136" t="e">
        <f>+IF(BE39&gt;0,+MAX((BH$4:BH38),+WORKDAY.INTL(BG39,+BE39/8,,CONGÉ!$C$2:$C$73)),"")</f>
        <v>#N/A</v>
      </c>
      <c r="BI39" s="136" t="e">
        <f t="shared" si="16"/>
        <v>#N/A</v>
      </c>
      <c r="BJ39" s="43" t="e">
        <f t="shared" si="30"/>
        <v>#N/A</v>
      </c>
      <c r="BK39" s="77">
        <f t="shared" ca="1" si="17"/>
        <v>45754</v>
      </c>
      <c r="BL39" s="78" t="e">
        <f>+(((AC39*POSTE!$H$5)+(CUM!AD39*POSTE!$H$4))/(POSTE!$H$4*POSTE!$H$5*2))</f>
        <v>#N/A</v>
      </c>
      <c r="BM39" s="90" t="e">
        <f ca="1">+WORKDAY.INTL(BK39,BL39,,CONGÉ!C$4:C$72)</f>
        <v>#N/A</v>
      </c>
      <c r="BN39" s="78" t="e">
        <f t="shared" ca="1" si="18"/>
        <v>#N/A</v>
      </c>
    </row>
    <row r="40" spans="1:66" x14ac:dyDescent="0.25">
      <c r="A40" s="49">
        <f t="shared" si="19"/>
        <v>36</v>
      </c>
      <c r="B40" s="185" cm="1">
        <f t="array" ref="B40">_xlfn.LET(_xlpm.CORR,IF(DATA!$B$4:$B$104="",IF(DATA!$A$4:$A$104="","--",DATA!$A$4:$A$104),DATA!$B$4:$B$104),_xlpm.Rx,SMALL(_xlpm.CORR,A40),IFERROR(MATCH(_xlpm.Rx,_xlpm.CORR,0),0))</f>
        <v>0</v>
      </c>
      <c r="C40" s="18" t="e">
        <f>+VLOOKUP($A40,DATA!$A:$AG,DATA!$E$3,FALSE)</f>
        <v>#N/A</v>
      </c>
      <c r="D40" s="18" t="e">
        <f>+VLOOKUP($A40,DATA!$A:$AG,DATA!$D$3,FALSE)</f>
        <v>#N/A</v>
      </c>
      <c r="E40" s="186" t="e">
        <f>+VLOOKUP($A40,DATA!$A:$AG,DATA!$G$3,FALSE)</f>
        <v>#N/A</v>
      </c>
      <c r="F40" s="19" t="e">
        <f>+VLOOKUP($A40,DATA!$A:$AG,DATA!$O$3,FALSE)</f>
        <v>#N/A</v>
      </c>
      <c r="G40" s="43" t="e">
        <f>+IF($F40="oui",+VLOOKUP($A40,DATA!$A:$AG,DATA!$P$3,FALSE),0)</f>
        <v>#N/A</v>
      </c>
      <c r="H40" s="44" t="e">
        <f>+IF($F40="oui",+VLOOKUP($A40,DATA!$A:$AG,DATA!$R$3,FALSE),0)</f>
        <v>#N/A</v>
      </c>
      <c r="I40" s="44" t="e">
        <f>+IF($F40="oui",+VLOOKUP($A40,DATA!$A:$AG,DATA!$T$3,FALSE),0)</f>
        <v>#N/A</v>
      </c>
      <c r="J40" s="44" t="e">
        <f>+IF($F40="oui",+VLOOKUP($A40,DATA!$A:$AG,DATA!$V$3,FALSE),0)</f>
        <v>#N/A</v>
      </c>
      <c r="K40" s="44" t="e">
        <f>+IF($F40="oui",+VLOOKUP($A40,DATA!$A:$AG,DATA!$X$3,FALSE),0)</f>
        <v>#N/A</v>
      </c>
      <c r="L40" s="44" t="e">
        <f>+IF($F40="oui",+VLOOKUP($A40,DATA!$A:$AG,DATA!$Z$3,FALSE),0)</f>
        <v>#N/A</v>
      </c>
      <c r="M40" s="44" t="e">
        <f>+IF($F40="oui",+VLOOKUP($A40,DATA!$A:$AG,DATA!$AB$3,FALSE),0)</f>
        <v>#N/A</v>
      </c>
      <c r="N40" s="44" t="e">
        <f>+IF($F40="oui",+VLOOKUP($A40,DATA!$A:$AG,DATA!$AD$3,FALSE),0)</f>
        <v>#N/A</v>
      </c>
      <c r="O40" s="45" t="e">
        <f>+IF($F40="oui",+VLOOKUP($A40,DATA!$A:$AG,DATA!$AF$3,FALSE),0)</f>
        <v>#N/A</v>
      </c>
      <c r="P40" s="116" t="e">
        <f t="shared" si="12"/>
        <v>#N/A</v>
      </c>
      <c r="Q40" s="21" t="e">
        <f>+IF($F40="oui",+VLOOKUP($A40,DATA!$A:$AG,DATA!$Q$3,FALSE),0)</f>
        <v>#N/A</v>
      </c>
      <c r="R40" s="22" t="e">
        <f>+IF($F40="oui",+VLOOKUP($A40,DATA!$A:$AG,DATA!$S$3,FALSE),0)</f>
        <v>#N/A</v>
      </c>
      <c r="S40" s="22" t="e">
        <f>+IF($F40="oui",+VLOOKUP($A40,DATA!$A:$AG,DATA!$U$3,FALSE),0)</f>
        <v>#N/A</v>
      </c>
      <c r="T40" s="22" t="e">
        <f>+IF($F40="oui",+VLOOKUP($A40,DATA!$A:$AG,DATA!$W$3,FALSE),0)</f>
        <v>#N/A</v>
      </c>
      <c r="U40" s="22" t="e">
        <f>+IF($F40="oui",+VLOOKUP($A40,DATA!$A:$AG,DATA!$Y$3,FALSE),0)</f>
        <v>#N/A</v>
      </c>
      <c r="V40" s="22" t="e">
        <f>+IF($F40="oui",+VLOOKUP($A40,DATA!$A:$AG,DATA!$AA$3,FALSE),0)</f>
        <v>#N/A</v>
      </c>
      <c r="W40" s="22" t="e">
        <f>+IF($F40="oui",+VLOOKUP($A40,DATA!$A:$AG,DATA!$AC$3,FALSE),0)</f>
        <v>#N/A</v>
      </c>
      <c r="X40" s="22" t="e">
        <f>+IF($F40="oui",+VLOOKUP($A40,DATA!$A:$AG,DATA!$AE$3,FALSE),0)</f>
        <v>#N/A</v>
      </c>
      <c r="Y40" s="23" t="e">
        <f>+IF($F40="oui",+VLOOKUP($A40,DATA!$A:$AG,DATA!$AG$3,FALSE),0)</f>
        <v>#N/A</v>
      </c>
      <c r="Z40" s="118" t="e">
        <f t="shared" si="20"/>
        <v>#N/A</v>
      </c>
      <c r="AA40" s="43" t="e">
        <f t="shared" si="21"/>
        <v>#N/A</v>
      </c>
      <c r="AB40" s="44" t="e">
        <f t="shared" si="22"/>
        <v>#N/A</v>
      </c>
      <c r="AC40" s="44" t="e">
        <f t="shared" si="23"/>
        <v>#N/A</v>
      </c>
      <c r="AD40" s="44" t="e">
        <f t="shared" si="24"/>
        <v>#N/A</v>
      </c>
      <c r="AE40" s="44" t="e">
        <f t="shared" si="25"/>
        <v>#N/A</v>
      </c>
      <c r="AF40" s="44" t="e">
        <f t="shared" si="26"/>
        <v>#N/A</v>
      </c>
      <c r="AG40" s="44" t="e">
        <f t="shared" si="27"/>
        <v>#N/A</v>
      </c>
      <c r="AH40" s="44" t="e">
        <f t="shared" si="28"/>
        <v>#N/A</v>
      </c>
      <c r="AI40" s="45" t="e">
        <f t="shared" si="29"/>
        <v>#N/A</v>
      </c>
      <c r="AJ40" s="70" t="e">
        <f>+IF(Q40=0," ",+WORKDAY.INTL(+VLOOKUP(AJ$1,POSTE!$B:$G,3,FALSE),+CUM!AA39/+VLOOKUP(AJ$1,POSTE!$B:$H,7,FALSE),,CONGÉ!$C$2:$C$80))</f>
        <v>#N/A</v>
      </c>
      <c r="AK40" s="50" t="e">
        <f>+IF(R40=0," ",+WORKDAY.INTL(+VLOOKUP(AK$1,POSTE!$B:$G,3,FALSE),+CUM!AB39/+VLOOKUP(AK$1,POSTE!$B:$H,7,FALSE),,CONGÉ!$C$2:$C$80))</f>
        <v>#N/A</v>
      </c>
      <c r="AL40" s="50" t="e">
        <f>+IF(S40=0," ",+WORKDAY.INTL(+VLOOKUP(AL$1,POSTE!$B:$G,3,FALSE),+CUM!AC39/+VLOOKUP(AL$1,POSTE!$B:$H,7,FALSE),,CONGÉ!$C$2:$C$80))</f>
        <v>#N/A</v>
      </c>
      <c r="AM40" s="50" t="e">
        <f>+IF(T40=0," ",+WORKDAY.INTL(+VLOOKUP(AM$1,POSTE!$B:$G,3,FALSE),+CUM!AD39/+VLOOKUP(AM$1,POSTE!$B:$H,7,FALSE),,CONGÉ!$C$2:$C$80))</f>
        <v>#N/A</v>
      </c>
      <c r="AN40" s="50" t="e">
        <f>+IF(U40=0," ",+WORKDAY.INTL(+VLOOKUP(AN$1,POSTE!$B:$G,3,FALSE),+CUM!AE39/+VLOOKUP(AN$1,POSTE!$B:$H,7,FALSE),,CONGÉ!$C$2:$C$80))</f>
        <v>#N/A</v>
      </c>
      <c r="AO40" s="50" t="e">
        <f>+IF(V40=0," ",+WORKDAY.INTL(+VLOOKUP(AO$1,POSTE!$B:$G,3,FALSE),+CUM!AF39/+VLOOKUP(AO$1,POSTE!$B:$H,7,FALSE),,CONGÉ!$C$2:$C$80))</f>
        <v>#N/A</v>
      </c>
      <c r="AP40" s="50" t="e">
        <f>+IF(W40=0," ",+WORKDAY.INTL(+VLOOKUP(AP$1,POSTE!$B:$G,3,FALSE),+CUM!AG39/+VLOOKUP(AP$1,POSTE!$B:$H,7,FALSE),,CONGÉ!$C$2:$C$80))</f>
        <v>#N/A</v>
      </c>
      <c r="AQ40" s="50" t="e">
        <f>+IF(X40=0," ",+WORKDAY.INTL(+VLOOKUP(AQ$1,POSTE!$B:$G,3,FALSE),+CUM!AH39/+VLOOKUP(AQ$1,POSTE!$B:$H,7,FALSE),,CONGÉ!$C$2:$C$80))</f>
        <v>#N/A</v>
      </c>
      <c r="AR40" s="71" t="e">
        <f>+IF(Y40=0," ",+WORKDAY.INTL(+VLOOKUP(AR$1,POSTE!$B:$G,3,FALSE),+CUM!AI39/+VLOOKUP(AR$1,POSTE!$B:$H,7,FALSE),,CONGÉ!$C$2:$C$80))</f>
        <v>#N/A</v>
      </c>
      <c r="AS40" s="72" t="e">
        <f>+IF(Q40=0," ",+WORKDAY.INTL(+VLOOKUP(AS$1,POSTE!$B:$G,3,FALSE),+CUM!AA40/+VLOOKUP(AS$1,POSTE!$B:$H,7,FALSE),,CONGÉ!$C$2:$C$80))</f>
        <v>#N/A</v>
      </c>
      <c r="AT40" s="73" t="e">
        <f>+IF(R40=0," ",+WORKDAY.INTL(+VLOOKUP(AT$1,POSTE!$B:$G,3,FALSE),+CUM!AB40/+VLOOKUP(AT$1,POSTE!$B:$H,7,FALSE),,CONGÉ!$C$2:$C$80))</f>
        <v>#N/A</v>
      </c>
      <c r="AU40" s="73" t="e">
        <f>+IF(AND(S40=0,T40=0)," ",+WORKDAY.INTL(+VLOOKUP($AS$1,POSTE!B:J,3,FALSE),+(((AC40*POSTE!$H$5)+(CUM!AD40*POSTE!$H$4))/(POSTE!$H$4*POSTE!$H$5*2)),,CONGÉ!$C$2:$C$80))</f>
        <v>#N/A</v>
      </c>
      <c r="AV40" s="73" t="e">
        <f>+IF(U40=0," ",+WORKDAY.INTL(+VLOOKUP(AV$1,POSTE!$B:$G,3,FALSE),+CUM!AE40/+VLOOKUP(AV$1,POSTE!$B:$H,7,FALSE),,CONGÉ!$C$2:$C$80))</f>
        <v>#N/A</v>
      </c>
      <c r="AW40" s="73" t="e">
        <f>+IF(V40=0," ",+WORKDAY.INTL(+VLOOKUP(AW$1,POSTE!$B:$G,3,FALSE),+CUM!AF40/+VLOOKUP(AW$1,POSTE!$B:$H,7,FALSE),,CONGÉ!$C$2:$C$80))</f>
        <v>#N/A</v>
      </c>
      <c r="AX40" s="73" t="e">
        <f>+IF(W40=0," ",+WORKDAY.INTL(+VLOOKUP(AX$1,POSTE!$B:$G,3,FALSE),+CUM!AG40/+VLOOKUP(AX$1,POSTE!$B:$H,7,FALSE),,CONGÉ!$C$2:$C$80))</f>
        <v>#N/A</v>
      </c>
      <c r="AY40" s="73" t="e">
        <f>+IF(X40=0," ",+WORKDAY.INTL(+VLOOKUP(AY$1,POSTE!$B:$G,3,FALSE),+CUM!AH40/+VLOOKUP(AY$1,POSTE!$B:$H,7,FALSE),,CONGÉ!$C$2:$C$80))</f>
        <v>#N/A</v>
      </c>
      <c r="AZ40" s="73" t="e">
        <f>+IF(Y40=0," ",+WORKDAY.INTL(+VLOOKUP(AZ$1,POSTE!$B:$G,3,FALSE),+CUM!AI40/+VLOOKUP(AZ$1,POSTE!$B:$H,7,FALSE),,CONGÉ!$C$2:$C$80))</f>
        <v>#N/A</v>
      </c>
      <c r="BA40" s="73" t="e">
        <f>+IF(S40=0," ",+WORKDAY.INTL(+VLOOKUP(BA$1,POSTE!$B:$G,3,FALSE),+CUM!AC40/+VLOOKUP(BA$1,POSTE!$B:$H,7,FALSE),,CONGÉ!$C$2:$C$80))</f>
        <v>#N/A</v>
      </c>
      <c r="BB40" s="73" t="e">
        <f>+IF(T40=0," ",+WORKDAY.INTL(+VLOOKUP(BB$1,POSTE!$B:$G,3,FALSE),+CUM!AD40/+VLOOKUP(BB$1,POSTE!$B:$H,7,FALSE),,CONGÉ!$C$2:$C$80))</f>
        <v>#N/A</v>
      </c>
      <c r="BC40" s="70" t="e">
        <f t="shared" si="13"/>
        <v>#N/A</v>
      </c>
      <c r="BD40" s="70" t="e">
        <f t="shared" si="14"/>
        <v>#N/A</v>
      </c>
      <c r="BE40" s="129" t="e">
        <f>+IF($F40="oui",+VLOOKUP($A40,DATA!$A:$AH,DATA!$AH$3,FALSE),0)</f>
        <v>#N/A</v>
      </c>
      <c r="BF40" s="129" t="e">
        <f t="shared" si="15"/>
        <v>#N/A</v>
      </c>
      <c r="BG40" s="136" t="e">
        <f>+IF(BE40&gt;0,+MAX((BH$4:BH39),BD40),"")</f>
        <v>#N/A</v>
      </c>
      <c r="BH40" s="136" t="e">
        <f>+IF(BE40&gt;0,+MAX((BH$4:BH39),+WORKDAY.INTL(BG40,+BE40/8,,CONGÉ!$C$2:$C$73)),"")</f>
        <v>#N/A</v>
      </c>
      <c r="BI40" s="136" t="e">
        <f t="shared" si="16"/>
        <v>#N/A</v>
      </c>
      <c r="BJ40" s="43" t="e">
        <f t="shared" si="30"/>
        <v>#N/A</v>
      </c>
      <c r="BK40" s="77">
        <f t="shared" ca="1" si="17"/>
        <v>45754</v>
      </c>
      <c r="BL40" s="78" t="e">
        <f>+(((AC40*POSTE!$H$5)+(CUM!AD40*POSTE!$H$4))/(POSTE!$H$4*POSTE!$H$5*2))</f>
        <v>#N/A</v>
      </c>
      <c r="BM40" s="90" t="e">
        <f ca="1">+WORKDAY.INTL(BK40,BL40,,CONGÉ!C$4:C$72)</f>
        <v>#N/A</v>
      </c>
      <c r="BN40" s="78" t="e">
        <f t="shared" ca="1" si="18"/>
        <v>#N/A</v>
      </c>
    </row>
    <row r="41" spans="1:66" x14ac:dyDescent="0.25">
      <c r="A41" s="49">
        <f t="shared" si="19"/>
        <v>37</v>
      </c>
      <c r="B41" s="185" cm="1">
        <f t="array" ref="B41">_xlfn.LET(_xlpm.CORR,IF(DATA!$B$4:$B$104="",IF(DATA!$A$4:$A$104="","--",DATA!$A$4:$A$104),DATA!$B$4:$B$104),_xlpm.Rx,SMALL(_xlpm.CORR,A41),IFERROR(MATCH(_xlpm.Rx,_xlpm.CORR,0),0))</f>
        <v>0</v>
      </c>
      <c r="C41" s="18" t="e">
        <f>+VLOOKUP($A41,DATA!$A:$AG,DATA!$E$3,FALSE)</f>
        <v>#N/A</v>
      </c>
      <c r="D41" s="18" t="e">
        <f>+VLOOKUP($A41,DATA!$A:$AG,DATA!$D$3,FALSE)</f>
        <v>#N/A</v>
      </c>
      <c r="E41" s="186" t="e">
        <f>+VLOOKUP($A41,DATA!$A:$AG,DATA!$G$3,FALSE)</f>
        <v>#N/A</v>
      </c>
      <c r="F41" s="19" t="e">
        <f>+VLOOKUP($A41,DATA!$A:$AG,DATA!$O$3,FALSE)</f>
        <v>#N/A</v>
      </c>
      <c r="G41" s="43" t="e">
        <f>+IF($F41="oui",+VLOOKUP($A41,DATA!$A:$AG,DATA!$P$3,FALSE),0)</f>
        <v>#N/A</v>
      </c>
      <c r="H41" s="44" t="e">
        <f>+IF($F41="oui",+VLOOKUP($A41,DATA!$A:$AG,DATA!$R$3,FALSE),0)</f>
        <v>#N/A</v>
      </c>
      <c r="I41" s="44" t="e">
        <f>+IF($F41="oui",+VLOOKUP($A41,DATA!$A:$AG,DATA!$T$3,FALSE),0)</f>
        <v>#N/A</v>
      </c>
      <c r="J41" s="44" t="e">
        <f>+IF($F41="oui",+VLOOKUP($A41,DATA!$A:$AG,DATA!$V$3,FALSE),0)</f>
        <v>#N/A</v>
      </c>
      <c r="K41" s="44" t="e">
        <f>+IF($F41="oui",+VLOOKUP($A41,DATA!$A:$AG,DATA!$X$3,FALSE),0)</f>
        <v>#N/A</v>
      </c>
      <c r="L41" s="44" t="e">
        <f>+IF($F41="oui",+VLOOKUP($A41,DATA!$A:$AG,DATA!$Z$3,FALSE),0)</f>
        <v>#N/A</v>
      </c>
      <c r="M41" s="44" t="e">
        <f>+IF($F41="oui",+VLOOKUP($A41,DATA!$A:$AG,DATA!$AB$3,FALSE),0)</f>
        <v>#N/A</v>
      </c>
      <c r="N41" s="44" t="e">
        <f>+IF($F41="oui",+VLOOKUP($A41,DATA!$A:$AG,DATA!$AD$3,FALSE),0)</f>
        <v>#N/A</v>
      </c>
      <c r="O41" s="45" t="e">
        <f>+IF($F41="oui",+VLOOKUP($A41,DATA!$A:$AG,DATA!$AF$3,FALSE),0)</f>
        <v>#N/A</v>
      </c>
      <c r="P41" s="116" t="e">
        <f t="shared" si="12"/>
        <v>#N/A</v>
      </c>
      <c r="Q41" s="21" t="e">
        <f>+IF($F41="oui",+VLOOKUP($A41,DATA!$A:$AG,DATA!$Q$3,FALSE),0)</f>
        <v>#N/A</v>
      </c>
      <c r="R41" s="22" t="e">
        <f>+IF($F41="oui",+VLOOKUP($A41,DATA!$A:$AG,DATA!$S$3,FALSE),0)</f>
        <v>#N/A</v>
      </c>
      <c r="S41" s="22" t="e">
        <f>+IF($F41="oui",+VLOOKUP($A41,DATA!$A:$AG,DATA!$U$3,FALSE),0)</f>
        <v>#N/A</v>
      </c>
      <c r="T41" s="22" t="e">
        <f>+IF($F41="oui",+VLOOKUP($A41,DATA!$A:$AG,DATA!$W$3,FALSE),0)</f>
        <v>#N/A</v>
      </c>
      <c r="U41" s="22" t="e">
        <f>+IF($F41="oui",+VLOOKUP($A41,DATA!$A:$AG,DATA!$Y$3,FALSE),0)</f>
        <v>#N/A</v>
      </c>
      <c r="V41" s="22" t="e">
        <f>+IF($F41="oui",+VLOOKUP($A41,DATA!$A:$AG,DATA!$AA$3,FALSE),0)</f>
        <v>#N/A</v>
      </c>
      <c r="W41" s="22" t="e">
        <f>+IF($F41="oui",+VLOOKUP($A41,DATA!$A:$AG,DATA!$AC$3,FALSE),0)</f>
        <v>#N/A</v>
      </c>
      <c r="X41" s="22" t="e">
        <f>+IF($F41="oui",+VLOOKUP($A41,DATA!$A:$AG,DATA!$AE$3,FALSE),0)</f>
        <v>#N/A</v>
      </c>
      <c r="Y41" s="23" t="e">
        <f>+IF($F41="oui",+VLOOKUP($A41,DATA!$A:$AG,DATA!$AG$3,FALSE),0)</f>
        <v>#N/A</v>
      </c>
      <c r="Z41" s="118" t="e">
        <f t="shared" si="20"/>
        <v>#N/A</v>
      </c>
      <c r="AA41" s="43" t="e">
        <f t="shared" si="21"/>
        <v>#N/A</v>
      </c>
      <c r="AB41" s="44" t="e">
        <f t="shared" si="22"/>
        <v>#N/A</v>
      </c>
      <c r="AC41" s="44" t="e">
        <f t="shared" si="23"/>
        <v>#N/A</v>
      </c>
      <c r="AD41" s="44" t="e">
        <f t="shared" si="24"/>
        <v>#N/A</v>
      </c>
      <c r="AE41" s="44" t="e">
        <f t="shared" si="25"/>
        <v>#N/A</v>
      </c>
      <c r="AF41" s="44" t="e">
        <f t="shared" si="26"/>
        <v>#N/A</v>
      </c>
      <c r="AG41" s="44" t="e">
        <f t="shared" si="27"/>
        <v>#N/A</v>
      </c>
      <c r="AH41" s="44" t="e">
        <f t="shared" si="28"/>
        <v>#N/A</v>
      </c>
      <c r="AI41" s="45" t="e">
        <f t="shared" si="29"/>
        <v>#N/A</v>
      </c>
      <c r="AJ41" s="70" t="e">
        <f>+IF(Q41=0," ",+WORKDAY.INTL(+VLOOKUP(AJ$1,POSTE!$B:$G,3,FALSE),+CUM!AA40/+VLOOKUP(AJ$1,POSTE!$B:$H,7,FALSE),,CONGÉ!$C$2:$C$80))</f>
        <v>#N/A</v>
      </c>
      <c r="AK41" s="50" t="e">
        <f>+IF(R41=0," ",+WORKDAY.INTL(+VLOOKUP(AK$1,POSTE!$B:$G,3,FALSE),+CUM!AB40/+VLOOKUP(AK$1,POSTE!$B:$H,7,FALSE),,CONGÉ!$C$2:$C$80))</f>
        <v>#N/A</v>
      </c>
      <c r="AL41" s="50" t="e">
        <f>+IF(S41=0," ",+WORKDAY.INTL(+VLOOKUP(AL$1,POSTE!$B:$G,3,FALSE),+CUM!AC40/+VLOOKUP(AL$1,POSTE!$B:$H,7,FALSE),,CONGÉ!$C$2:$C$80))</f>
        <v>#N/A</v>
      </c>
      <c r="AM41" s="50" t="e">
        <f>+IF(T41=0," ",+WORKDAY.INTL(+VLOOKUP(AM$1,POSTE!$B:$G,3,FALSE),+CUM!AD40/+VLOOKUP(AM$1,POSTE!$B:$H,7,FALSE),,CONGÉ!$C$2:$C$80))</f>
        <v>#N/A</v>
      </c>
      <c r="AN41" s="50" t="e">
        <f>+IF(U41=0," ",+WORKDAY.INTL(+VLOOKUP(AN$1,POSTE!$B:$G,3,FALSE),+CUM!AE40/+VLOOKUP(AN$1,POSTE!$B:$H,7,FALSE),,CONGÉ!$C$2:$C$80))</f>
        <v>#N/A</v>
      </c>
      <c r="AO41" s="50" t="e">
        <f>+IF(V41=0," ",+WORKDAY.INTL(+VLOOKUP(AO$1,POSTE!$B:$G,3,FALSE),+CUM!AF40/+VLOOKUP(AO$1,POSTE!$B:$H,7,FALSE),,CONGÉ!$C$2:$C$80))</f>
        <v>#N/A</v>
      </c>
      <c r="AP41" s="50" t="e">
        <f>+IF(W41=0," ",+WORKDAY.INTL(+VLOOKUP(AP$1,POSTE!$B:$G,3,FALSE),+CUM!AG40/+VLOOKUP(AP$1,POSTE!$B:$H,7,FALSE),,CONGÉ!$C$2:$C$80))</f>
        <v>#N/A</v>
      </c>
      <c r="AQ41" s="50" t="e">
        <f>+IF(X41=0," ",+WORKDAY.INTL(+VLOOKUP(AQ$1,POSTE!$B:$G,3,FALSE),+CUM!AH40/+VLOOKUP(AQ$1,POSTE!$B:$H,7,FALSE),,CONGÉ!$C$2:$C$80))</f>
        <v>#N/A</v>
      </c>
      <c r="AR41" s="71" t="e">
        <f>+IF(Y41=0," ",+WORKDAY.INTL(+VLOOKUP(AR$1,POSTE!$B:$G,3,FALSE),+CUM!AI40/+VLOOKUP(AR$1,POSTE!$B:$H,7,FALSE),,CONGÉ!$C$2:$C$80))</f>
        <v>#N/A</v>
      </c>
      <c r="AS41" s="72" t="e">
        <f>+IF(Q41=0," ",+WORKDAY.INTL(+VLOOKUP(AS$1,POSTE!$B:$G,3,FALSE),+CUM!AA41/+VLOOKUP(AS$1,POSTE!$B:$H,7,FALSE),,CONGÉ!$C$2:$C$80))</f>
        <v>#N/A</v>
      </c>
      <c r="AT41" s="73" t="e">
        <f>+IF(R41=0," ",+WORKDAY.INTL(+VLOOKUP(AT$1,POSTE!$B:$G,3,FALSE),+CUM!AB41/+VLOOKUP(AT$1,POSTE!$B:$H,7,FALSE),,CONGÉ!$C$2:$C$80))</f>
        <v>#N/A</v>
      </c>
      <c r="AU41" s="73" t="e">
        <f>+IF(AND(S41=0,T41=0)," ",+WORKDAY.INTL(+VLOOKUP($AS$1,POSTE!B:J,3,FALSE),+(((AC41*POSTE!$H$5)+(CUM!AD41*POSTE!$H$4))/(POSTE!$H$4*POSTE!$H$5*2)),,CONGÉ!$C$2:$C$80))</f>
        <v>#N/A</v>
      </c>
      <c r="AV41" s="73" t="e">
        <f>+IF(U41=0," ",+WORKDAY.INTL(+VLOOKUP(AV$1,POSTE!$B:$G,3,FALSE),+CUM!AE41/+VLOOKUP(AV$1,POSTE!$B:$H,7,FALSE),,CONGÉ!$C$2:$C$80))</f>
        <v>#N/A</v>
      </c>
      <c r="AW41" s="73" t="e">
        <f>+IF(V41=0," ",+WORKDAY.INTL(+VLOOKUP(AW$1,POSTE!$B:$G,3,FALSE),+CUM!AF41/+VLOOKUP(AW$1,POSTE!$B:$H,7,FALSE),,CONGÉ!$C$2:$C$80))</f>
        <v>#N/A</v>
      </c>
      <c r="AX41" s="73" t="e">
        <f>+IF(W41=0," ",+WORKDAY.INTL(+VLOOKUP(AX$1,POSTE!$B:$G,3,FALSE),+CUM!AG41/+VLOOKUP(AX$1,POSTE!$B:$H,7,FALSE),,CONGÉ!$C$2:$C$80))</f>
        <v>#N/A</v>
      </c>
      <c r="AY41" s="73" t="e">
        <f>+IF(X41=0," ",+WORKDAY.INTL(+VLOOKUP(AY$1,POSTE!$B:$G,3,FALSE),+CUM!AH41/+VLOOKUP(AY$1,POSTE!$B:$H,7,FALSE),,CONGÉ!$C$2:$C$80))</f>
        <v>#N/A</v>
      </c>
      <c r="AZ41" s="73" t="e">
        <f>+IF(Y41=0," ",+WORKDAY.INTL(+VLOOKUP(AZ$1,POSTE!$B:$G,3,FALSE),+CUM!AI41/+VLOOKUP(AZ$1,POSTE!$B:$H,7,FALSE),,CONGÉ!$C$2:$C$80))</f>
        <v>#N/A</v>
      </c>
      <c r="BA41" s="73" t="e">
        <f>+IF(S41=0," ",+WORKDAY.INTL(+VLOOKUP(BA$1,POSTE!$B:$G,3,FALSE),+CUM!AC41/+VLOOKUP(BA$1,POSTE!$B:$H,7,FALSE),,CONGÉ!$C$2:$C$80))</f>
        <v>#N/A</v>
      </c>
      <c r="BB41" s="73" t="e">
        <f>+IF(T41=0," ",+WORKDAY.INTL(+VLOOKUP(BB$1,POSTE!$B:$G,3,FALSE),+CUM!AD41/+VLOOKUP(BB$1,POSTE!$B:$H,7,FALSE),,CONGÉ!$C$2:$C$80))</f>
        <v>#N/A</v>
      </c>
      <c r="BC41" s="70" t="e">
        <f t="shared" si="13"/>
        <v>#N/A</v>
      </c>
      <c r="BD41" s="70" t="e">
        <f t="shared" si="14"/>
        <v>#N/A</v>
      </c>
      <c r="BE41" s="129" t="e">
        <f>+IF($F41="oui",+VLOOKUP($A41,DATA!$A:$AH,DATA!$AH$3,FALSE),0)</f>
        <v>#N/A</v>
      </c>
      <c r="BF41" s="129" t="e">
        <f t="shared" si="15"/>
        <v>#N/A</v>
      </c>
      <c r="BG41" s="136" t="e">
        <f>+IF(BE41&gt;0,+MAX((BH$4:BH40),BD41),"")</f>
        <v>#N/A</v>
      </c>
      <c r="BH41" s="136" t="e">
        <f>+IF(BE41&gt;0,+MAX((BH$4:BH40),+WORKDAY.INTL(BG41,+BE41/8,,CONGÉ!$C$2:$C$73)),"")</f>
        <v>#N/A</v>
      </c>
      <c r="BI41" s="136" t="e">
        <f t="shared" si="16"/>
        <v>#N/A</v>
      </c>
      <c r="BJ41" s="43" t="e">
        <f t="shared" si="30"/>
        <v>#N/A</v>
      </c>
      <c r="BK41" s="77">
        <f t="shared" ca="1" si="17"/>
        <v>45754</v>
      </c>
      <c r="BL41" s="78" t="e">
        <f>+(((AC41*POSTE!$H$5)+(CUM!AD41*POSTE!$H$4))/(POSTE!$H$4*POSTE!$H$5*2))</f>
        <v>#N/A</v>
      </c>
      <c r="BM41" s="90" t="e">
        <f ca="1">+WORKDAY.INTL(BK41,BL41,,CONGÉ!C$4:C$72)</f>
        <v>#N/A</v>
      </c>
      <c r="BN41" s="78" t="e">
        <f t="shared" ca="1" si="18"/>
        <v>#N/A</v>
      </c>
    </row>
    <row r="42" spans="1:66" x14ac:dyDescent="0.25">
      <c r="A42" s="49">
        <f t="shared" si="19"/>
        <v>38</v>
      </c>
      <c r="B42" s="185" cm="1">
        <f t="array" ref="B42">_xlfn.LET(_xlpm.CORR,IF(DATA!$B$4:$B$104="",IF(DATA!$A$4:$A$104="","--",DATA!$A$4:$A$104),DATA!$B$4:$B$104),_xlpm.Rx,SMALL(_xlpm.CORR,A42),IFERROR(MATCH(_xlpm.Rx,_xlpm.CORR,0),0))</f>
        <v>0</v>
      </c>
      <c r="C42" s="18" t="e">
        <f>+VLOOKUP($A42,DATA!$A:$AG,DATA!$E$3,FALSE)</f>
        <v>#N/A</v>
      </c>
      <c r="D42" s="18" t="e">
        <f>+VLOOKUP($A42,DATA!$A:$AG,DATA!$D$3,FALSE)</f>
        <v>#N/A</v>
      </c>
      <c r="E42" s="186" t="e">
        <f>+VLOOKUP($A42,DATA!$A:$AG,DATA!$G$3,FALSE)</f>
        <v>#N/A</v>
      </c>
      <c r="F42" s="19" t="e">
        <f>+VLOOKUP($A42,DATA!$A:$AG,DATA!$O$3,FALSE)</f>
        <v>#N/A</v>
      </c>
      <c r="G42" s="43" t="e">
        <f>+IF($F42="oui",+VLOOKUP($A42,DATA!$A:$AG,DATA!$P$3,FALSE),0)</f>
        <v>#N/A</v>
      </c>
      <c r="H42" s="44" t="e">
        <f>+IF($F42="oui",+VLOOKUP($A42,DATA!$A:$AG,DATA!$R$3,FALSE),0)</f>
        <v>#N/A</v>
      </c>
      <c r="I42" s="44" t="e">
        <f>+IF($F42="oui",+VLOOKUP($A42,DATA!$A:$AG,DATA!$T$3,FALSE),0)</f>
        <v>#N/A</v>
      </c>
      <c r="J42" s="44" t="e">
        <f>+IF($F42="oui",+VLOOKUP($A42,DATA!$A:$AG,DATA!$V$3,FALSE),0)</f>
        <v>#N/A</v>
      </c>
      <c r="K42" s="44" t="e">
        <f>+IF($F42="oui",+VLOOKUP($A42,DATA!$A:$AG,DATA!$X$3,FALSE),0)</f>
        <v>#N/A</v>
      </c>
      <c r="L42" s="44" t="e">
        <f>+IF($F42="oui",+VLOOKUP($A42,DATA!$A:$AG,DATA!$Z$3,FALSE),0)</f>
        <v>#N/A</v>
      </c>
      <c r="M42" s="44" t="e">
        <f>+IF($F42="oui",+VLOOKUP($A42,DATA!$A:$AG,DATA!$AB$3,FALSE),0)</f>
        <v>#N/A</v>
      </c>
      <c r="N42" s="44" t="e">
        <f>+IF($F42="oui",+VLOOKUP($A42,DATA!$A:$AG,DATA!$AD$3,FALSE),0)</f>
        <v>#N/A</v>
      </c>
      <c r="O42" s="45" t="e">
        <f>+IF($F42="oui",+VLOOKUP($A42,DATA!$A:$AG,DATA!$AF$3,FALSE),0)</f>
        <v>#N/A</v>
      </c>
      <c r="P42" s="116" t="e">
        <f t="shared" si="12"/>
        <v>#N/A</v>
      </c>
      <c r="Q42" s="21" t="e">
        <f>+IF($F42="oui",+VLOOKUP($A42,DATA!$A:$AG,DATA!$Q$3,FALSE),0)</f>
        <v>#N/A</v>
      </c>
      <c r="R42" s="22" t="e">
        <f>+IF($F42="oui",+VLOOKUP($A42,DATA!$A:$AG,DATA!$S$3,FALSE),0)</f>
        <v>#N/A</v>
      </c>
      <c r="S42" s="22" t="e">
        <f>+IF($F42="oui",+VLOOKUP($A42,DATA!$A:$AG,DATA!$U$3,FALSE),0)</f>
        <v>#N/A</v>
      </c>
      <c r="T42" s="22" t="e">
        <f>+IF($F42="oui",+VLOOKUP($A42,DATA!$A:$AG,DATA!$W$3,FALSE),0)</f>
        <v>#N/A</v>
      </c>
      <c r="U42" s="22" t="e">
        <f>+IF($F42="oui",+VLOOKUP($A42,DATA!$A:$AG,DATA!$Y$3,FALSE),0)</f>
        <v>#N/A</v>
      </c>
      <c r="V42" s="22" t="e">
        <f>+IF($F42="oui",+VLOOKUP($A42,DATA!$A:$AG,DATA!$AA$3,FALSE),0)</f>
        <v>#N/A</v>
      </c>
      <c r="W42" s="22" t="e">
        <f>+IF($F42="oui",+VLOOKUP($A42,DATA!$A:$AG,DATA!$AC$3,FALSE),0)</f>
        <v>#N/A</v>
      </c>
      <c r="X42" s="22" t="e">
        <f>+IF($F42="oui",+VLOOKUP($A42,DATA!$A:$AG,DATA!$AE$3,FALSE),0)</f>
        <v>#N/A</v>
      </c>
      <c r="Y42" s="23" t="e">
        <f>+IF($F42="oui",+VLOOKUP($A42,DATA!$A:$AG,DATA!$AG$3,FALSE),0)</f>
        <v>#N/A</v>
      </c>
      <c r="Z42" s="118" t="e">
        <f t="shared" si="20"/>
        <v>#N/A</v>
      </c>
      <c r="AA42" s="43" t="e">
        <f t="shared" si="21"/>
        <v>#N/A</v>
      </c>
      <c r="AB42" s="44" t="e">
        <f t="shared" si="22"/>
        <v>#N/A</v>
      </c>
      <c r="AC42" s="44" t="e">
        <f t="shared" si="23"/>
        <v>#N/A</v>
      </c>
      <c r="AD42" s="44" t="e">
        <f t="shared" si="24"/>
        <v>#N/A</v>
      </c>
      <c r="AE42" s="44" t="e">
        <f t="shared" si="25"/>
        <v>#N/A</v>
      </c>
      <c r="AF42" s="44" t="e">
        <f t="shared" si="26"/>
        <v>#N/A</v>
      </c>
      <c r="AG42" s="44" t="e">
        <f t="shared" si="27"/>
        <v>#N/A</v>
      </c>
      <c r="AH42" s="44" t="e">
        <f t="shared" si="28"/>
        <v>#N/A</v>
      </c>
      <c r="AI42" s="45" t="e">
        <f t="shared" si="29"/>
        <v>#N/A</v>
      </c>
      <c r="AJ42" s="70" t="e">
        <f>+IF(Q42=0," ",+WORKDAY.INTL(+VLOOKUP(AJ$1,POSTE!$B:$G,3,FALSE),+CUM!AA41/+VLOOKUP(AJ$1,POSTE!$B:$H,7,FALSE),,CONGÉ!$C$2:$C$80))</f>
        <v>#N/A</v>
      </c>
      <c r="AK42" s="50" t="e">
        <f>+IF(R42=0," ",+WORKDAY.INTL(+VLOOKUP(AK$1,POSTE!$B:$G,3,FALSE),+CUM!AB41/+VLOOKUP(AK$1,POSTE!$B:$H,7,FALSE),,CONGÉ!$C$2:$C$80))</f>
        <v>#N/A</v>
      </c>
      <c r="AL42" s="50" t="e">
        <f>+IF(S42=0," ",+WORKDAY.INTL(+VLOOKUP(AL$1,POSTE!$B:$G,3,FALSE),+CUM!AC41/+VLOOKUP(AL$1,POSTE!$B:$H,7,FALSE),,CONGÉ!$C$2:$C$80))</f>
        <v>#N/A</v>
      </c>
      <c r="AM42" s="50" t="e">
        <f>+IF(T42=0," ",+WORKDAY.INTL(+VLOOKUP(AM$1,POSTE!$B:$G,3,FALSE),+CUM!AD41/+VLOOKUP(AM$1,POSTE!$B:$H,7,FALSE),,CONGÉ!$C$2:$C$80))</f>
        <v>#N/A</v>
      </c>
      <c r="AN42" s="50" t="e">
        <f>+IF(U42=0," ",+WORKDAY.INTL(+VLOOKUP(AN$1,POSTE!$B:$G,3,FALSE),+CUM!AE41/+VLOOKUP(AN$1,POSTE!$B:$H,7,FALSE),,CONGÉ!$C$2:$C$80))</f>
        <v>#N/A</v>
      </c>
      <c r="AO42" s="50" t="e">
        <f>+IF(V42=0," ",+WORKDAY.INTL(+VLOOKUP(AO$1,POSTE!$B:$G,3,FALSE),+CUM!AF41/+VLOOKUP(AO$1,POSTE!$B:$H,7,FALSE),,CONGÉ!$C$2:$C$80))</f>
        <v>#N/A</v>
      </c>
      <c r="AP42" s="50" t="e">
        <f>+IF(W42=0," ",+WORKDAY.INTL(+VLOOKUP(AP$1,POSTE!$B:$G,3,FALSE),+CUM!AG41/+VLOOKUP(AP$1,POSTE!$B:$H,7,FALSE),,CONGÉ!$C$2:$C$80))</f>
        <v>#N/A</v>
      </c>
      <c r="AQ42" s="50" t="e">
        <f>+IF(X42=0," ",+WORKDAY.INTL(+VLOOKUP(AQ$1,POSTE!$B:$G,3,FALSE),+CUM!AH41/+VLOOKUP(AQ$1,POSTE!$B:$H,7,FALSE),,CONGÉ!$C$2:$C$80))</f>
        <v>#N/A</v>
      </c>
      <c r="AR42" s="71" t="e">
        <f>+IF(Y42=0," ",+WORKDAY.INTL(+VLOOKUP(AR$1,POSTE!$B:$G,3,FALSE),+CUM!AI41/+VLOOKUP(AR$1,POSTE!$B:$H,7,FALSE),,CONGÉ!$C$2:$C$80))</f>
        <v>#N/A</v>
      </c>
      <c r="AS42" s="72" t="e">
        <f>+IF(Q42=0," ",+WORKDAY.INTL(+VLOOKUP(AS$1,POSTE!$B:$G,3,FALSE),+CUM!AA42/+VLOOKUP(AS$1,POSTE!$B:$H,7,FALSE),,CONGÉ!$C$2:$C$80))</f>
        <v>#N/A</v>
      </c>
      <c r="AT42" s="73" t="e">
        <f>+IF(R42=0," ",+WORKDAY.INTL(+VLOOKUP(AT$1,POSTE!$B:$G,3,FALSE),+CUM!AB42/+VLOOKUP(AT$1,POSTE!$B:$H,7,FALSE),,CONGÉ!$C$2:$C$80))</f>
        <v>#N/A</v>
      </c>
      <c r="AU42" s="73" t="e">
        <f>+IF(AND(S42=0,T42=0)," ",+WORKDAY.INTL(+VLOOKUP($AS$1,POSTE!B:J,3,FALSE),+(((AC42*POSTE!$H$5)+(CUM!AD42*POSTE!$H$4))/(POSTE!$H$4*POSTE!$H$5*2)),,CONGÉ!$C$2:$C$80))</f>
        <v>#N/A</v>
      </c>
      <c r="AV42" s="73" t="e">
        <f>+IF(U42=0," ",+WORKDAY.INTL(+VLOOKUP(AV$1,POSTE!$B:$G,3,FALSE),+CUM!AE42/+VLOOKUP(AV$1,POSTE!$B:$H,7,FALSE),,CONGÉ!$C$2:$C$80))</f>
        <v>#N/A</v>
      </c>
      <c r="AW42" s="73" t="e">
        <f>+IF(V42=0," ",+WORKDAY.INTL(+VLOOKUP(AW$1,POSTE!$B:$G,3,FALSE),+CUM!AF42/+VLOOKUP(AW$1,POSTE!$B:$H,7,FALSE),,CONGÉ!$C$2:$C$80))</f>
        <v>#N/A</v>
      </c>
      <c r="AX42" s="73" t="e">
        <f>+IF(W42=0," ",+WORKDAY.INTL(+VLOOKUP(AX$1,POSTE!$B:$G,3,FALSE),+CUM!AG42/+VLOOKUP(AX$1,POSTE!$B:$H,7,FALSE),,CONGÉ!$C$2:$C$80))</f>
        <v>#N/A</v>
      </c>
      <c r="AY42" s="73" t="e">
        <f>+IF(X42=0," ",+WORKDAY.INTL(+VLOOKUP(AY$1,POSTE!$B:$G,3,FALSE),+CUM!AH42/+VLOOKUP(AY$1,POSTE!$B:$H,7,FALSE),,CONGÉ!$C$2:$C$80))</f>
        <v>#N/A</v>
      </c>
      <c r="AZ42" s="73" t="e">
        <f>+IF(Y42=0," ",+WORKDAY.INTL(+VLOOKUP(AZ$1,POSTE!$B:$G,3,FALSE),+CUM!AI42/+VLOOKUP(AZ$1,POSTE!$B:$H,7,FALSE),,CONGÉ!$C$2:$C$80))</f>
        <v>#N/A</v>
      </c>
      <c r="BA42" s="73" t="e">
        <f>+IF(S42=0," ",+WORKDAY.INTL(+VLOOKUP(BA$1,POSTE!$B:$G,3,FALSE),+CUM!AC42/+VLOOKUP(BA$1,POSTE!$B:$H,7,FALSE),,CONGÉ!$C$2:$C$80))</f>
        <v>#N/A</v>
      </c>
      <c r="BB42" s="73" t="e">
        <f>+IF(T42=0," ",+WORKDAY.INTL(+VLOOKUP(BB$1,POSTE!$B:$G,3,FALSE),+CUM!AD42/+VLOOKUP(BB$1,POSTE!$B:$H,7,FALSE),,CONGÉ!$C$2:$C$80))</f>
        <v>#N/A</v>
      </c>
      <c r="BC42" s="70" t="e">
        <f t="shared" si="13"/>
        <v>#N/A</v>
      </c>
      <c r="BD42" s="70" t="e">
        <f t="shared" si="14"/>
        <v>#N/A</v>
      </c>
      <c r="BE42" s="129" t="e">
        <f>+IF($F42="oui",+VLOOKUP($A42,DATA!$A:$AH,DATA!$AH$3,FALSE),0)</f>
        <v>#N/A</v>
      </c>
      <c r="BF42" s="129" t="e">
        <f t="shared" si="15"/>
        <v>#N/A</v>
      </c>
      <c r="BG42" s="136" t="e">
        <f>+IF(BE42&gt;0,+MAX((BH$4:BH41),BD42),"")</f>
        <v>#N/A</v>
      </c>
      <c r="BH42" s="136" t="e">
        <f>+IF(BE42&gt;0,+MAX((BH$4:BH41),+WORKDAY.INTL(BG42,+BE42/8,,CONGÉ!$C$2:$C$73)),"")</f>
        <v>#N/A</v>
      </c>
      <c r="BI42" s="136" t="e">
        <f t="shared" si="16"/>
        <v>#N/A</v>
      </c>
      <c r="BJ42" s="43" t="e">
        <f t="shared" si="30"/>
        <v>#N/A</v>
      </c>
      <c r="BK42" s="77">
        <f t="shared" ca="1" si="17"/>
        <v>45754</v>
      </c>
      <c r="BL42" s="78" t="e">
        <f>+(((AC42*POSTE!$H$5)+(CUM!AD42*POSTE!$H$4))/(POSTE!$H$4*POSTE!$H$5*2))</f>
        <v>#N/A</v>
      </c>
      <c r="BM42" s="90" t="e">
        <f ca="1">+WORKDAY.INTL(BK42,BL42,,CONGÉ!C$4:C$72)</f>
        <v>#N/A</v>
      </c>
      <c r="BN42" s="78" t="e">
        <f t="shared" ca="1" si="18"/>
        <v>#N/A</v>
      </c>
    </row>
    <row r="43" spans="1:66" x14ac:dyDescent="0.25">
      <c r="A43" s="49">
        <f t="shared" si="19"/>
        <v>39</v>
      </c>
      <c r="B43" s="185" cm="1">
        <f t="array" ref="B43">_xlfn.LET(_xlpm.CORR,IF(DATA!$B$4:$B$104="",IF(DATA!$A$4:$A$104="","--",DATA!$A$4:$A$104),DATA!$B$4:$B$104),_xlpm.Rx,SMALL(_xlpm.CORR,A43),IFERROR(MATCH(_xlpm.Rx,_xlpm.CORR,0),0))</f>
        <v>0</v>
      </c>
      <c r="C43" s="18" t="e">
        <f>+VLOOKUP($A43,DATA!$A:$AG,DATA!$E$3,FALSE)</f>
        <v>#N/A</v>
      </c>
      <c r="D43" s="18" t="e">
        <f>+VLOOKUP($A43,DATA!$A:$AG,DATA!$D$3,FALSE)</f>
        <v>#N/A</v>
      </c>
      <c r="E43" s="186" t="e">
        <f>+VLOOKUP($A43,DATA!$A:$AG,DATA!$G$3,FALSE)</f>
        <v>#N/A</v>
      </c>
      <c r="F43" s="19" t="e">
        <f>+VLOOKUP($A43,DATA!$A:$AG,DATA!$O$3,FALSE)</f>
        <v>#N/A</v>
      </c>
      <c r="G43" s="43" t="e">
        <f>+IF($F43="oui",+VLOOKUP($A43,DATA!$A:$AG,DATA!$P$3,FALSE),0)</f>
        <v>#N/A</v>
      </c>
      <c r="H43" s="44" t="e">
        <f>+IF($F43="oui",+VLOOKUP($A43,DATA!$A:$AG,DATA!$R$3,FALSE),0)</f>
        <v>#N/A</v>
      </c>
      <c r="I43" s="44" t="e">
        <f>+IF($F43="oui",+VLOOKUP($A43,DATA!$A:$AG,DATA!$T$3,FALSE),0)</f>
        <v>#N/A</v>
      </c>
      <c r="J43" s="44" t="e">
        <f>+IF($F43="oui",+VLOOKUP($A43,DATA!$A:$AG,DATA!$V$3,FALSE),0)</f>
        <v>#N/A</v>
      </c>
      <c r="K43" s="44" t="e">
        <f>+IF($F43="oui",+VLOOKUP($A43,DATA!$A:$AG,DATA!$X$3,FALSE),0)</f>
        <v>#N/A</v>
      </c>
      <c r="L43" s="44" t="e">
        <f>+IF($F43="oui",+VLOOKUP($A43,DATA!$A:$AG,DATA!$Z$3,FALSE),0)</f>
        <v>#N/A</v>
      </c>
      <c r="M43" s="44" t="e">
        <f>+IF($F43="oui",+VLOOKUP($A43,DATA!$A:$AG,DATA!$AB$3,FALSE),0)</f>
        <v>#N/A</v>
      </c>
      <c r="N43" s="44" t="e">
        <f>+IF($F43="oui",+VLOOKUP($A43,DATA!$A:$AG,DATA!$AD$3,FALSE),0)</f>
        <v>#N/A</v>
      </c>
      <c r="O43" s="45" t="e">
        <f>+IF($F43="oui",+VLOOKUP($A43,DATA!$A:$AG,DATA!$AF$3,FALSE),0)</f>
        <v>#N/A</v>
      </c>
      <c r="P43" s="116" t="e">
        <f t="shared" si="12"/>
        <v>#N/A</v>
      </c>
      <c r="Q43" s="21" t="e">
        <f>+IF($F43="oui",+VLOOKUP($A43,DATA!$A:$AG,DATA!$Q$3,FALSE),0)</f>
        <v>#N/A</v>
      </c>
      <c r="R43" s="22" t="e">
        <f>+IF($F43="oui",+VLOOKUP($A43,DATA!$A:$AG,DATA!$S$3,FALSE),0)</f>
        <v>#N/A</v>
      </c>
      <c r="S43" s="22" t="e">
        <f>+IF($F43="oui",+VLOOKUP($A43,DATA!$A:$AG,DATA!$U$3,FALSE),0)</f>
        <v>#N/A</v>
      </c>
      <c r="T43" s="22" t="e">
        <f>+IF($F43="oui",+VLOOKUP($A43,DATA!$A:$AG,DATA!$W$3,FALSE),0)</f>
        <v>#N/A</v>
      </c>
      <c r="U43" s="22" t="e">
        <f>+IF($F43="oui",+VLOOKUP($A43,DATA!$A:$AG,DATA!$Y$3,FALSE),0)</f>
        <v>#N/A</v>
      </c>
      <c r="V43" s="22" t="e">
        <f>+IF($F43="oui",+VLOOKUP($A43,DATA!$A:$AG,DATA!$AA$3,FALSE),0)</f>
        <v>#N/A</v>
      </c>
      <c r="W43" s="22" t="e">
        <f>+IF($F43="oui",+VLOOKUP($A43,DATA!$A:$AG,DATA!$AC$3,FALSE),0)</f>
        <v>#N/A</v>
      </c>
      <c r="X43" s="22" t="e">
        <f>+IF($F43="oui",+VLOOKUP($A43,DATA!$A:$AG,DATA!$AE$3,FALSE),0)</f>
        <v>#N/A</v>
      </c>
      <c r="Y43" s="23" t="e">
        <f>+IF($F43="oui",+VLOOKUP($A43,DATA!$A:$AG,DATA!$AG$3,FALSE),0)</f>
        <v>#N/A</v>
      </c>
      <c r="Z43" s="118" t="e">
        <f t="shared" si="20"/>
        <v>#N/A</v>
      </c>
      <c r="AA43" s="43" t="e">
        <f t="shared" si="21"/>
        <v>#N/A</v>
      </c>
      <c r="AB43" s="44" t="e">
        <f t="shared" si="22"/>
        <v>#N/A</v>
      </c>
      <c r="AC43" s="44" t="e">
        <f t="shared" si="23"/>
        <v>#N/A</v>
      </c>
      <c r="AD43" s="44" t="e">
        <f t="shared" si="24"/>
        <v>#N/A</v>
      </c>
      <c r="AE43" s="44" t="e">
        <f t="shared" si="25"/>
        <v>#N/A</v>
      </c>
      <c r="AF43" s="44" t="e">
        <f t="shared" si="26"/>
        <v>#N/A</v>
      </c>
      <c r="AG43" s="44" t="e">
        <f t="shared" si="27"/>
        <v>#N/A</v>
      </c>
      <c r="AH43" s="44" t="e">
        <f t="shared" si="28"/>
        <v>#N/A</v>
      </c>
      <c r="AI43" s="45" t="e">
        <f t="shared" si="29"/>
        <v>#N/A</v>
      </c>
      <c r="AJ43" s="70" t="e">
        <f>+IF(Q43=0," ",+WORKDAY.INTL(+VLOOKUP(AJ$1,POSTE!$B:$G,3,FALSE),+CUM!AA42/+VLOOKUP(AJ$1,POSTE!$B:$H,7,FALSE),,CONGÉ!$C$2:$C$80))</f>
        <v>#N/A</v>
      </c>
      <c r="AK43" s="50" t="e">
        <f>+IF(R43=0," ",+WORKDAY.INTL(+VLOOKUP(AK$1,POSTE!$B:$G,3,FALSE),+CUM!AB42/+VLOOKUP(AK$1,POSTE!$B:$H,7,FALSE),,CONGÉ!$C$2:$C$80))</f>
        <v>#N/A</v>
      </c>
      <c r="AL43" s="50" t="e">
        <f>+IF(S43=0," ",+WORKDAY.INTL(+VLOOKUP(AL$1,POSTE!$B:$G,3,FALSE),+CUM!AC42/+VLOOKUP(AL$1,POSTE!$B:$H,7,FALSE),,CONGÉ!$C$2:$C$80))</f>
        <v>#N/A</v>
      </c>
      <c r="AM43" s="50" t="e">
        <f>+IF(T43=0," ",+WORKDAY.INTL(+VLOOKUP(AM$1,POSTE!$B:$G,3,FALSE),+CUM!AD42/+VLOOKUP(AM$1,POSTE!$B:$H,7,FALSE),,CONGÉ!$C$2:$C$80))</f>
        <v>#N/A</v>
      </c>
      <c r="AN43" s="50" t="e">
        <f>+IF(U43=0," ",+WORKDAY.INTL(+VLOOKUP(AN$1,POSTE!$B:$G,3,FALSE),+CUM!AE42/+VLOOKUP(AN$1,POSTE!$B:$H,7,FALSE),,CONGÉ!$C$2:$C$80))</f>
        <v>#N/A</v>
      </c>
      <c r="AO43" s="50" t="e">
        <f>+IF(V43=0," ",+WORKDAY.INTL(+VLOOKUP(AO$1,POSTE!$B:$G,3,FALSE),+CUM!AF42/+VLOOKUP(AO$1,POSTE!$B:$H,7,FALSE),,CONGÉ!$C$2:$C$80))</f>
        <v>#N/A</v>
      </c>
      <c r="AP43" s="50" t="e">
        <f>+IF(W43=0," ",+WORKDAY.INTL(+VLOOKUP(AP$1,POSTE!$B:$G,3,FALSE),+CUM!AG42/+VLOOKUP(AP$1,POSTE!$B:$H,7,FALSE),,CONGÉ!$C$2:$C$80))</f>
        <v>#N/A</v>
      </c>
      <c r="AQ43" s="50" t="e">
        <f>+IF(X43=0," ",+WORKDAY.INTL(+VLOOKUP(AQ$1,POSTE!$B:$G,3,FALSE),+CUM!AH42/+VLOOKUP(AQ$1,POSTE!$B:$H,7,FALSE),,CONGÉ!$C$2:$C$80))</f>
        <v>#N/A</v>
      </c>
      <c r="AR43" s="71" t="e">
        <f>+IF(Y43=0," ",+WORKDAY.INTL(+VLOOKUP(AR$1,POSTE!$B:$G,3,FALSE),+CUM!AI42/+VLOOKUP(AR$1,POSTE!$B:$H,7,FALSE),,CONGÉ!$C$2:$C$80))</f>
        <v>#N/A</v>
      </c>
      <c r="AS43" s="72" t="e">
        <f>+IF(Q43=0," ",+WORKDAY.INTL(+VLOOKUP(AS$1,POSTE!$B:$G,3,FALSE),+CUM!AA43/+VLOOKUP(AS$1,POSTE!$B:$H,7,FALSE),,CONGÉ!$C$2:$C$80))</f>
        <v>#N/A</v>
      </c>
      <c r="AT43" s="73" t="e">
        <f>+IF(R43=0," ",+WORKDAY.INTL(+VLOOKUP(AT$1,POSTE!$B:$G,3,FALSE),+CUM!AB43/+VLOOKUP(AT$1,POSTE!$B:$H,7,FALSE),,CONGÉ!$C$2:$C$80))</f>
        <v>#N/A</v>
      </c>
      <c r="AU43" s="73" t="e">
        <f>+IF(AND(S43=0,T43=0)," ",+WORKDAY.INTL(+VLOOKUP($AS$1,POSTE!B:J,3,FALSE),+(((AC43*POSTE!$H$5)+(CUM!AD43*POSTE!$H$4))/(POSTE!$H$4*POSTE!$H$5*2)),,CONGÉ!$C$2:$C$80))</f>
        <v>#N/A</v>
      </c>
      <c r="AV43" s="73" t="e">
        <f>+IF(U43=0," ",+WORKDAY.INTL(+VLOOKUP(AV$1,POSTE!$B:$G,3,FALSE),+CUM!AE43/+VLOOKUP(AV$1,POSTE!$B:$H,7,FALSE),,CONGÉ!$C$2:$C$80))</f>
        <v>#N/A</v>
      </c>
      <c r="AW43" s="73" t="e">
        <f>+IF(V43=0," ",+WORKDAY.INTL(+VLOOKUP(AW$1,POSTE!$B:$G,3,FALSE),+CUM!AF43/+VLOOKUP(AW$1,POSTE!$B:$H,7,FALSE),,CONGÉ!$C$2:$C$80))</f>
        <v>#N/A</v>
      </c>
      <c r="AX43" s="73" t="e">
        <f>+IF(W43=0," ",+WORKDAY.INTL(+VLOOKUP(AX$1,POSTE!$B:$G,3,FALSE),+CUM!AG43/+VLOOKUP(AX$1,POSTE!$B:$H,7,FALSE),,CONGÉ!$C$2:$C$80))</f>
        <v>#N/A</v>
      </c>
      <c r="AY43" s="73" t="e">
        <f>+IF(X43=0," ",+WORKDAY.INTL(+VLOOKUP(AY$1,POSTE!$B:$G,3,FALSE),+CUM!AH43/+VLOOKUP(AY$1,POSTE!$B:$H,7,FALSE),,CONGÉ!$C$2:$C$80))</f>
        <v>#N/A</v>
      </c>
      <c r="AZ43" s="73" t="e">
        <f>+IF(Y43=0," ",+WORKDAY.INTL(+VLOOKUP(AZ$1,POSTE!$B:$G,3,FALSE),+CUM!AI43/+VLOOKUP(AZ$1,POSTE!$B:$H,7,FALSE),,CONGÉ!$C$2:$C$80))</f>
        <v>#N/A</v>
      </c>
      <c r="BA43" s="73" t="e">
        <f>+IF(S43=0," ",+WORKDAY.INTL(+VLOOKUP(BA$1,POSTE!$B:$G,3,FALSE),+CUM!AC43/+VLOOKUP(BA$1,POSTE!$B:$H,7,FALSE),,CONGÉ!$C$2:$C$80))</f>
        <v>#N/A</v>
      </c>
      <c r="BB43" s="73" t="e">
        <f>+IF(T43=0," ",+WORKDAY.INTL(+VLOOKUP(BB$1,POSTE!$B:$G,3,FALSE),+CUM!AD43/+VLOOKUP(BB$1,POSTE!$B:$H,7,FALSE),,CONGÉ!$C$2:$C$80))</f>
        <v>#N/A</v>
      </c>
      <c r="BC43" s="70" t="e">
        <f t="shared" si="13"/>
        <v>#N/A</v>
      </c>
      <c r="BD43" s="70" t="e">
        <f t="shared" si="14"/>
        <v>#N/A</v>
      </c>
      <c r="BE43" s="129" t="e">
        <f>+IF($F43="oui",+VLOOKUP($A43,DATA!$A:$AH,DATA!$AH$3,FALSE),0)</f>
        <v>#N/A</v>
      </c>
      <c r="BF43" s="129" t="e">
        <f t="shared" si="15"/>
        <v>#N/A</v>
      </c>
      <c r="BG43" s="136" t="e">
        <f>+IF(BE43&gt;0,+MAX((BH$4:BH42),BD43),"")</f>
        <v>#N/A</v>
      </c>
      <c r="BH43" s="136" t="e">
        <f>+IF(BE43&gt;0,+MAX((BH$4:BH42),+WORKDAY.INTL(BG43,+BE43/8,,CONGÉ!$C$2:$C$73)),"")</f>
        <v>#N/A</v>
      </c>
      <c r="BI43" s="136" t="e">
        <f t="shared" si="16"/>
        <v>#N/A</v>
      </c>
      <c r="BJ43" s="43" t="e">
        <f t="shared" si="30"/>
        <v>#N/A</v>
      </c>
      <c r="BK43" s="77">
        <f t="shared" ca="1" si="17"/>
        <v>45754</v>
      </c>
      <c r="BL43" s="78" t="e">
        <f>+(((AC43*POSTE!$H$5)+(CUM!AD43*POSTE!$H$4))/(POSTE!$H$4*POSTE!$H$5*2))</f>
        <v>#N/A</v>
      </c>
      <c r="BM43" s="90" t="e">
        <f ca="1">+WORKDAY.INTL(BK43,BL43,,CONGÉ!C$4:C$72)</f>
        <v>#N/A</v>
      </c>
      <c r="BN43" s="78" t="e">
        <f t="shared" ca="1" si="18"/>
        <v>#N/A</v>
      </c>
    </row>
    <row r="44" spans="1:66" x14ac:dyDescent="0.25">
      <c r="A44" s="49">
        <f t="shared" si="19"/>
        <v>40</v>
      </c>
      <c r="B44" s="185" cm="1">
        <f t="array" ref="B44">_xlfn.LET(_xlpm.CORR,IF(DATA!$B$4:$B$104="",IF(DATA!$A$4:$A$104="","--",DATA!$A$4:$A$104),DATA!$B$4:$B$104),_xlpm.Rx,SMALL(_xlpm.CORR,A44),IFERROR(MATCH(_xlpm.Rx,_xlpm.CORR,0),0))</f>
        <v>0</v>
      </c>
      <c r="C44" s="18" t="e">
        <f>+VLOOKUP($A44,DATA!$A:$AG,DATA!$E$3,FALSE)</f>
        <v>#N/A</v>
      </c>
      <c r="D44" s="18" t="e">
        <f>+VLOOKUP($A44,DATA!$A:$AG,DATA!$D$3,FALSE)</f>
        <v>#N/A</v>
      </c>
      <c r="E44" s="186" t="e">
        <f>+VLOOKUP($A44,DATA!$A:$AG,DATA!$G$3,FALSE)</f>
        <v>#N/A</v>
      </c>
      <c r="F44" s="19" t="e">
        <f>+VLOOKUP($A44,DATA!$A:$AG,DATA!$O$3,FALSE)</f>
        <v>#N/A</v>
      </c>
      <c r="G44" s="43" t="e">
        <f>+IF($F44="oui",+VLOOKUP($A44,DATA!$A:$AG,DATA!$P$3,FALSE),0)</f>
        <v>#N/A</v>
      </c>
      <c r="H44" s="44" t="e">
        <f>+IF($F44="oui",+VLOOKUP($A44,DATA!$A:$AG,DATA!$R$3,FALSE),0)</f>
        <v>#N/A</v>
      </c>
      <c r="I44" s="44" t="e">
        <f>+IF($F44="oui",+VLOOKUP($A44,DATA!$A:$AG,DATA!$T$3,FALSE),0)</f>
        <v>#N/A</v>
      </c>
      <c r="J44" s="44" t="e">
        <f>+IF($F44="oui",+VLOOKUP($A44,DATA!$A:$AG,DATA!$V$3,FALSE),0)</f>
        <v>#N/A</v>
      </c>
      <c r="K44" s="44" t="e">
        <f>+IF($F44="oui",+VLOOKUP($A44,DATA!$A:$AG,DATA!$X$3,FALSE),0)</f>
        <v>#N/A</v>
      </c>
      <c r="L44" s="44" t="e">
        <f>+IF($F44="oui",+VLOOKUP($A44,DATA!$A:$AG,DATA!$Z$3,FALSE),0)</f>
        <v>#N/A</v>
      </c>
      <c r="M44" s="44" t="e">
        <f>+IF($F44="oui",+VLOOKUP($A44,DATA!$A:$AG,DATA!$AB$3,FALSE),0)</f>
        <v>#N/A</v>
      </c>
      <c r="N44" s="44" t="e">
        <f>+IF($F44="oui",+VLOOKUP($A44,DATA!$A:$AG,DATA!$AD$3,FALSE),0)</f>
        <v>#N/A</v>
      </c>
      <c r="O44" s="45" t="e">
        <f>+IF($F44="oui",+VLOOKUP($A44,DATA!$A:$AG,DATA!$AF$3,FALSE),0)</f>
        <v>#N/A</v>
      </c>
      <c r="P44" s="116" t="e">
        <f t="shared" si="12"/>
        <v>#N/A</v>
      </c>
      <c r="Q44" s="21" t="e">
        <f>+IF($F44="oui",+VLOOKUP($A44,DATA!$A:$AG,DATA!$Q$3,FALSE),0)</f>
        <v>#N/A</v>
      </c>
      <c r="R44" s="22" t="e">
        <f>+IF($F44="oui",+VLOOKUP($A44,DATA!$A:$AG,DATA!$S$3,FALSE),0)</f>
        <v>#N/A</v>
      </c>
      <c r="S44" s="22" t="e">
        <f>+IF($F44="oui",+VLOOKUP($A44,DATA!$A:$AG,DATA!$U$3,FALSE),0)</f>
        <v>#N/A</v>
      </c>
      <c r="T44" s="22" t="e">
        <f>+IF($F44="oui",+VLOOKUP($A44,DATA!$A:$AG,DATA!$W$3,FALSE),0)</f>
        <v>#N/A</v>
      </c>
      <c r="U44" s="22" t="e">
        <f>+IF($F44="oui",+VLOOKUP($A44,DATA!$A:$AG,DATA!$Y$3,FALSE),0)</f>
        <v>#N/A</v>
      </c>
      <c r="V44" s="22" t="e">
        <f>+IF($F44="oui",+VLOOKUP($A44,DATA!$A:$AG,DATA!$AA$3,FALSE),0)</f>
        <v>#N/A</v>
      </c>
      <c r="W44" s="22" t="e">
        <f>+IF($F44="oui",+VLOOKUP($A44,DATA!$A:$AG,DATA!$AC$3,FALSE),0)</f>
        <v>#N/A</v>
      </c>
      <c r="X44" s="22" t="e">
        <f>+IF($F44="oui",+VLOOKUP($A44,DATA!$A:$AG,DATA!$AE$3,FALSE),0)</f>
        <v>#N/A</v>
      </c>
      <c r="Y44" s="23" t="e">
        <f>+IF($F44="oui",+VLOOKUP($A44,DATA!$A:$AG,DATA!$AG$3,FALSE),0)</f>
        <v>#N/A</v>
      </c>
      <c r="Z44" s="118" t="e">
        <f t="shared" si="20"/>
        <v>#N/A</v>
      </c>
      <c r="AA44" s="43" t="e">
        <f t="shared" si="21"/>
        <v>#N/A</v>
      </c>
      <c r="AB44" s="44" t="e">
        <f t="shared" si="22"/>
        <v>#N/A</v>
      </c>
      <c r="AC44" s="44" t="e">
        <f t="shared" si="23"/>
        <v>#N/A</v>
      </c>
      <c r="AD44" s="44" t="e">
        <f t="shared" si="24"/>
        <v>#N/A</v>
      </c>
      <c r="AE44" s="44" t="e">
        <f t="shared" si="25"/>
        <v>#N/A</v>
      </c>
      <c r="AF44" s="44" t="e">
        <f t="shared" si="26"/>
        <v>#N/A</v>
      </c>
      <c r="AG44" s="44" t="e">
        <f t="shared" si="27"/>
        <v>#N/A</v>
      </c>
      <c r="AH44" s="44" t="e">
        <f t="shared" si="28"/>
        <v>#N/A</v>
      </c>
      <c r="AI44" s="45" t="e">
        <f t="shared" si="29"/>
        <v>#N/A</v>
      </c>
      <c r="AJ44" s="70" t="e">
        <f>+IF(Q44=0," ",+WORKDAY.INTL(+VLOOKUP(AJ$1,POSTE!$B:$G,3,FALSE),+CUM!AA43/+VLOOKUP(AJ$1,POSTE!$B:$H,7,FALSE),,CONGÉ!$C$2:$C$80))</f>
        <v>#N/A</v>
      </c>
      <c r="AK44" s="50" t="e">
        <f>+IF(R44=0," ",+WORKDAY.INTL(+VLOOKUP(AK$1,POSTE!$B:$G,3,FALSE),+CUM!AB43/+VLOOKUP(AK$1,POSTE!$B:$H,7,FALSE),,CONGÉ!$C$2:$C$80))</f>
        <v>#N/A</v>
      </c>
      <c r="AL44" s="50" t="e">
        <f>+IF(S44=0," ",+WORKDAY.INTL(+VLOOKUP(AL$1,POSTE!$B:$G,3,FALSE),+CUM!AC43/+VLOOKUP(AL$1,POSTE!$B:$H,7,FALSE),,CONGÉ!$C$2:$C$80))</f>
        <v>#N/A</v>
      </c>
      <c r="AM44" s="50" t="e">
        <f>+IF(T44=0," ",+WORKDAY.INTL(+VLOOKUP(AM$1,POSTE!$B:$G,3,FALSE),+CUM!AD43/+VLOOKUP(AM$1,POSTE!$B:$H,7,FALSE),,CONGÉ!$C$2:$C$80))</f>
        <v>#N/A</v>
      </c>
      <c r="AN44" s="50" t="e">
        <f>+IF(U44=0," ",+WORKDAY.INTL(+VLOOKUP(AN$1,POSTE!$B:$G,3,FALSE),+CUM!AE43/+VLOOKUP(AN$1,POSTE!$B:$H,7,FALSE),,CONGÉ!$C$2:$C$80))</f>
        <v>#N/A</v>
      </c>
      <c r="AO44" s="50" t="e">
        <f>+IF(V44=0," ",+WORKDAY.INTL(+VLOOKUP(AO$1,POSTE!$B:$G,3,FALSE),+CUM!AF43/+VLOOKUP(AO$1,POSTE!$B:$H,7,FALSE),,CONGÉ!$C$2:$C$80))</f>
        <v>#N/A</v>
      </c>
      <c r="AP44" s="50" t="e">
        <f>+IF(W44=0," ",+WORKDAY.INTL(+VLOOKUP(AP$1,POSTE!$B:$G,3,FALSE),+CUM!AG43/+VLOOKUP(AP$1,POSTE!$B:$H,7,FALSE),,CONGÉ!$C$2:$C$80))</f>
        <v>#N/A</v>
      </c>
      <c r="AQ44" s="50" t="e">
        <f>+IF(X44=0," ",+WORKDAY.INTL(+VLOOKUP(AQ$1,POSTE!$B:$G,3,FALSE),+CUM!AH43/+VLOOKUP(AQ$1,POSTE!$B:$H,7,FALSE),,CONGÉ!$C$2:$C$80))</f>
        <v>#N/A</v>
      </c>
      <c r="AR44" s="71" t="e">
        <f>+IF(Y44=0," ",+WORKDAY.INTL(+VLOOKUP(AR$1,POSTE!$B:$G,3,FALSE),+CUM!AI43/+VLOOKUP(AR$1,POSTE!$B:$H,7,FALSE),,CONGÉ!$C$2:$C$80))</f>
        <v>#N/A</v>
      </c>
      <c r="AS44" s="72" t="e">
        <f>+IF(Q44=0," ",+WORKDAY.INTL(+VLOOKUP(AS$1,POSTE!$B:$G,3,FALSE),+CUM!AA44/+VLOOKUP(AS$1,POSTE!$B:$H,7,FALSE),,CONGÉ!$C$2:$C$80))</f>
        <v>#N/A</v>
      </c>
      <c r="AT44" s="73" t="e">
        <f>+IF(R44=0," ",+WORKDAY.INTL(+VLOOKUP(AT$1,POSTE!$B:$G,3,FALSE),+CUM!AB44/+VLOOKUP(AT$1,POSTE!$B:$H,7,FALSE),,CONGÉ!$C$2:$C$80))</f>
        <v>#N/A</v>
      </c>
      <c r="AU44" s="73" t="e">
        <f>+IF(AND(S44=0,T44=0)," ",+WORKDAY.INTL(+VLOOKUP($AS$1,POSTE!B:J,3,FALSE),+(((AC44*POSTE!$H$5)+(CUM!AD44*POSTE!$H$4))/(POSTE!$H$4*POSTE!$H$5*2)),,CONGÉ!$C$2:$C$80))</f>
        <v>#N/A</v>
      </c>
      <c r="AV44" s="73" t="e">
        <f>+IF(U44=0," ",+WORKDAY.INTL(+VLOOKUP(AV$1,POSTE!$B:$G,3,FALSE),+CUM!AE44/+VLOOKUP(AV$1,POSTE!$B:$H,7,FALSE),,CONGÉ!$C$2:$C$80))</f>
        <v>#N/A</v>
      </c>
      <c r="AW44" s="73" t="e">
        <f>+IF(V44=0," ",+WORKDAY.INTL(+VLOOKUP(AW$1,POSTE!$B:$G,3,FALSE),+CUM!AF44/+VLOOKUP(AW$1,POSTE!$B:$H,7,FALSE),,CONGÉ!$C$2:$C$80))</f>
        <v>#N/A</v>
      </c>
      <c r="AX44" s="73" t="e">
        <f>+IF(W44=0," ",+WORKDAY.INTL(+VLOOKUP(AX$1,POSTE!$B:$G,3,FALSE),+CUM!AG44/+VLOOKUP(AX$1,POSTE!$B:$H,7,FALSE),,CONGÉ!$C$2:$C$80))</f>
        <v>#N/A</v>
      </c>
      <c r="AY44" s="73" t="e">
        <f>+IF(X44=0," ",+WORKDAY.INTL(+VLOOKUP(AY$1,POSTE!$B:$G,3,FALSE),+CUM!AH44/+VLOOKUP(AY$1,POSTE!$B:$H,7,FALSE),,CONGÉ!$C$2:$C$80))</f>
        <v>#N/A</v>
      </c>
      <c r="AZ44" s="73" t="e">
        <f>+IF(Y44=0," ",+WORKDAY.INTL(+VLOOKUP(AZ$1,POSTE!$B:$G,3,FALSE),+CUM!AI44/+VLOOKUP(AZ$1,POSTE!$B:$H,7,FALSE),,CONGÉ!$C$2:$C$80))</f>
        <v>#N/A</v>
      </c>
      <c r="BA44" s="73" t="e">
        <f>+IF(S44=0," ",+WORKDAY.INTL(+VLOOKUP(BA$1,POSTE!$B:$G,3,FALSE),+CUM!AC44/+VLOOKUP(BA$1,POSTE!$B:$H,7,FALSE),,CONGÉ!$C$2:$C$80))</f>
        <v>#N/A</v>
      </c>
      <c r="BB44" s="73" t="e">
        <f>+IF(T44=0," ",+WORKDAY.INTL(+VLOOKUP(BB$1,POSTE!$B:$G,3,FALSE),+CUM!AD44/+VLOOKUP(BB$1,POSTE!$B:$H,7,FALSE),,CONGÉ!$C$2:$C$80))</f>
        <v>#N/A</v>
      </c>
      <c r="BC44" s="70" t="e">
        <f t="shared" si="13"/>
        <v>#N/A</v>
      </c>
      <c r="BD44" s="70" t="e">
        <f t="shared" si="14"/>
        <v>#N/A</v>
      </c>
      <c r="BE44" s="129" t="e">
        <f>+IF($F44="oui",+VLOOKUP($A44,DATA!$A:$AH,DATA!$AH$3,FALSE),0)</f>
        <v>#N/A</v>
      </c>
      <c r="BF44" s="129" t="e">
        <f t="shared" si="15"/>
        <v>#N/A</v>
      </c>
      <c r="BG44" s="136" t="e">
        <f>+IF(BE44&gt;0,+MAX((BH$4:BH43),BD44),"")</f>
        <v>#N/A</v>
      </c>
      <c r="BH44" s="136" t="e">
        <f>+IF(BE44&gt;0,+MAX((BH$4:BH43),+WORKDAY.INTL(BG44,+BE44/8,,CONGÉ!$C$2:$C$73)),"")</f>
        <v>#N/A</v>
      </c>
      <c r="BI44" s="136" t="e">
        <f t="shared" si="16"/>
        <v>#N/A</v>
      </c>
      <c r="BJ44" s="43" t="e">
        <f t="shared" si="30"/>
        <v>#N/A</v>
      </c>
      <c r="BK44" s="77">
        <f t="shared" ca="1" si="17"/>
        <v>45754</v>
      </c>
      <c r="BL44" s="78" t="e">
        <f>+(((AC44*POSTE!$H$5)+(CUM!AD44*POSTE!$H$4))/(POSTE!$H$4*POSTE!$H$5*2))</f>
        <v>#N/A</v>
      </c>
      <c r="BM44" s="90" t="e">
        <f ca="1">+WORKDAY.INTL(BK44,BL44,,CONGÉ!C$4:C$72)</f>
        <v>#N/A</v>
      </c>
      <c r="BN44" s="78" t="e">
        <f t="shared" ca="1" si="18"/>
        <v>#N/A</v>
      </c>
    </row>
    <row r="45" spans="1:66" x14ac:dyDescent="0.25">
      <c r="A45" s="49">
        <f t="shared" si="19"/>
        <v>41</v>
      </c>
      <c r="B45" s="185" cm="1">
        <f t="array" ref="B45">_xlfn.LET(_xlpm.CORR,IF(DATA!$B$4:$B$104="",IF(DATA!$A$4:$A$104="","--",DATA!$A$4:$A$104),DATA!$B$4:$B$104),_xlpm.Rx,SMALL(_xlpm.CORR,A45),IFERROR(MATCH(_xlpm.Rx,_xlpm.CORR,0),0))</f>
        <v>0</v>
      </c>
      <c r="C45" s="18" t="e">
        <f>+VLOOKUP($A45,DATA!$A:$AG,DATA!$E$3,FALSE)</f>
        <v>#N/A</v>
      </c>
      <c r="D45" s="18" t="e">
        <f>+VLOOKUP($A45,DATA!$A:$AG,DATA!$D$3,FALSE)</f>
        <v>#N/A</v>
      </c>
      <c r="E45" s="186" t="e">
        <f>+VLOOKUP($A45,DATA!$A:$AG,DATA!$G$3,FALSE)</f>
        <v>#N/A</v>
      </c>
      <c r="F45" s="19" t="e">
        <f>+VLOOKUP($A45,DATA!$A:$AG,DATA!$O$3,FALSE)</f>
        <v>#N/A</v>
      </c>
      <c r="G45" s="43" t="e">
        <f>+IF($F45="oui",+VLOOKUP($A45,DATA!$A:$AG,DATA!$P$3,FALSE),0)</f>
        <v>#N/A</v>
      </c>
      <c r="H45" s="44" t="e">
        <f>+IF($F45="oui",+VLOOKUP($A45,DATA!$A:$AG,DATA!$R$3,FALSE),0)</f>
        <v>#N/A</v>
      </c>
      <c r="I45" s="44" t="e">
        <f>+IF($F45="oui",+VLOOKUP($A45,DATA!$A:$AG,DATA!$T$3,FALSE),0)</f>
        <v>#N/A</v>
      </c>
      <c r="J45" s="44" t="e">
        <f>+IF($F45="oui",+VLOOKUP($A45,DATA!$A:$AG,DATA!$V$3,FALSE),0)</f>
        <v>#N/A</v>
      </c>
      <c r="K45" s="44" t="e">
        <f>+IF($F45="oui",+VLOOKUP($A45,DATA!$A:$AG,DATA!$X$3,FALSE),0)</f>
        <v>#N/A</v>
      </c>
      <c r="L45" s="44" t="e">
        <f>+IF($F45="oui",+VLOOKUP($A45,DATA!$A:$AG,DATA!$Z$3,FALSE),0)</f>
        <v>#N/A</v>
      </c>
      <c r="M45" s="44" t="e">
        <f>+IF($F45="oui",+VLOOKUP($A45,DATA!$A:$AG,DATA!$AB$3,FALSE),0)</f>
        <v>#N/A</v>
      </c>
      <c r="N45" s="44" t="e">
        <f>+IF($F45="oui",+VLOOKUP($A45,DATA!$A:$AG,DATA!$AD$3,FALSE),0)</f>
        <v>#N/A</v>
      </c>
      <c r="O45" s="45" t="e">
        <f>+IF($F45="oui",+VLOOKUP($A45,DATA!$A:$AG,DATA!$AF$3,FALSE),0)</f>
        <v>#N/A</v>
      </c>
      <c r="P45" s="116" t="e">
        <f t="shared" si="12"/>
        <v>#N/A</v>
      </c>
      <c r="Q45" s="21" t="e">
        <f>+IF($F45="oui",+VLOOKUP($A45,DATA!$A:$AG,DATA!$Q$3,FALSE),0)</f>
        <v>#N/A</v>
      </c>
      <c r="R45" s="22" t="e">
        <f>+IF($F45="oui",+VLOOKUP($A45,DATA!$A:$AG,DATA!$S$3,FALSE),0)</f>
        <v>#N/A</v>
      </c>
      <c r="S45" s="22" t="e">
        <f>+IF($F45="oui",+VLOOKUP($A45,DATA!$A:$AG,DATA!$U$3,FALSE),0)</f>
        <v>#N/A</v>
      </c>
      <c r="T45" s="22" t="e">
        <f>+IF($F45="oui",+VLOOKUP($A45,DATA!$A:$AG,DATA!$W$3,FALSE),0)</f>
        <v>#N/A</v>
      </c>
      <c r="U45" s="22" t="e">
        <f>+IF($F45="oui",+VLOOKUP($A45,DATA!$A:$AG,DATA!$Y$3,FALSE),0)</f>
        <v>#N/A</v>
      </c>
      <c r="V45" s="22" t="e">
        <f>+IF($F45="oui",+VLOOKUP($A45,DATA!$A:$AG,DATA!$AA$3,FALSE),0)</f>
        <v>#N/A</v>
      </c>
      <c r="W45" s="22" t="e">
        <f>+IF($F45="oui",+VLOOKUP($A45,DATA!$A:$AG,DATA!$AC$3,FALSE),0)</f>
        <v>#N/A</v>
      </c>
      <c r="X45" s="22" t="e">
        <f>+IF($F45="oui",+VLOOKUP($A45,DATA!$A:$AG,DATA!$AE$3,FALSE),0)</f>
        <v>#N/A</v>
      </c>
      <c r="Y45" s="23" t="e">
        <f>+IF($F45="oui",+VLOOKUP($A45,DATA!$A:$AG,DATA!$AG$3,FALSE),0)</f>
        <v>#N/A</v>
      </c>
      <c r="Z45" s="118" t="e">
        <f t="shared" si="20"/>
        <v>#N/A</v>
      </c>
      <c r="AA45" s="43" t="e">
        <f t="shared" si="21"/>
        <v>#N/A</v>
      </c>
      <c r="AB45" s="44" t="e">
        <f t="shared" si="22"/>
        <v>#N/A</v>
      </c>
      <c r="AC45" s="44" t="e">
        <f t="shared" si="23"/>
        <v>#N/A</v>
      </c>
      <c r="AD45" s="44" t="e">
        <f t="shared" si="24"/>
        <v>#N/A</v>
      </c>
      <c r="AE45" s="44" t="e">
        <f t="shared" si="25"/>
        <v>#N/A</v>
      </c>
      <c r="AF45" s="44" t="e">
        <f t="shared" si="26"/>
        <v>#N/A</v>
      </c>
      <c r="AG45" s="44" t="e">
        <f t="shared" si="27"/>
        <v>#N/A</v>
      </c>
      <c r="AH45" s="44" t="e">
        <f t="shared" si="28"/>
        <v>#N/A</v>
      </c>
      <c r="AI45" s="45" t="e">
        <f t="shared" si="29"/>
        <v>#N/A</v>
      </c>
      <c r="AJ45" s="70" t="e">
        <f>+IF(Q45=0," ",+WORKDAY.INTL(+VLOOKUP(AJ$1,POSTE!$B:$G,3,FALSE),+CUM!AA44/+VLOOKUP(AJ$1,POSTE!$B:$H,7,FALSE),,CONGÉ!$C$2:$C$80))</f>
        <v>#N/A</v>
      </c>
      <c r="AK45" s="50" t="e">
        <f>+IF(R45=0," ",+WORKDAY.INTL(+VLOOKUP(AK$1,POSTE!$B:$G,3,FALSE),+CUM!AB44/+VLOOKUP(AK$1,POSTE!$B:$H,7,FALSE),,CONGÉ!$C$2:$C$80))</f>
        <v>#N/A</v>
      </c>
      <c r="AL45" s="50" t="e">
        <f>+IF(S45=0," ",+WORKDAY.INTL(+VLOOKUP(AL$1,POSTE!$B:$G,3,FALSE),+CUM!AC44/+VLOOKUP(AL$1,POSTE!$B:$H,7,FALSE),,CONGÉ!$C$2:$C$80))</f>
        <v>#N/A</v>
      </c>
      <c r="AM45" s="50" t="e">
        <f>+IF(T45=0," ",+WORKDAY.INTL(+VLOOKUP(AM$1,POSTE!$B:$G,3,FALSE),+CUM!AD44/+VLOOKUP(AM$1,POSTE!$B:$H,7,FALSE),,CONGÉ!$C$2:$C$80))</f>
        <v>#N/A</v>
      </c>
      <c r="AN45" s="50" t="e">
        <f>+IF(U45=0," ",+WORKDAY.INTL(+VLOOKUP(AN$1,POSTE!$B:$G,3,FALSE),+CUM!AE44/+VLOOKUP(AN$1,POSTE!$B:$H,7,FALSE),,CONGÉ!$C$2:$C$80))</f>
        <v>#N/A</v>
      </c>
      <c r="AO45" s="50" t="e">
        <f>+IF(V45=0," ",+WORKDAY.INTL(+VLOOKUP(AO$1,POSTE!$B:$G,3,FALSE),+CUM!AF44/+VLOOKUP(AO$1,POSTE!$B:$H,7,FALSE),,CONGÉ!$C$2:$C$80))</f>
        <v>#N/A</v>
      </c>
      <c r="AP45" s="50" t="e">
        <f>+IF(W45=0," ",+WORKDAY.INTL(+VLOOKUP(AP$1,POSTE!$B:$G,3,FALSE),+CUM!AG44/+VLOOKUP(AP$1,POSTE!$B:$H,7,FALSE),,CONGÉ!$C$2:$C$80))</f>
        <v>#N/A</v>
      </c>
      <c r="AQ45" s="50" t="e">
        <f>+IF(X45=0," ",+WORKDAY.INTL(+VLOOKUP(AQ$1,POSTE!$B:$G,3,FALSE),+CUM!AH44/+VLOOKUP(AQ$1,POSTE!$B:$H,7,FALSE),,CONGÉ!$C$2:$C$80))</f>
        <v>#N/A</v>
      </c>
      <c r="AR45" s="71" t="e">
        <f>+IF(Y45=0," ",+WORKDAY.INTL(+VLOOKUP(AR$1,POSTE!$B:$G,3,FALSE),+CUM!AI44/+VLOOKUP(AR$1,POSTE!$B:$H,7,FALSE),,CONGÉ!$C$2:$C$80))</f>
        <v>#N/A</v>
      </c>
      <c r="AS45" s="72" t="e">
        <f>+IF(Q45=0," ",+WORKDAY.INTL(+VLOOKUP(AS$1,POSTE!$B:$G,3,FALSE),+CUM!AA45/+VLOOKUP(AS$1,POSTE!$B:$H,7,FALSE),,CONGÉ!$C$2:$C$80))</f>
        <v>#N/A</v>
      </c>
      <c r="AT45" s="73" t="e">
        <f>+IF(R45=0," ",+WORKDAY.INTL(+VLOOKUP(AT$1,POSTE!$B:$G,3,FALSE),+CUM!AB45/+VLOOKUP(AT$1,POSTE!$B:$H,7,FALSE),,CONGÉ!$C$2:$C$80))</f>
        <v>#N/A</v>
      </c>
      <c r="AU45" s="73" t="e">
        <f>+IF(AND(S45=0,T45=0)," ",+WORKDAY.INTL(+VLOOKUP($AS$1,POSTE!B:J,3,FALSE),+(((AC45*POSTE!$H$5)+(CUM!AD45*POSTE!$H$4))/(POSTE!$H$4*POSTE!$H$5*2)),,CONGÉ!$C$2:$C$80))</f>
        <v>#N/A</v>
      </c>
      <c r="AV45" s="73" t="e">
        <f>+IF(U45=0," ",+WORKDAY.INTL(+VLOOKUP(AV$1,POSTE!$B:$G,3,FALSE),+CUM!AE45/+VLOOKUP(AV$1,POSTE!$B:$H,7,FALSE),,CONGÉ!$C$2:$C$80))</f>
        <v>#N/A</v>
      </c>
      <c r="AW45" s="73" t="e">
        <f>+IF(V45=0," ",+WORKDAY.INTL(+VLOOKUP(AW$1,POSTE!$B:$G,3,FALSE),+CUM!AF45/+VLOOKUP(AW$1,POSTE!$B:$H,7,FALSE),,CONGÉ!$C$2:$C$80))</f>
        <v>#N/A</v>
      </c>
      <c r="AX45" s="73" t="e">
        <f>+IF(W45=0," ",+WORKDAY.INTL(+VLOOKUP(AX$1,POSTE!$B:$G,3,FALSE),+CUM!AG45/+VLOOKUP(AX$1,POSTE!$B:$H,7,FALSE),,CONGÉ!$C$2:$C$80))</f>
        <v>#N/A</v>
      </c>
      <c r="AY45" s="73" t="e">
        <f>+IF(X45=0," ",+WORKDAY.INTL(+VLOOKUP(AY$1,POSTE!$B:$G,3,FALSE),+CUM!AH45/+VLOOKUP(AY$1,POSTE!$B:$H,7,FALSE),,CONGÉ!$C$2:$C$80))</f>
        <v>#N/A</v>
      </c>
      <c r="AZ45" s="73" t="e">
        <f>+IF(Y45=0," ",+WORKDAY.INTL(+VLOOKUP(AZ$1,POSTE!$B:$G,3,FALSE),+CUM!AI45/+VLOOKUP(AZ$1,POSTE!$B:$H,7,FALSE),,CONGÉ!$C$2:$C$80))</f>
        <v>#N/A</v>
      </c>
      <c r="BA45" s="73" t="e">
        <f>+IF(S45=0," ",+WORKDAY.INTL(+VLOOKUP(BA$1,POSTE!$B:$G,3,FALSE),+CUM!AC45/+VLOOKUP(BA$1,POSTE!$B:$H,7,FALSE),,CONGÉ!$C$2:$C$80))</f>
        <v>#N/A</v>
      </c>
      <c r="BB45" s="73" t="e">
        <f>+IF(T45=0," ",+WORKDAY.INTL(+VLOOKUP(BB$1,POSTE!$B:$G,3,FALSE),+CUM!AD45/+VLOOKUP(BB$1,POSTE!$B:$H,7,FALSE),,CONGÉ!$C$2:$C$80))</f>
        <v>#N/A</v>
      </c>
      <c r="BC45" s="70" t="e">
        <f t="shared" si="13"/>
        <v>#N/A</v>
      </c>
      <c r="BD45" s="70" t="e">
        <f t="shared" si="14"/>
        <v>#N/A</v>
      </c>
      <c r="BE45" s="129" t="e">
        <f>+IF($F45="oui",+VLOOKUP($A45,DATA!$A:$AH,DATA!$AH$3,FALSE),0)</f>
        <v>#N/A</v>
      </c>
      <c r="BF45" s="129" t="e">
        <f t="shared" si="15"/>
        <v>#N/A</v>
      </c>
      <c r="BG45" s="136" t="e">
        <f>+IF(BE45&gt;0,+MAX((BH$4:BH44),BD45),"")</f>
        <v>#N/A</v>
      </c>
      <c r="BH45" s="136" t="e">
        <f>+IF(BE45&gt;0,+MAX((BH$4:BH44),+WORKDAY.INTL(BG45,+BE45/8,,CONGÉ!$C$2:$C$73)),"")</f>
        <v>#N/A</v>
      </c>
      <c r="BI45" s="136" t="e">
        <f t="shared" si="16"/>
        <v>#N/A</v>
      </c>
      <c r="BJ45" s="43" t="e">
        <f t="shared" si="30"/>
        <v>#N/A</v>
      </c>
      <c r="BK45" s="77">
        <f t="shared" ca="1" si="17"/>
        <v>45754</v>
      </c>
      <c r="BL45" s="78" t="e">
        <f>+(((AC45*POSTE!$H$5)+(CUM!AD45*POSTE!$H$4))/(POSTE!$H$4*POSTE!$H$5*2))</f>
        <v>#N/A</v>
      </c>
      <c r="BM45" s="90" t="e">
        <f ca="1">+WORKDAY.INTL(BK45,BL45,,CONGÉ!C$4:C$72)</f>
        <v>#N/A</v>
      </c>
      <c r="BN45" s="78" t="e">
        <f t="shared" ca="1" si="18"/>
        <v>#N/A</v>
      </c>
    </row>
    <row r="46" spans="1:66" x14ac:dyDescent="0.25">
      <c r="A46" s="49">
        <f t="shared" si="19"/>
        <v>42</v>
      </c>
      <c r="B46" s="185" cm="1">
        <f t="array" ref="B46">_xlfn.LET(_xlpm.CORR,IF(DATA!$B$4:$B$104="",IF(DATA!$A$4:$A$104="","--",DATA!$A$4:$A$104),DATA!$B$4:$B$104),_xlpm.Rx,SMALL(_xlpm.CORR,A46),IFERROR(MATCH(_xlpm.Rx,_xlpm.CORR,0),0))</f>
        <v>0</v>
      </c>
      <c r="C46" s="18" t="e">
        <f>+VLOOKUP($A46,DATA!$A:$AG,DATA!$E$3,FALSE)</f>
        <v>#N/A</v>
      </c>
      <c r="D46" s="18" t="e">
        <f>+VLOOKUP($A46,DATA!$A:$AG,DATA!$D$3,FALSE)</f>
        <v>#N/A</v>
      </c>
      <c r="E46" s="186" t="e">
        <f>+VLOOKUP($A46,DATA!$A:$AG,DATA!$G$3,FALSE)</f>
        <v>#N/A</v>
      </c>
      <c r="F46" s="19" t="e">
        <f>+VLOOKUP($A46,DATA!$A:$AG,DATA!$O$3,FALSE)</f>
        <v>#N/A</v>
      </c>
      <c r="G46" s="43" t="e">
        <f>+IF($F46="oui",+VLOOKUP($A46,DATA!$A:$AG,DATA!$P$3,FALSE),0)</f>
        <v>#N/A</v>
      </c>
      <c r="H46" s="44" t="e">
        <f>+IF($F46="oui",+VLOOKUP($A46,DATA!$A:$AG,DATA!$R$3,FALSE),0)</f>
        <v>#N/A</v>
      </c>
      <c r="I46" s="44" t="e">
        <f>+IF($F46="oui",+VLOOKUP($A46,DATA!$A:$AG,DATA!$T$3,FALSE),0)</f>
        <v>#N/A</v>
      </c>
      <c r="J46" s="44" t="e">
        <f>+IF($F46="oui",+VLOOKUP($A46,DATA!$A:$AG,DATA!$V$3,FALSE),0)</f>
        <v>#N/A</v>
      </c>
      <c r="K46" s="44" t="e">
        <f>+IF($F46="oui",+VLOOKUP($A46,DATA!$A:$AG,DATA!$X$3,FALSE),0)</f>
        <v>#N/A</v>
      </c>
      <c r="L46" s="44" t="e">
        <f>+IF($F46="oui",+VLOOKUP($A46,DATA!$A:$AG,DATA!$Z$3,FALSE),0)</f>
        <v>#N/A</v>
      </c>
      <c r="M46" s="44" t="e">
        <f>+IF($F46="oui",+VLOOKUP($A46,DATA!$A:$AG,DATA!$AB$3,FALSE),0)</f>
        <v>#N/A</v>
      </c>
      <c r="N46" s="44" t="e">
        <f>+IF($F46="oui",+VLOOKUP($A46,DATA!$A:$AG,DATA!$AD$3,FALSE),0)</f>
        <v>#N/A</v>
      </c>
      <c r="O46" s="45" t="e">
        <f>+IF($F46="oui",+VLOOKUP($A46,DATA!$A:$AG,DATA!$AF$3,FALSE),0)</f>
        <v>#N/A</v>
      </c>
      <c r="P46" s="116" t="e">
        <f t="shared" si="12"/>
        <v>#N/A</v>
      </c>
      <c r="Q46" s="21" t="e">
        <f>+IF($F46="oui",+VLOOKUP($A46,DATA!$A:$AG,DATA!$Q$3,FALSE),0)</f>
        <v>#N/A</v>
      </c>
      <c r="R46" s="22" t="e">
        <f>+IF($F46="oui",+VLOOKUP($A46,DATA!$A:$AG,DATA!$S$3,FALSE),0)</f>
        <v>#N/A</v>
      </c>
      <c r="S46" s="22" t="e">
        <f>+IF($F46="oui",+VLOOKUP($A46,DATA!$A:$AG,DATA!$U$3,FALSE),0)</f>
        <v>#N/A</v>
      </c>
      <c r="T46" s="22" t="e">
        <f>+IF($F46="oui",+VLOOKUP($A46,DATA!$A:$AG,DATA!$W$3,FALSE),0)</f>
        <v>#N/A</v>
      </c>
      <c r="U46" s="22" t="e">
        <f>+IF($F46="oui",+VLOOKUP($A46,DATA!$A:$AG,DATA!$Y$3,FALSE),0)</f>
        <v>#N/A</v>
      </c>
      <c r="V46" s="22" t="e">
        <f>+IF($F46="oui",+VLOOKUP($A46,DATA!$A:$AG,DATA!$AA$3,FALSE),0)</f>
        <v>#N/A</v>
      </c>
      <c r="W46" s="22" t="e">
        <f>+IF($F46="oui",+VLOOKUP($A46,DATA!$A:$AG,DATA!$AC$3,FALSE),0)</f>
        <v>#N/A</v>
      </c>
      <c r="X46" s="22" t="e">
        <f>+IF($F46="oui",+VLOOKUP($A46,DATA!$A:$AG,DATA!$AE$3,FALSE),0)</f>
        <v>#N/A</v>
      </c>
      <c r="Y46" s="23" t="e">
        <f>+IF($F46="oui",+VLOOKUP($A46,DATA!$A:$AG,DATA!$AG$3,FALSE),0)</f>
        <v>#N/A</v>
      </c>
      <c r="Z46" s="118" t="e">
        <f t="shared" si="20"/>
        <v>#N/A</v>
      </c>
      <c r="AA46" s="43" t="e">
        <f t="shared" si="21"/>
        <v>#N/A</v>
      </c>
      <c r="AB46" s="44" t="e">
        <f t="shared" si="22"/>
        <v>#N/A</v>
      </c>
      <c r="AC46" s="44" t="e">
        <f t="shared" si="23"/>
        <v>#N/A</v>
      </c>
      <c r="AD46" s="44" t="e">
        <f t="shared" si="24"/>
        <v>#N/A</v>
      </c>
      <c r="AE46" s="44" t="e">
        <f t="shared" si="25"/>
        <v>#N/A</v>
      </c>
      <c r="AF46" s="44" t="e">
        <f t="shared" si="26"/>
        <v>#N/A</v>
      </c>
      <c r="AG46" s="44" t="e">
        <f t="shared" si="27"/>
        <v>#N/A</v>
      </c>
      <c r="AH46" s="44" t="e">
        <f t="shared" si="28"/>
        <v>#N/A</v>
      </c>
      <c r="AI46" s="45" t="e">
        <f t="shared" si="29"/>
        <v>#N/A</v>
      </c>
      <c r="AJ46" s="70" t="e">
        <f>+IF(Q46=0," ",+WORKDAY.INTL(+VLOOKUP(AJ$1,POSTE!$B:$G,3,FALSE),+CUM!AA45/+VLOOKUP(AJ$1,POSTE!$B:$H,7,FALSE),,CONGÉ!$C$2:$C$80))</f>
        <v>#N/A</v>
      </c>
      <c r="AK46" s="50" t="e">
        <f>+IF(R46=0," ",+WORKDAY.INTL(+VLOOKUP(AK$1,POSTE!$B:$G,3,FALSE),+CUM!AB45/+VLOOKUP(AK$1,POSTE!$B:$H,7,FALSE),,CONGÉ!$C$2:$C$80))</f>
        <v>#N/A</v>
      </c>
      <c r="AL46" s="50" t="e">
        <f>+IF(S46=0," ",+WORKDAY.INTL(+VLOOKUP(AL$1,POSTE!$B:$G,3,FALSE),+CUM!AC45/+VLOOKUP(AL$1,POSTE!$B:$H,7,FALSE),,CONGÉ!$C$2:$C$80))</f>
        <v>#N/A</v>
      </c>
      <c r="AM46" s="50" t="e">
        <f>+IF(T46=0," ",+WORKDAY.INTL(+VLOOKUP(AM$1,POSTE!$B:$G,3,FALSE),+CUM!AD45/+VLOOKUP(AM$1,POSTE!$B:$H,7,FALSE),,CONGÉ!$C$2:$C$80))</f>
        <v>#N/A</v>
      </c>
      <c r="AN46" s="50" t="e">
        <f>+IF(U46=0," ",+WORKDAY.INTL(+VLOOKUP(AN$1,POSTE!$B:$G,3,FALSE),+CUM!AE45/+VLOOKUP(AN$1,POSTE!$B:$H,7,FALSE),,CONGÉ!$C$2:$C$80))</f>
        <v>#N/A</v>
      </c>
      <c r="AO46" s="50" t="e">
        <f>+IF(V46=0," ",+WORKDAY.INTL(+VLOOKUP(AO$1,POSTE!$B:$G,3,FALSE),+CUM!AF45/+VLOOKUP(AO$1,POSTE!$B:$H,7,FALSE),,CONGÉ!$C$2:$C$80))</f>
        <v>#N/A</v>
      </c>
      <c r="AP46" s="50" t="e">
        <f>+IF(W46=0," ",+WORKDAY.INTL(+VLOOKUP(AP$1,POSTE!$B:$G,3,FALSE),+CUM!AG45/+VLOOKUP(AP$1,POSTE!$B:$H,7,FALSE),,CONGÉ!$C$2:$C$80))</f>
        <v>#N/A</v>
      </c>
      <c r="AQ46" s="50" t="e">
        <f>+IF(X46=0," ",+WORKDAY.INTL(+VLOOKUP(AQ$1,POSTE!$B:$G,3,FALSE),+CUM!AH45/+VLOOKUP(AQ$1,POSTE!$B:$H,7,FALSE),,CONGÉ!$C$2:$C$80))</f>
        <v>#N/A</v>
      </c>
      <c r="AR46" s="71" t="e">
        <f>+IF(Y46=0," ",+WORKDAY.INTL(+VLOOKUP(AR$1,POSTE!$B:$G,3,FALSE),+CUM!AI45/+VLOOKUP(AR$1,POSTE!$B:$H,7,FALSE),,CONGÉ!$C$2:$C$80))</f>
        <v>#N/A</v>
      </c>
      <c r="AS46" s="72" t="e">
        <f>+IF(Q46=0," ",+WORKDAY.INTL(+VLOOKUP(AS$1,POSTE!$B:$G,3,FALSE),+CUM!AA46/+VLOOKUP(AS$1,POSTE!$B:$H,7,FALSE),,CONGÉ!$C$2:$C$80))</f>
        <v>#N/A</v>
      </c>
      <c r="AT46" s="73" t="e">
        <f>+IF(R46=0," ",+WORKDAY.INTL(+VLOOKUP(AT$1,POSTE!$B:$G,3,FALSE),+CUM!AB46/+VLOOKUP(AT$1,POSTE!$B:$H,7,FALSE),,CONGÉ!$C$2:$C$80))</f>
        <v>#N/A</v>
      </c>
      <c r="AU46" s="73" t="e">
        <f>+IF(AND(S46=0,T46=0)," ",+WORKDAY.INTL(+VLOOKUP($AS$1,POSTE!B:J,3,FALSE),+(((AC46*POSTE!$H$5)+(CUM!AD46*POSTE!$H$4))/(POSTE!$H$4*POSTE!$H$5*2)),,CONGÉ!$C$2:$C$80))</f>
        <v>#N/A</v>
      </c>
      <c r="AV46" s="73" t="e">
        <f>+IF(U46=0," ",+WORKDAY.INTL(+VLOOKUP(AV$1,POSTE!$B:$G,3,FALSE),+CUM!AE46/+VLOOKUP(AV$1,POSTE!$B:$H,7,FALSE),,CONGÉ!$C$2:$C$80))</f>
        <v>#N/A</v>
      </c>
      <c r="AW46" s="73" t="e">
        <f>+IF(V46=0," ",+WORKDAY.INTL(+VLOOKUP(AW$1,POSTE!$B:$G,3,FALSE),+CUM!AF46/+VLOOKUP(AW$1,POSTE!$B:$H,7,FALSE),,CONGÉ!$C$2:$C$80))</f>
        <v>#N/A</v>
      </c>
      <c r="AX46" s="73" t="e">
        <f>+IF(W46=0," ",+WORKDAY.INTL(+VLOOKUP(AX$1,POSTE!$B:$G,3,FALSE),+CUM!AG46/+VLOOKUP(AX$1,POSTE!$B:$H,7,FALSE),,CONGÉ!$C$2:$C$80))</f>
        <v>#N/A</v>
      </c>
      <c r="AY46" s="73" t="e">
        <f>+IF(X46=0," ",+WORKDAY.INTL(+VLOOKUP(AY$1,POSTE!$B:$G,3,FALSE),+CUM!AH46/+VLOOKUP(AY$1,POSTE!$B:$H,7,FALSE),,CONGÉ!$C$2:$C$80))</f>
        <v>#N/A</v>
      </c>
      <c r="AZ46" s="73" t="e">
        <f>+IF(Y46=0," ",+WORKDAY.INTL(+VLOOKUP(AZ$1,POSTE!$B:$G,3,FALSE),+CUM!AI46/+VLOOKUP(AZ$1,POSTE!$B:$H,7,FALSE),,CONGÉ!$C$2:$C$80))</f>
        <v>#N/A</v>
      </c>
      <c r="BA46" s="73" t="e">
        <f>+IF(S46=0," ",+WORKDAY.INTL(+VLOOKUP(BA$1,POSTE!$B:$G,3,FALSE),+CUM!AC46/+VLOOKUP(BA$1,POSTE!$B:$H,7,FALSE),,CONGÉ!$C$2:$C$80))</f>
        <v>#N/A</v>
      </c>
      <c r="BB46" s="73" t="e">
        <f>+IF(T46=0," ",+WORKDAY.INTL(+VLOOKUP(BB$1,POSTE!$B:$G,3,FALSE),+CUM!AD46/+VLOOKUP(BB$1,POSTE!$B:$H,7,FALSE),,CONGÉ!$C$2:$C$80))</f>
        <v>#N/A</v>
      </c>
      <c r="BC46" s="70" t="e">
        <f t="shared" si="13"/>
        <v>#N/A</v>
      </c>
      <c r="BD46" s="70" t="e">
        <f t="shared" si="14"/>
        <v>#N/A</v>
      </c>
      <c r="BE46" s="129" t="e">
        <f>+IF($F46="oui",+VLOOKUP($A46,DATA!$A:$AH,DATA!$AH$3,FALSE),0)</f>
        <v>#N/A</v>
      </c>
      <c r="BF46" s="129" t="e">
        <f t="shared" si="15"/>
        <v>#N/A</v>
      </c>
      <c r="BG46" s="136" t="e">
        <f>+IF(BE46&gt;0,+MAX((BH$4:BH45),BD46),"")</f>
        <v>#N/A</v>
      </c>
      <c r="BH46" s="136" t="e">
        <f>+IF(BE46&gt;0,+MAX((BH$4:BH45),+WORKDAY.INTL(BG46,+BE46/8,,CONGÉ!$C$2:$C$73)),"")</f>
        <v>#N/A</v>
      </c>
      <c r="BI46" s="136" t="e">
        <f t="shared" si="16"/>
        <v>#N/A</v>
      </c>
      <c r="BJ46" s="43" t="e">
        <f t="shared" si="30"/>
        <v>#N/A</v>
      </c>
      <c r="BK46" s="77">
        <f t="shared" ca="1" si="17"/>
        <v>45754</v>
      </c>
      <c r="BL46" s="78" t="e">
        <f>+(((AC46*POSTE!$H$5)+(CUM!AD46*POSTE!$H$4))/(POSTE!$H$4*POSTE!$H$5*2))</f>
        <v>#N/A</v>
      </c>
      <c r="BM46" s="90" t="e">
        <f ca="1">+WORKDAY.INTL(BK46,BL46,,CONGÉ!C$4:C$72)</f>
        <v>#N/A</v>
      </c>
      <c r="BN46" s="78" t="e">
        <f t="shared" ca="1" si="18"/>
        <v>#N/A</v>
      </c>
    </row>
    <row r="47" spans="1:66" x14ac:dyDescent="0.25">
      <c r="A47" s="49">
        <f t="shared" si="19"/>
        <v>43</v>
      </c>
      <c r="B47" s="185" cm="1">
        <f t="array" ref="B47">_xlfn.LET(_xlpm.CORR,IF(DATA!$B$4:$B$104="",IF(DATA!$A$4:$A$104="","--",DATA!$A$4:$A$104),DATA!$B$4:$B$104),_xlpm.Rx,SMALL(_xlpm.CORR,A47),IFERROR(MATCH(_xlpm.Rx,_xlpm.CORR,0),0))</f>
        <v>0</v>
      </c>
      <c r="C47" s="18" t="e">
        <f>+VLOOKUP($A47,DATA!$A:$AG,DATA!$E$3,FALSE)</f>
        <v>#N/A</v>
      </c>
      <c r="D47" s="18" t="e">
        <f>+VLOOKUP($A47,DATA!$A:$AG,DATA!$D$3,FALSE)</f>
        <v>#N/A</v>
      </c>
      <c r="E47" s="186" t="e">
        <f>+VLOOKUP($A47,DATA!$A:$AG,DATA!$G$3,FALSE)</f>
        <v>#N/A</v>
      </c>
      <c r="F47" s="19" t="e">
        <f>+VLOOKUP($A47,DATA!$A:$AG,DATA!$O$3,FALSE)</f>
        <v>#N/A</v>
      </c>
      <c r="G47" s="43" t="e">
        <f>+IF($F47="oui",+VLOOKUP($A47,DATA!$A:$AG,DATA!$P$3,FALSE),0)</f>
        <v>#N/A</v>
      </c>
      <c r="H47" s="44" t="e">
        <f>+IF($F47="oui",+VLOOKUP($A47,DATA!$A:$AG,DATA!$R$3,FALSE),0)</f>
        <v>#N/A</v>
      </c>
      <c r="I47" s="44" t="e">
        <f>+IF($F47="oui",+VLOOKUP($A47,DATA!$A:$AG,DATA!$T$3,FALSE),0)</f>
        <v>#N/A</v>
      </c>
      <c r="J47" s="44" t="e">
        <f>+IF($F47="oui",+VLOOKUP($A47,DATA!$A:$AG,DATA!$V$3,FALSE),0)</f>
        <v>#N/A</v>
      </c>
      <c r="K47" s="44" t="e">
        <f>+IF($F47="oui",+VLOOKUP($A47,DATA!$A:$AG,DATA!$X$3,FALSE),0)</f>
        <v>#N/A</v>
      </c>
      <c r="L47" s="44" t="e">
        <f>+IF($F47="oui",+VLOOKUP($A47,DATA!$A:$AG,DATA!$Z$3,FALSE),0)</f>
        <v>#N/A</v>
      </c>
      <c r="M47" s="44" t="e">
        <f>+IF($F47="oui",+VLOOKUP($A47,DATA!$A:$AG,DATA!$AB$3,FALSE),0)</f>
        <v>#N/A</v>
      </c>
      <c r="N47" s="44" t="e">
        <f>+IF($F47="oui",+VLOOKUP($A47,DATA!$A:$AG,DATA!$AD$3,FALSE),0)</f>
        <v>#N/A</v>
      </c>
      <c r="O47" s="45" t="e">
        <f>+IF($F47="oui",+VLOOKUP($A47,DATA!$A:$AG,DATA!$AF$3,FALSE),0)</f>
        <v>#N/A</v>
      </c>
      <c r="P47" s="116" t="e">
        <f t="shared" si="12"/>
        <v>#N/A</v>
      </c>
      <c r="Q47" s="21" t="e">
        <f>+IF($F47="oui",+VLOOKUP($A47,DATA!$A:$AG,DATA!$Q$3,FALSE),0)</f>
        <v>#N/A</v>
      </c>
      <c r="R47" s="22" t="e">
        <f>+IF($F47="oui",+VLOOKUP($A47,DATA!$A:$AG,DATA!$S$3,FALSE),0)</f>
        <v>#N/A</v>
      </c>
      <c r="S47" s="22" t="e">
        <f>+IF($F47="oui",+VLOOKUP($A47,DATA!$A:$AG,DATA!$U$3,FALSE),0)</f>
        <v>#N/A</v>
      </c>
      <c r="T47" s="22" t="e">
        <f>+IF($F47="oui",+VLOOKUP($A47,DATA!$A:$AG,DATA!$W$3,FALSE),0)</f>
        <v>#N/A</v>
      </c>
      <c r="U47" s="22" t="e">
        <f>+IF($F47="oui",+VLOOKUP($A47,DATA!$A:$AG,DATA!$Y$3,FALSE),0)</f>
        <v>#N/A</v>
      </c>
      <c r="V47" s="22" t="e">
        <f>+IF($F47="oui",+VLOOKUP($A47,DATA!$A:$AG,DATA!$AA$3,FALSE),0)</f>
        <v>#N/A</v>
      </c>
      <c r="W47" s="22" t="e">
        <f>+IF($F47="oui",+VLOOKUP($A47,DATA!$A:$AG,DATA!$AC$3,FALSE),0)</f>
        <v>#N/A</v>
      </c>
      <c r="X47" s="22" t="e">
        <f>+IF($F47="oui",+VLOOKUP($A47,DATA!$A:$AG,DATA!$AE$3,FALSE),0)</f>
        <v>#N/A</v>
      </c>
      <c r="Y47" s="23" t="e">
        <f>+IF($F47="oui",+VLOOKUP($A47,DATA!$A:$AG,DATA!$AG$3,FALSE),0)</f>
        <v>#N/A</v>
      </c>
      <c r="Z47" s="118" t="e">
        <f t="shared" si="20"/>
        <v>#N/A</v>
      </c>
      <c r="AA47" s="43" t="e">
        <f t="shared" si="21"/>
        <v>#N/A</v>
      </c>
      <c r="AB47" s="44" t="e">
        <f t="shared" si="22"/>
        <v>#N/A</v>
      </c>
      <c r="AC47" s="44" t="e">
        <f t="shared" si="23"/>
        <v>#N/A</v>
      </c>
      <c r="AD47" s="44" t="e">
        <f t="shared" si="24"/>
        <v>#N/A</v>
      </c>
      <c r="AE47" s="44" t="e">
        <f t="shared" si="25"/>
        <v>#N/A</v>
      </c>
      <c r="AF47" s="44" t="e">
        <f t="shared" si="26"/>
        <v>#N/A</v>
      </c>
      <c r="AG47" s="44" t="e">
        <f t="shared" si="27"/>
        <v>#N/A</v>
      </c>
      <c r="AH47" s="44" t="e">
        <f t="shared" si="28"/>
        <v>#N/A</v>
      </c>
      <c r="AI47" s="45" t="e">
        <f t="shared" si="29"/>
        <v>#N/A</v>
      </c>
      <c r="AJ47" s="70" t="e">
        <f>+IF(Q47=0," ",+WORKDAY.INTL(+VLOOKUP(AJ$1,POSTE!$B:$G,3,FALSE),+CUM!AA46/+VLOOKUP(AJ$1,POSTE!$B:$H,7,FALSE),,CONGÉ!$C$2:$C$80))</f>
        <v>#N/A</v>
      </c>
      <c r="AK47" s="50" t="e">
        <f>+IF(R47=0," ",+WORKDAY.INTL(+VLOOKUP(AK$1,POSTE!$B:$G,3,FALSE),+CUM!AB46/+VLOOKUP(AK$1,POSTE!$B:$H,7,FALSE),,CONGÉ!$C$2:$C$80))</f>
        <v>#N/A</v>
      </c>
      <c r="AL47" s="50" t="e">
        <f>+IF(S47=0," ",+WORKDAY.INTL(+VLOOKUP(AL$1,POSTE!$B:$G,3,FALSE),+CUM!AC46/+VLOOKUP(AL$1,POSTE!$B:$H,7,FALSE),,CONGÉ!$C$2:$C$80))</f>
        <v>#N/A</v>
      </c>
      <c r="AM47" s="50" t="e">
        <f>+IF(T47=0," ",+WORKDAY.INTL(+VLOOKUP(AM$1,POSTE!$B:$G,3,FALSE),+CUM!AD46/+VLOOKUP(AM$1,POSTE!$B:$H,7,FALSE),,CONGÉ!$C$2:$C$80))</f>
        <v>#N/A</v>
      </c>
      <c r="AN47" s="50" t="e">
        <f>+IF(U47=0," ",+WORKDAY.INTL(+VLOOKUP(AN$1,POSTE!$B:$G,3,FALSE),+CUM!AE46/+VLOOKUP(AN$1,POSTE!$B:$H,7,FALSE),,CONGÉ!$C$2:$C$80))</f>
        <v>#N/A</v>
      </c>
      <c r="AO47" s="50" t="e">
        <f>+IF(V47=0," ",+WORKDAY.INTL(+VLOOKUP(AO$1,POSTE!$B:$G,3,FALSE),+CUM!AF46/+VLOOKUP(AO$1,POSTE!$B:$H,7,FALSE),,CONGÉ!$C$2:$C$80))</f>
        <v>#N/A</v>
      </c>
      <c r="AP47" s="50" t="e">
        <f>+IF(W47=0," ",+WORKDAY.INTL(+VLOOKUP(AP$1,POSTE!$B:$G,3,FALSE),+CUM!AG46/+VLOOKUP(AP$1,POSTE!$B:$H,7,FALSE),,CONGÉ!$C$2:$C$80))</f>
        <v>#N/A</v>
      </c>
      <c r="AQ47" s="50" t="e">
        <f>+IF(X47=0," ",+WORKDAY.INTL(+VLOOKUP(AQ$1,POSTE!$B:$G,3,FALSE),+CUM!AH46/+VLOOKUP(AQ$1,POSTE!$B:$H,7,FALSE),,CONGÉ!$C$2:$C$80))</f>
        <v>#N/A</v>
      </c>
      <c r="AR47" s="71" t="e">
        <f>+IF(Y47=0," ",+WORKDAY.INTL(+VLOOKUP(AR$1,POSTE!$B:$G,3,FALSE),+CUM!AI46/+VLOOKUP(AR$1,POSTE!$B:$H,7,FALSE),,CONGÉ!$C$2:$C$80))</f>
        <v>#N/A</v>
      </c>
      <c r="AS47" s="72" t="e">
        <f>+IF(Q47=0," ",+WORKDAY.INTL(+VLOOKUP(AS$1,POSTE!$B:$G,3,FALSE),+CUM!AA47/+VLOOKUP(AS$1,POSTE!$B:$H,7,FALSE),,CONGÉ!$C$2:$C$80))</f>
        <v>#N/A</v>
      </c>
      <c r="AT47" s="73" t="e">
        <f>+IF(R47=0," ",+WORKDAY.INTL(+VLOOKUP(AT$1,POSTE!$B:$G,3,FALSE),+CUM!AB47/+VLOOKUP(AT$1,POSTE!$B:$H,7,FALSE),,CONGÉ!$C$2:$C$80))</f>
        <v>#N/A</v>
      </c>
      <c r="AU47" s="73" t="e">
        <f>+IF(AND(S47=0,T47=0)," ",+WORKDAY.INTL(+VLOOKUP($AS$1,POSTE!B:J,3,FALSE),+(((AC47*POSTE!$H$5)+(CUM!AD47*POSTE!$H$4))/(POSTE!$H$4*POSTE!$H$5*2)),,CONGÉ!$C$2:$C$80))</f>
        <v>#N/A</v>
      </c>
      <c r="AV47" s="73" t="e">
        <f>+IF(U47=0," ",+WORKDAY.INTL(+VLOOKUP(AV$1,POSTE!$B:$G,3,FALSE),+CUM!AE47/+VLOOKUP(AV$1,POSTE!$B:$H,7,FALSE),,CONGÉ!$C$2:$C$80))</f>
        <v>#N/A</v>
      </c>
      <c r="AW47" s="73" t="e">
        <f>+IF(V47=0," ",+WORKDAY.INTL(+VLOOKUP(AW$1,POSTE!$B:$G,3,FALSE),+CUM!AF47/+VLOOKUP(AW$1,POSTE!$B:$H,7,FALSE),,CONGÉ!$C$2:$C$80))</f>
        <v>#N/A</v>
      </c>
      <c r="AX47" s="73" t="e">
        <f>+IF(W47=0," ",+WORKDAY.INTL(+VLOOKUP(AX$1,POSTE!$B:$G,3,FALSE),+CUM!AG47/+VLOOKUP(AX$1,POSTE!$B:$H,7,FALSE),,CONGÉ!$C$2:$C$80))</f>
        <v>#N/A</v>
      </c>
      <c r="AY47" s="73" t="e">
        <f>+IF(X47=0," ",+WORKDAY.INTL(+VLOOKUP(AY$1,POSTE!$B:$G,3,FALSE),+CUM!AH47/+VLOOKUP(AY$1,POSTE!$B:$H,7,FALSE),,CONGÉ!$C$2:$C$80))</f>
        <v>#N/A</v>
      </c>
      <c r="AZ47" s="73" t="e">
        <f>+IF(Y47=0," ",+WORKDAY.INTL(+VLOOKUP(AZ$1,POSTE!$B:$G,3,FALSE),+CUM!AI47/+VLOOKUP(AZ$1,POSTE!$B:$H,7,FALSE),,CONGÉ!$C$2:$C$80))</f>
        <v>#N/A</v>
      </c>
      <c r="BA47" s="73" t="e">
        <f>+IF(S47=0," ",+WORKDAY.INTL(+VLOOKUP(BA$1,POSTE!$B:$G,3,FALSE),+CUM!AC47/+VLOOKUP(BA$1,POSTE!$B:$H,7,FALSE),,CONGÉ!$C$2:$C$80))</f>
        <v>#N/A</v>
      </c>
      <c r="BB47" s="73" t="e">
        <f>+IF(T47=0," ",+WORKDAY.INTL(+VLOOKUP(BB$1,POSTE!$B:$G,3,FALSE),+CUM!AD47/+VLOOKUP(BB$1,POSTE!$B:$H,7,FALSE),,CONGÉ!$C$2:$C$80))</f>
        <v>#N/A</v>
      </c>
      <c r="BC47" s="70" t="e">
        <f t="shared" si="13"/>
        <v>#N/A</v>
      </c>
      <c r="BD47" s="70" t="e">
        <f t="shared" si="14"/>
        <v>#N/A</v>
      </c>
      <c r="BE47" s="129" t="e">
        <f>+IF($F47="oui",+VLOOKUP($A47,DATA!$A:$AH,DATA!$AH$3,FALSE),0)</f>
        <v>#N/A</v>
      </c>
      <c r="BF47" s="129" t="e">
        <f t="shared" si="15"/>
        <v>#N/A</v>
      </c>
      <c r="BG47" s="136" t="e">
        <f>+IF(BE47&gt;0,+MAX((BH$4:BH46),BD47),"")</f>
        <v>#N/A</v>
      </c>
      <c r="BH47" s="136" t="e">
        <f>+IF(BE47&gt;0,+MAX((BH$4:BH46),+WORKDAY.INTL(BG47,+BE47/8,,CONGÉ!$C$2:$C$73)),"")</f>
        <v>#N/A</v>
      </c>
      <c r="BI47" s="136" t="e">
        <f t="shared" si="16"/>
        <v>#N/A</v>
      </c>
      <c r="BJ47" s="43" t="e">
        <f t="shared" si="30"/>
        <v>#N/A</v>
      </c>
      <c r="BK47" s="77">
        <f t="shared" ca="1" si="17"/>
        <v>45754</v>
      </c>
      <c r="BL47" s="78" t="e">
        <f>+(((AC47*POSTE!$H$5)+(CUM!AD47*POSTE!$H$4))/(POSTE!$H$4*POSTE!$H$5*2))</f>
        <v>#N/A</v>
      </c>
      <c r="BM47" s="90" t="e">
        <f ca="1">+WORKDAY.INTL(BK47,BL47,,CONGÉ!C$4:C$72)</f>
        <v>#N/A</v>
      </c>
      <c r="BN47" s="78" t="e">
        <f t="shared" ca="1" si="18"/>
        <v>#N/A</v>
      </c>
    </row>
    <row r="48" spans="1:66" x14ac:dyDescent="0.25">
      <c r="A48" s="49">
        <f t="shared" si="19"/>
        <v>44</v>
      </c>
      <c r="B48" s="185" cm="1">
        <f t="array" ref="B48">_xlfn.LET(_xlpm.CORR,IF(DATA!$B$4:$B$104="",IF(DATA!$A$4:$A$104="","--",DATA!$A$4:$A$104),DATA!$B$4:$B$104),_xlpm.Rx,SMALL(_xlpm.CORR,A48),IFERROR(MATCH(_xlpm.Rx,_xlpm.CORR,0),0))</f>
        <v>0</v>
      </c>
      <c r="C48" s="18" t="e">
        <f>+VLOOKUP($A48,DATA!$A:$AG,DATA!$E$3,FALSE)</f>
        <v>#N/A</v>
      </c>
      <c r="D48" s="18" t="e">
        <f>+VLOOKUP($A48,DATA!$A:$AG,DATA!$D$3,FALSE)</f>
        <v>#N/A</v>
      </c>
      <c r="E48" s="186" t="e">
        <f>+VLOOKUP($A48,DATA!$A:$AG,DATA!$G$3,FALSE)</f>
        <v>#N/A</v>
      </c>
      <c r="F48" s="19" t="e">
        <f>+VLOOKUP($A48,DATA!$A:$AG,DATA!$O$3,FALSE)</f>
        <v>#N/A</v>
      </c>
      <c r="G48" s="43" t="e">
        <f>+IF($F48="oui",+VLOOKUP($A48,DATA!$A:$AG,DATA!$P$3,FALSE),0)</f>
        <v>#N/A</v>
      </c>
      <c r="H48" s="44" t="e">
        <f>+IF($F48="oui",+VLOOKUP($A48,DATA!$A:$AG,DATA!$R$3,FALSE),0)</f>
        <v>#N/A</v>
      </c>
      <c r="I48" s="44" t="e">
        <f>+IF($F48="oui",+VLOOKUP($A48,DATA!$A:$AG,DATA!$T$3,FALSE),0)</f>
        <v>#N/A</v>
      </c>
      <c r="J48" s="44" t="e">
        <f>+IF($F48="oui",+VLOOKUP($A48,DATA!$A:$AG,DATA!$V$3,FALSE),0)</f>
        <v>#N/A</v>
      </c>
      <c r="K48" s="44" t="e">
        <f>+IF($F48="oui",+VLOOKUP($A48,DATA!$A:$AG,DATA!$X$3,FALSE),0)</f>
        <v>#N/A</v>
      </c>
      <c r="L48" s="44" t="e">
        <f>+IF($F48="oui",+VLOOKUP($A48,DATA!$A:$AG,DATA!$Z$3,FALSE),0)</f>
        <v>#N/A</v>
      </c>
      <c r="M48" s="44" t="e">
        <f>+IF($F48="oui",+VLOOKUP($A48,DATA!$A:$AG,DATA!$AB$3,FALSE),0)</f>
        <v>#N/A</v>
      </c>
      <c r="N48" s="44" t="e">
        <f>+IF($F48="oui",+VLOOKUP($A48,DATA!$A:$AG,DATA!$AD$3,FALSE),0)</f>
        <v>#N/A</v>
      </c>
      <c r="O48" s="45" t="e">
        <f>+IF($F48="oui",+VLOOKUP($A48,DATA!$A:$AG,DATA!$AF$3,FALSE),0)</f>
        <v>#N/A</v>
      </c>
      <c r="P48" s="116" t="e">
        <f t="shared" si="12"/>
        <v>#N/A</v>
      </c>
      <c r="Q48" s="21" t="e">
        <f>+IF($F48="oui",+VLOOKUP($A48,DATA!$A:$AG,DATA!$Q$3,FALSE),0)</f>
        <v>#N/A</v>
      </c>
      <c r="R48" s="22" t="e">
        <f>+IF($F48="oui",+VLOOKUP($A48,DATA!$A:$AG,DATA!$S$3,FALSE),0)</f>
        <v>#N/A</v>
      </c>
      <c r="S48" s="22" t="e">
        <f>+IF($F48="oui",+VLOOKUP($A48,DATA!$A:$AG,DATA!$U$3,FALSE),0)</f>
        <v>#N/A</v>
      </c>
      <c r="T48" s="22" t="e">
        <f>+IF($F48="oui",+VLOOKUP($A48,DATA!$A:$AG,DATA!$W$3,FALSE),0)</f>
        <v>#N/A</v>
      </c>
      <c r="U48" s="22" t="e">
        <f>+IF($F48="oui",+VLOOKUP($A48,DATA!$A:$AG,DATA!$Y$3,FALSE),0)</f>
        <v>#N/A</v>
      </c>
      <c r="V48" s="22" t="e">
        <f>+IF($F48="oui",+VLOOKUP($A48,DATA!$A:$AG,DATA!$AA$3,FALSE),0)</f>
        <v>#N/A</v>
      </c>
      <c r="W48" s="22" t="e">
        <f>+IF($F48="oui",+VLOOKUP($A48,DATA!$A:$AG,DATA!$AC$3,FALSE),0)</f>
        <v>#N/A</v>
      </c>
      <c r="X48" s="22" t="e">
        <f>+IF($F48="oui",+VLOOKUP($A48,DATA!$A:$AG,DATA!$AE$3,FALSE),0)</f>
        <v>#N/A</v>
      </c>
      <c r="Y48" s="23" t="e">
        <f>+IF($F48="oui",+VLOOKUP($A48,DATA!$A:$AG,DATA!$AG$3,FALSE),0)</f>
        <v>#N/A</v>
      </c>
      <c r="Z48" s="118" t="e">
        <f t="shared" si="20"/>
        <v>#N/A</v>
      </c>
      <c r="AA48" s="43" t="e">
        <f t="shared" si="21"/>
        <v>#N/A</v>
      </c>
      <c r="AB48" s="44" t="e">
        <f t="shared" si="22"/>
        <v>#N/A</v>
      </c>
      <c r="AC48" s="44" t="e">
        <f t="shared" si="23"/>
        <v>#N/A</v>
      </c>
      <c r="AD48" s="44" t="e">
        <f t="shared" si="24"/>
        <v>#N/A</v>
      </c>
      <c r="AE48" s="44" t="e">
        <f t="shared" si="25"/>
        <v>#N/A</v>
      </c>
      <c r="AF48" s="44" t="e">
        <f t="shared" si="26"/>
        <v>#N/A</v>
      </c>
      <c r="AG48" s="44" t="e">
        <f t="shared" si="27"/>
        <v>#N/A</v>
      </c>
      <c r="AH48" s="44" t="e">
        <f t="shared" si="28"/>
        <v>#N/A</v>
      </c>
      <c r="AI48" s="45" t="e">
        <f t="shared" si="29"/>
        <v>#N/A</v>
      </c>
      <c r="AJ48" s="70" t="e">
        <f>+IF(Q48=0," ",+WORKDAY.INTL(+VLOOKUP(AJ$1,POSTE!$B:$G,3,FALSE),+CUM!AA47/+VLOOKUP(AJ$1,POSTE!$B:$H,7,FALSE),,CONGÉ!$C$2:$C$80))</f>
        <v>#N/A</v>
      </c>
      <c r="AK48" s="50" t="e">
        <f>+IF(R48=0," ",+WORKDAY.INTL(+VLOOKUP(AK$1,POSTE!$B:$G,3,FALSE),+CUM!AB47/+VLOOKUP(AK$1,POSTE!$B:$H,7,FALSE),,CONGÉ!$C$2:$C$80))</f>
        <v>#N/A</v>
      </c>
      <c r="AL48" s="50" t="e">
        <f>+IF(S48=0," ",+WORKDAY.INTL(+VLOOKUP(AL$1,POSTE!$B:$G,3,FALSE),+CUM!AC47/+VLOOKUP(AL$1,POSTE!$B:$H,7,FALSE),,CONGÉ!$C$2:$C$80))</f>
        <v>#N/A</v>
      </c>
      <c r="AM48" s="50" t="e">
        <f>+IF(T48=0," ",+WORKDAY.INTL(+VLOOKUP(AM$1,POSTE!$B:$G,3,FALSE),+CUM!AD47/+VLOOKUP(AM$1,POSTE!$B:$H,7,FALSE),,CONGÉ!$C$2:$C$80))</f>
        <v>#N/A</v>
      </c>
      <c r="AN48" s="50" t="e">
        <f>+IF(U48=0," ",+WORKDAY.INTL(+VLOOKUP(AN$1,POSTE!$B:$G,3,FALSE),+CUM!AE47/+VLOOKUP(AN$1,POSTE!$B:$H,7,FALSE),,CONGÉ!$C$2:$C$80))</f>
        <v>#N/A</v>
      </c>
      <c r="AO48" s="50" t="e">
        <f>+IF(V48=0," ",+WORKDAY.INTL(+VLOOKUP(AO$1,POSTE!$B:$G,3,FALSE),+CUM!AF47/+VLOOKUP(AO$1,POSTE!$B:$H,7,FALSE),,CONGÉ!$C$2:$C$80))</f>
        <v>#N/A</v>
      </c>
      <c r="AP48" s="50" t="e">
        <f>+IF(W48=0," ",+WORKDAY.INTL(+VLOOKUP(AP$1,POSTE!$B:$G,3,FALSE),+CUM!AG47/+VLOOKUP(AP$1,POSTE!$B:$H,7,FALSE),,CONGÉ!$C$2:$C$80))</f>
        <v>#N/A</v>
      </c>
      <c r="AQ48" s="50" t="e">
        <f>+IF(X48=0," ",+WORKDAY.INTL(+VLOOKUP(AQ$1,POSTE!$B:$G,3,FALSE),+CUM!AH47/+VLOOKUP(AQ$1,POSTE!$B:$H,7,FALSE),,CONGÉ!$C$2:$C$80))</f>
        <v>#N/A</v>
      </c>
      <c r="AR48" s="71" t="e">
        <f>+IF(Y48=0," ",+WORKDAY.INTL(+VLOOKUP(AR$1,POSTE!$B:$G,3,FALSE),+CUM!AI47/+VLOOKUP(AR$1,POSTE!$B:$H,7,FALSE),,CONGÉ!$C$2:$C$80))</f>
        <v>#N/A</v>
      </c>
      <c r="AS48" s="72" t="e">
        <f>+IF(Q48=0," ",+WORKDAY.INTL(+VLOOKUP(AS$1,POSTE!$B:$G,3,FALSE),+CUM!AA48/+VLOOKUP(AS$1,POSTE!$B:$H,7,FALSE),,CONGÉ!$C$2:$C$80))</f>
        <v>#N/A</v>
      </c>
      <c r="AT48" s="73" t="e">
        <f>+IF(R48=0," ",+WORKDAY.INTL(+VLOOKUP(AT$1,POSTE!$B:$G,3,FALSE),+CUM!AB48/+VLOOKUP(AT$1,POSTE!$B:$H,7,FALSE),,CONGÉ!$C$2:$C$80))</f>
        <v>#N/A</v>
      </c>
      <c r="AU48" s="73" t="e">
        <f>+IF(AND(S48=0,T48=0)," ",+WORKDAY.INTL(+VLOOKUP($AS$1,POSTE!B:J,3,FALSE),+(((AC48*POSTE!$H$5)+(CUM!AD48*POSTE!$H$4))/(POSTE!$H$4*POSTE!$H$5*2)),,CONGÉ!$C$2:$C$80))</f>
        <v>#N/A</v>
      </c>
      <c r="AV48" s="73" t="e">
        <f>+IF(U48=0," ",+WORKDAY.INTL(+VLOOKUP(AV$1,POSTE!$B:$G,3,FALSE),+CUM!AE48/+VLOOKUP(AV$1,POSTE!$B:$H,7,FALSE),,CONGÉ!$C$2:$C$80))</f>
        <v>#N/A</v>
      </c>
      <c r="AW48" s="73" t="e">
        <f>+IF(V48=0," ",+WORKDAY.INTL(+VLOOKUP(AW$1,POSTE!$B:$G,3,FALSE),+CUM!AF48/+VLOOKUP(AW$1,POSTE!$B:$H,7,FALSE),,CONGÉ!$C$2:$C$80))</f>
        <v>#N/A</v>
      </c>
      <c r="AX48" s="73" t="e">
        <f>+IF(W48=0," ",+WORKDAY.INTL(+VLOOKUP(AX$1,POSTE!$B:$G,3,FALSE),+CUM!AG48/+VLOOKUP(AX$1,POSTE!$B:$H,7,FALSE),,CONGÉ!$C$2:$C$80))</f>
        <v>#N/A</v>
      </c>
      <c r="AY48" s="73" t="e">
        <f>+IF(X48=0," ",+WORKDAY.INTL(+VLOOKUP(AY$1,POSTE!$B:$G,3,FALSE),+CUM!AH48/+VLOOKUP(AY$1,POSTE!$B:$H,7,FALSE),,CONGÉ!$C$2:$C$80))</f>
        <v>#N/A</v>
      </c>
      <c r="AZ48" s="73" t="e">
        <f>+IF(Y48=0," ",+WORKDAY.INTL(+VLOOKUP(AZ$1,POSTE!$B:$G,3,FALSE),+CUM!AI48/+VLOOKUP(AZ$1,POSTE!$B:$H,7,FALSE),,CONGÉ!$C$2:$C$80))</f>
        <v>#N/A</v>
      </c>
      <c r="BA48" s="73" t="e">
        <f>+IF(S48=0," ",+WORKDAY.INTL(+VLOOKUP(BA$1,POSTE!$B:$G,3,FALSE),+CUM!AC48/+VLOOKUP(BA$1,POSTE!$B:$H,7,FALSE),,CONGÉ!$C$2:$C$80))</f>
        <v>#N/A</v>
      </c>
      <c r="BB48" s="73" t="e">
        <f>+IF(T48=0," ",+WORKDAY.INTL(+VLOOKUP(BB$1,POSTE!$B:$G,3,FALSE),+CUM!AD48/+VLOOKUP(BB$1,POSTE!$B:$H,7,FALSE),,CONGÉ!$C$2:$C$80))</f>
        <v>#N/A</v>
      </c>
      <c r="BC48" s="70" t="e">
        <f t="shared" si="13"/>
        <v>#N/A</v>
      </c>
      <c r="BD48" s="70" t="e">
        <f t="shared" si="14"/>
        <v>#N/A</v>
      </c>
      <c r="BE48" s="129" t="e">
        <f>+IF($F48="oui",+VLOOKUP($A48,DATA!$A:$AH,DATA!$AH$3,FALSE),0)</f>
        <v>#N/A</v>
      </c>
      <c r="BF48" s="129" t="e">
        <f t="shared" si="15"/>
        <v>#N/A</v>
      </c>
      <c r="BG48" s="136" t="e">
        <f>+IF(BE48&gt;0,+MAX((BH$4:BH47),BD48),"")</f>
        <v>#N/A</v>
      </c>
      <c r="BH48" s="136" t="e">
        <f>+IF(BE48&gt;0,+MAX((BH$4:BH47),+WORKDAY.INTL(BG48,+BE48/8,,CONGÉ!$C$2:$C$73)),"")</f>
        <v>#N/A</v>
      </c>
      <c r="BI48" s="136" t="e">
        <f t="shared" si="16"/>
        <v>#N/A</v>
      </c>
      <c r="BJ48" s="43" t="e">
        <f t="shared" si="30"/>
        <v>#N/A</v>
      </c>
      <c r="BK48" s="77">
        <f t="shared" ca="1" si="17"/>
        <v>45754</v>
      </c>
      <c r="BL48" s="78" t="e">
        <f>+(((AC48*POSTE!$H$5)+(CUM!AD48*POSTE!$H$4))/(POSTE!$H$4*POSTE!$H$5*2))</f>
        <v>#N/A</v>
      </c>
      <c r="BM48" s="90" t="e">
        <f ca="1">+WORKDAY.INTL(BK48,BL48,,CONGÉ!C$4:C$72)</f>
        <v>#N/A</v>
      </c>
      <c r="BN48" s="78" t="e">
        <f t="shared" ca="1" si="18"/>
        <v>#N/A</v>
      </c>
    </row>
    <row r="49" spans="1:66" x14ac:dyDescent="0.25">
      <c r="A49" s="49">
        <f t="shared" si="19"/>
        <v>45</v>
      </c>
      <c r="B49" s="185" cm="1">
        <f t="array" ref="B49">_xlfn.LET(_xlpm.CORR,IF(DATA!$B$4:$B$104="",IF(DATA!$A$4:$A$104="","--",DATA!$A$4:$A$104),DATA!$B$4:$B$104),_xlpm.Rx,SMALL(_xlpm.CORR,A49),IFERROR(MATCH(_xlpm.Rx,_xlpm.CORR,0),0))</f>
        <v>0</v>
      </c>
      <c r="C49" s="18" t="e">
        <f>+VLOOKUP($A49,DATA!$A:$AG,DATA!$E$3,FALSE)</f>
        <v>#N/A</v>
      </c>
      <c r="D49" s="18" t="e">
        <f>+VLOOKUP($A49,DATA!$A:$AG,DATA!$D$3,FALSE)</f>
        <v>#N/A</v>
      </c>
      <c r="E49" s="186" t="e">
        <f>+VLOOKUP($A49,DATA!$A:$AG,DATA!$G$3,FALSE)</f>
        <v>#N/A</v>
      </c>
      <c r="F49" s="19" t="e">
        <f>+VLOOKUP($A49,DATA!$A:$AG,DATA!$O$3,FALSE)</f>
        <v>#N/A</v>
      </c>
      <c r="G49" s="43" t="e">
        <f>+IF($F49="oui",+VLOOKUP($A49,DATA!$A:$AG,DATA!$P$3,FALSE),0)</f>
        <v>#N/A</v>
      </c>
      <c r="H49" s="44" t="e">
        <f>+IF($F49="oui",+VLOOKUP($A49,DATA!$A:$AG,DATA!$R$3,FALSE),0)</f>
        <v>#N/A</v>
      </c>
      <c r="I49" s="44" t="e">
        <f>+IF($F49="oui",+VLOOKUP($A49,DATA!$A:$AG,DATA!$T$3,FALSE),0)</f>
        <v>#N/A</v>
      </c>
      <c r="J49" s="44" t="e">
        <f>+IF($F49="oui",+VLOOKUP($A49,DATA!$A:$AG,DATA!$V$3,FALSE),0)</f>
        <v>#N/A</v>
      </c>
      <c r="K49" s="44" t="e">
        <f>+IF($F49="oui",+VLOOKUP($A49,DATA!$A:$AG,DATA!$X$3,FALSE),0)</f>
        <v>#N/A</v>
      </c>
      <c r="L49" s="44" t="e">
        <f>+IF($F49="oui",+VLOOKUP($A49,DATA!$A:$AG,DATA!$Z$3,FALSE),0)</f>
        <v>#N/A</v>
      </c>
      <c r="M49" s="44" t="e">
        <f>+IF($F49="oui",+VLOOKUP($A49,DATA!$A:$AG,DATA!$AB$3,FALSE),0)</f>
        <v>#N/A</v>
      </c>
      <c r="N49" s="44" t="e">
        <f>+IF($F49="oui",+VLOOKUP($A49,DATA!$A:$AG,DATA!$AD$3,FALSE),0)</f>
        <v>#N/A</v>
      </c>
      <c r="O49" s="45" t="e">
        <f>+IF($F49="oui",+VLOOKUP($A49,DATA!$A:$AG,DATA!$AF$3,FALSE),0)</f>
        <v>#N/A</v>
      </c>
      <c r="P49" s="116" t="e">
        <f t="shared" si="12"/>
        <v>#N/A</v>
      </c>
      <c r="Q49" s="21" t="e">
        <f>+IF($F49="oui",+VLOOKUP($A49,DATA!$A:$AG,DATA!$Q$3,FALSE),0)</f>
        <v>#N/A</v>
      </c>
      <c r="R49" s="22" t="e">
        <f>+IF($F49="oui",+VLOOKUP($A49,DATA!$A:$AG,DATA!$S$3,FALSE),0)</f>
        <v>#N/A</v>
      </c>
      <c r="S49" s="22" t="e">
        <f>+IF($F49="oui",+VLOOKUP($A49,DATA!$A:$AG,DATA!$U$3,FALSE),0)</f>
        <v>#N/A</v>
      </c>
      <c r="T49" s="22" t="e">
        <f>+IF($F49="oui",+VLOOKUP($A49,DATA!$A:$AG,DATA!$W$3,FALSE),0)</f>
        <v>#N/A</v>
      </c>
      <c r="U49" s="22" t="e">
        <f>+IF($F49="oui",+VLOOKUP($A49,DATA!$A:$AG,DATA!$Y$3,FALSE),0)</f>
        <v>#N/A</v>
      </c>
      <c r="V49" s="22" t="e">
        <f>+IF($F49="oui",+VLOOKUP($A49,DATA!$A:$AG,DATA!$AA$3,FALSE),0)</f>
        <v>#N/A</v>
      </c>
      <c r="W49" s="22" t="e">
        <f>+IF($F49="oui",+VLOOKUP($A49,DATA!$A:$AG,DATA!$AC$3,FALSE),0)</f>
        <v>#N/A</v>
      </c>
      <c r="X49" s="22" t="e">
        <f>+IF($F49="oui",+VLOOKUP($A49,DATA!$A:$AG,DATA!$AE$3,FALSE),0)</f>
        <v>#N/A</v>
      </c>
      <c r="Y49" s="23" t="e">
        <f>+IF($F49="oui",+VLOOKUP($A49,DATA!$A:$AG,DATA!$AG$3,FALSE),0)</f>
        <v>#N/A</v>
      </c>
      <c r="Z49" s="118" t="e">
        <f t="shared" si="20"/>
        <v>#N/A</v>
      </c>
      <c r="AA49" s="43" t="e">
        <f t="shared" si="21"/>
        <v>#N/A</v>
      </c>
      <c r="AB49" s="44" t="e">
        <f t="shared" si="22"/>
        <v>#N/A</v>
      </c>
      <c r="AC49" s="44" t="e">
        <f t="shared" si="23"/>
        <v>#N/A</v>
      </c>
      <c r="AD49" s="44" t="e">
        <f t="shared" si="24"/>
        <v>#N/A</v>
      </c>
      <c r="AE49" s="44" t="e">
        <f t="shared" si="25"/>
        <v>#N/A</v>
      </c>
      <c r="AF49" s="44" t="e">
        <f t="shared" si="26"/>
        <v>#N/A</v>
      </c>
      <c r="AG49" s="44" t="e">
        <f t="shared" si="27"/>
        <v>#N/A</v>
      </c>
      <c r="AH49" s="44" t="e">
        <f t="shared" si="28"/>
        <v>#N/A</v>
      </c>
      <c r="AI49" s="45" t="e">
        <f t="shared" si="29"/>
        <v>#N/A</v>
      </c>
      <c r="AJ49" s="70" t="e">
        <f>+IF(Q49=0," ",+WORKDAY.INTL(+VLOOKUP(AJ$1,POSTE!$B:$G,3,FALSE),+CUM!AA48/+VLOOKUP(AJ$1,POSTE!$B:$H,7,FALSE),,CONGÉ!$C$2:$C$80))</f>
        <v>#N/A</v>
      </c>
      <c r="AK49" s="50" t="e">
        <f>+IF(R49=0," ",+WORKDAY.INTL(+VLOOKUP(AK$1,POSTE!$B:$G,3,FALSE),+CUM!AB48/+VLOOKUP(AK$1,POSTE!$B:$H,7,FALSE),,CONGÉ!$C$2:$C$80))</f>
        <v>#N/A</v>
      </c>
      <c r="AL49" s="50" t="e">
        <f>+IF(S49=0," ",+WORKDAY.INTL(+VLOOKUP(AL$1,POSTE!$B:$G,3,FALSE),+CUM!AC48/+VLOOKUP(AL$1,POSTE!$B:$H,7,FALSE),,CONGÉ!$C$2:$C$80))</f>
        <v>#N/A</v>
      </c>
      <c r="AM49" s="50" t="e">
        <f>+IF(T49=0," ",+WORKDAY.INTL(+VLOOKUP(AM$1,POSTE!$B:$G,3,FALSE),+CUM!AD48/+VLOOKUP(AM$1,POSTE!$B:$H,7,FALSE),,CONGÉ!$C$2:$C$80))</f>
        <v>#N/A</v>
      </c>
      <c r="AN49" s="50" t="e">
        <f>+IF(U49=0," ",+WORKDAY.INTL(+VLOOKUP(AN$1,POSTE!$B:$G,3,FALSE),+CUM!AE48/+VLOOKUP(AN$1,POSTE!$B:$H,7,FALSE),,CONGÉ!$C$2:$C$80))</f>
        <v>#N/A</v>
      </c>
      <c r="AO49" s="50" t="e">
        <f>+IF(V49=0," ",+WORKDAY.INTL(+VLOOKUP(AO$1,POSTE!$B:$G,3,FALSE),+CUM!AF48/+VLOOKUP(AO$1,POSTE!$B:$H,7,FALSE),,CONGÉ!$C$2:$C$80))</f>
        <v>#N/A</v>
      </c>
      <c r="AP49" s="50" t="e">
        <f>+IF(W49=0," ",+WORKDAY.INTL(+VLOOKUP(AP$1,POSTE!$B:$G,3,FALSE),+CUM!AG48/+VLOOKUP(AP$1,POSTE!$B:$H,7,FALSE),,CONGÉ!$C$2:$C$80))</f>
        <v>#N/A</v>
      </c>
      <c r="AQ49" s="50" t="e">
        <f>+IF(X49=0," ",+WORKDAY.INTL(+VLOOKUP(AQ$1,POSTE!$B:$G,3,FALSE),+CUM!AH48/+VLOOKUP(AQ$1,POSTE!$B:$H,7,FALSE),,CONGÉ!$C$2:$C$80))</f>
        <v>#N/A</v>
      </c>
      <c r="AR49" s="71" t="e">
        <f>+IF(Y49=0," ",+WORKDAY.INTL(+VLOOKUP(AR$1,POSTE!$B:$G,3,FALSE),+CUM!AI48/+VLOOKUP(AR$1,POSTE!$B:$H,7,FALSE),,CONGÉ!$C$2:$C$80))</f>
        <v>#N/A</v>
      </c>
      <c r="AS49" s="72" t="e">
        <f>+IF(Q49=0," ",+WORKDAY.INTL(+VLOOKUP(AS$1,POSTE!$B:$G,3,FALSE),+CUM!AA49/+VLOOKUP(AS$1,POSTE!$B:$H,7,FALSE),,CONGÉ!$C$2:$C$80))</f>
        <v>#N/A</v>
      </c>
      <c r="AT49" s="73" t="e">
        <f>+IF(R49=0," ",+WORKDAY.INTL(+VLOOKUP(AT$1,POSTE!$B:$G,3,FALSE),+CUM!AB49/+VLOOKUP(AT$1,POSTE!$B:$H,7,FALSE),,CONGÉ!$C$2:$C$80))</f>
        <v>#N/A</v>
      </c>
      <c r="AU49" s="73" t="e">
        <f>+IF(AND(S49=0,T49=0)," ",+WORKDAY.INTL(+VLOOKUP($AS$1,POSTE!B:J,3,FALSE),+(((AC49*POSTE!$H$5)+(CUM!AD49*POSTE!$H$4))/(POSTE!$H$4*POSTE!$H$5*2)),,CONGÉ!$C$2:$C$80))</f>
        <v>#N/A</v>
      </c>
      <c r="AV49" s="73" t="e">
        <f>+IF(U49=0," ",+WORKDAY.INTL(+VLOOKUP(AV$1,POSTE!$B:$G,3,FALSE),+CUM!AE49/+VLOOKUP(AV$1,POSTE!$B:$H,7,FALSE),,CONGÉ!$C$2:$C$80))</f>
        <v>#N/A</v>
      </c>
      <c r="AW49" s="73" t="e">
        <f>+IF(V49=0," ",+WORKDAY.INTL(+VLOOKUP(AW$1,POSTE!$B:$G,3,FALSE),+CUM!AF49/+VLOOKUP(AW$1,POSTE!$B:$H,7,FALSE),,CONGÉ!$C$2:$C$80))</f>
        <v>#N/A</v>
      </c>
      <c r="AX49" s="73" t="e">
        <f>+IF(W49=0," ",+WORKDAY.INTL(+VLOOKUP(AX$1,POSTE!$B:$G,3,FALSE),+CUM!AG49/+VLOOKUP(AX$1,POSTE!$B:$H,7,FALSE),,CONGÉ!$C$2:$C$80))</f>
        <v>#N/A</v>
      </c>
      <c r="AY49" s="73" t="e">
        <f>+IF(X49=0," ",+WORKDAY.INTL(+VLOOKUP(AY$1,POSTE!$B:$G,3,FALSE),+CUM!AH49/+VLOOKUP(AY$1,POSTE!$B:$H,7,FALSE),,CONGÉ!$C$2:$C$80))</f>
        <v>#N/A</v>
      </c>
      <c r="AZ49" s="73" t="e">
        <f>+IF(Y49=0," ",+WORKDAY.INTL(+VLOOKUP(AZ$1,POSTE!$B:$G,3,FALSE),+CUM!AI49/+VLOOKUP(AZ$1,POSTE!$B:$H,7,FALSE),,CONGÉ!$C$2:$C$80))</f>
        <v>#N/A</v>
      </c>
      <c r="BA49" s="73" t="e">
        <f>+IF(S49=0," ",+WORKDAY.INTL(+VLOOKUP(BA$1,POSTE!$B:$G,3,FALSE),+CUM!AC49/+VLOOKUP(BA$1,POSTE!$B:$H,7,FALSE),,CONGÉ!$C$2:$C$80))</f>
        <v>#N/A</v>
      </c>
      <c r="BB49" s="73" t="e">
        <f>+IF(T49=0," ",+WORKDAY.INTL(+VLOOKUP(BB$1,POSTE!$B:$G,3,FALSE),+CUM!AD49/+VLOOKUP(BB$1,POSTE!$B:$H,7,FALSE),,CONGÉ!$C$2:$C$80))</f>
        <v>#N/A</v>
      </c>
      <c r="BC49" s="70" t="e">
        <f t="shared" si="13"/>
        <v>#N/A</v>
      </c>
      <c r="BD49" s="70" t="e">
        <f t="shared" si="14"/>
        <v>#N/A</v>
      </c>
      <c r="BE49" s="129" t="e">
        <f>+IF($F49="oui",+VLOOKUP($A49,DATA!$A:$AH,DATA!$AH$3,FALSE),0)</f>
        <v>#N/A</v>
      </c>
      <c r="BF49" s="129" t="e">
        <f t="shared" si="15"/>
        <v>#N/A</v>
      </c>
      <c r="BG49" s="136" t="e">
        <f>+IF(BE49&gt;0,+MAX((BH$4:BH48),BD49),"")</f>
        <v>#N/A</v>
      </c>
      <c r="BH49" s="136" t="e">
        <f>+IF(BE49&gt;0,+MAX((BH$4:BH48),+WORKDAY.INTL(BG49,+BE49/8,,CONGÉ!$C$2:$C$73)),"")</f>
        <v>#N/A</v>
      </c>
      <c r="BI49" s="136" t="e">
        <f t="shared" si="16"/>
        <v>#N/A</v>
      </c>
      <c r="BJ49" s="43" t="e">
        <f t="shared" si="30"/>
        <v>#N/A</v>
      </c>
      <c r="BK49" s="77">
        <f t="shared" ca="1" si="17"/>
        <v>45754</v>
      </c>
      <c r="BL49" s="78" t="e">
        <f>+(((AC49*POSTE!$H$5)+(CUM!AD49*POSTE!$H$4))/(POSTE!$H$4*POSTE!$H$5*2))</f>
        <v>#N/A</v>
      </c>
      <c r="BM49" s="90" t="e">
        <f ca="1">+WORKDAY.INTL(BK49,BL49,,CONGÉ!C$4:C$72)</f>
        <v>#N/A</v>
      </c>
      <c r="BN49" s="78" t="e">
        <f t="shared" ca="1" si="18"/>
        <v>#N/A</v>
      </c>
    </row>
    <row r="50" spans="1:66" x14ac:dyDescent="0.25">
      <c r="A50" s="49">
        <f t="shared" si="19"/>
        <v>46</v>
      </c>
      <c r="B50" s="185" cm="1">
        <f t="array" ref="B50">_xlfn.LET(_xlpm.CORR,IF(DATA!$B$4:$B$104="",IF(DATA!$A$4:$A$104="","--",DATA!$A$4:$A$104),DATA!$B$4:$B$104),_xlpm.Rx,SMALL(_xlpm.CORR,A50),IFERROR(MATCH(_xlpm.Rx,_xlpm.CORR,0),0))</f>
        <v>0</v>
      </c>
      <c r="C50" s="18" t="e">
        <f>+VLOOKUP($A50,DATA!$A:$AG,DATA!$E$3,FALSE)</f>
        <v>#N/A</v>
      </c>
      <c r="D50" s="18" t="e">
        <f>+VLOOKUP($A50,DATA!$A:$AG,DATA!$D$3,FALSE)</f>
        <v>#N/A</v>
      </c>
      <c r="E50" s="186" t="e">
        <f>+VLOOKUP($A50,DATA!$A:$AG,DATA!$G$3,FALSE)</f>
        <v>#N/A</v>
      </c>
      <c r="F50" s="19" t="e">
        <f>+VLOOKUP($A50,DATA!$A:$AG,DATA!$O$3,FALSE)</f>
        <v>#N/A</v>
      </c>
      <c r="G50" s="43" t="e">
        <f>+IF($F50="oui",+VLOOKUP($A50,DATA!$A:$AG,DATA!$P$3,FALSE),0)</f>
        <v>#N/A</v>
      </c>
      <c r="H50" s="44" t="e">
        <f>+IF($F50="oui",+VLOOKUP($A50,DATA!$A:$AG,DATA!$R$3,FALSE),0)</f>
        <v>#N/A</v>
      </c>
      <c r="I50" s="44" t="e">
        <f>+IF($F50="oui",+VLOOKUP($A50,DATA!$A:$AG,DATA!$T$3,FALSE),0)</f>
        <v>#N/A</v>
      </c>
      <c r="J50" s="44" t="e">
        <f>+IF($F50="oui",+VLOOKUP($A50,DATA!$A:$AG,DATA!$V$3,FALSE),0)</f>
        <v>#N/A</v>
      </c>
      <c r="K50" s="44" t="e">
        <f>+IF($F50="oui",+VLOOKUP($A50,DATA!$A:$AG,DATA!$X$3,FALSE),0)</f>
        <v>#N/A</v>
      </c>
      <c r="L50" s="44" t="e">
        <f>+IF($F50="oui",+VLOOKUP($A50,DATA!$A:$AG,DATA!$Z$3,FALSE),0)</f>
        <v>#N/A</v>
      </c>
      <c r="M50" s="44" t="e">
        <f>+IF($F50="oui",+VLOOKUP($A50,DATA!$A:$AG,DATA!$AB$3,FALSE),0)</f>
        <v>#N/A</v>
      </c>
      <c r="N50" s="44" t="e">
        <f>+IF($F50="oui",+VLOOKUP($A50,DATA!$A:$AG,DATA!$AD$3,FALSE),0)</f>
        <v>#N/A</v>
      </c>
      <c r="O50" s="45" t="e">
        <f>+IF($F50="oui",+VLOOKUP($A50,DATA!$A:$AG,DATA!$AF$3,FALSE),0)</f>
        <v>#N/A</v>
      </c>
      <c r="P50" s="116" t="e">
        <f t="shared" si="12"/>
        <v>#N/A</v>
      </c>
      <c r="Q50" s="21" t="e">
        <f>+IF($F50="oui",+VLOOKUP($A50,DATA!$A:$AG,DATA!$Q$3,FALSE),0)</f>
        <v>#N/A</v>
      </c>
      <c r="R50" s="22" t="e">
        <f>+IF($F50="oui",+VLOOKUP($A50,DATA!$A:$AG,DATA!$S$3,FALSE),0)</f>
        <v>#N/A</v>
      </c>
      <c r="S50" s="22" t="e">
        <f>+IF($F50="oui",+VLOOKUP($A50,DATA!$A:$AG,DATA!$U$3,FALSE),0)</f>
        <v>#N/A</v>
      </c>
      <c r="T50" s="22" t="e">
        <f>+IF($F50="oui",+VLOOKUP($A50,DATA!$A:$AG,DATA!$W$3,FALSE),0)</f>
        <v>#N/A</v>
      </c>
      <c r="U50" s="22" t="e">
        <f>+IF($F50="oui",+VLOOKUP($A50,DATA!$A:$AG,DATA!$Y$3,FALSE),0)</f>
        <v>#N/A</v>
      </c>
      <c r="V50" s="22" t="e">
        <f>+IF($F50="oui",+VLOOKUP($A50,DATA!$A:$AG,DATA!$AA$3,FALSE),0)</f>
        <v>#N/A</v>
      </c>
      <c r="W50" s="22" t="e">
        <f>+IF($F50="oui",+VLOOKUP($A50,DATA!$A:$AG,DATA!$AC$3,FALSE),0)</f>
        <v>#N/A</v>
      </c>
      <c r="X50" s="22" t="e">
        <f>+IF($F50="oui",+VLOOKUP($A50,DATA!$A:$AG,DATA!$AE$3,FALSE),0)</f>
        <v>#N/A</v>
      </c>
      <c r="Y50" s="23" t="e">
        <f>+IF($F50="oui",+VLOOKUP($A50,DATA!$A:$AG,DATA!$AG$3,FALSE),0)</f>
        <v>#N/A</v>
      </c>
      <c r="Z50" s="118" t="e">
        <f t="shared" si="20"/>
        <v>#N/A</v>
      </c>
      <c r="AA50" s="43" t="e">
        <f t="shared" si="21"/>
        <v>#N/A</v>
      </c>
      <c r="AB50" s="44" t="e">
        <f t="shared" si="22"/>
        <v>#N/A</v>
      </c>
      <c r="AC50" s="44" t="e">
        <f t="shared" si="23"/>
        <v>#N/A</v>
      </c>
      <c r="AD50" s="44" t="e">
        <f t="shared" si="24"/>
        <v>#N/A</v>
      </c>
      <c r="AE50" s="44" t="e">
        <f t="shared" si="25"/>
        <v>#N/A</v>
      </c>
      <c r="AF50" s="44" t="e">
        <f t="shared" si="26"/>
        <v>#N/A</v>
      </c>
      <c r="AG50" s="44" t="e">
        <f t="shared" si="27"/>
        <v>#N/A</v>
      </c>
      <c r="AH50" s="44" t="e">
        <f t="shared" si="28"/>
        <v>#N/A</v>
      </c>
      <c r="AI50" s="45" t="e">
        <f t="shared" si="29"/>
        <v>#N/A</v>
      </c>
      <c r="AJ50" s="70" t="e">
        <f>+IF(Q50=0," ",+WORKDAY.INTL(+VLOOKUP(AJ$1,POSTE!$B:$G,3,FALSE),+CUM!AA49/+VLOOKUP(AJ$1,POSTE!$B:$H,7,FALSE),,CONGÉ!$C$2:$C$80))</f>
        <v>#N/A</v>
      </c>
      <c r="AK50" s="50" t="e">
        <f>+IF(R50=0," ",+WORKDAY.INTL(+VLOOKUP(AK$1,POSTE!$B:$G,3,FALSE),+CUM!AB49/+VLOOKUP(AK$1,POSTE!$B:$H,7,FALSE),,CONGÉ!$C$2:$C$80))</f>
        <v>#N/A</v>
      </c>
      <c r="AL50" s="50" t="e">
        <f>+IF(S50=0," ",+WORKDAY.INTL(+VLOOKUP(AL$1,POSTE!$B:$G,3,FALSE),+CUM!AC49/+VLOOKUP(AL$1,POSTE!$B:$H,7,FALSE),,CONGÉ!$C$2:$C$80))</f>
        <v>#N/A</v>
      </c>
      <c r="AM50" s="50" t="e">
        <f>+IF(T50=0," ",+WORKDAY.INTL(+VLOOKUP(AM$1,POSTE!$B:$G,3,FALSE),+CUM!AD49/+VLOOKUP(AM$1,POSTE!$B:$H,7,FALSE),,CONGÉ!$C$2:$C$80))</f>
        <v>#N/A</v>
      </c>
      <c r="AN50" s="50" t="e">
        <f>+IF(U50=0," ",+WORKDAY.INTL(+VLOOKUP(AN$1,POSTE!$B:$G,3,FALSE),+CUM!AE49/+VLOOKUP(AN$1,POSTE!$B:$H,7,FALSE),,CONGÉ!$C$2:$C$80))</f>
        <v>#N/A</v>
      </c>
      <c r="AO50" s="50" t="e">
        <f>+IF(V50=0," ",+WORKDAY.INTL(+VLOOKUP(AO$1,POSTE!$B:$G,3,FALSE),+CUM!AF49/+VLOOKUP(AO$1,POSTE!$B:$H,7,FALSE),,CONGÉ!$C$2:$C$80))</f>
        <v>#N/A</v>
      </c>
      <c r="AP50" s="50" t="e">
        <f>+IF(W50=0," ",+WORKDAY.INTL(+VLOOKUP(AP$1,POSTE!$B:$G,3,FALSE),+CUM!AG49/+VLOOKUP(AP$1,POSTE!$B:$H,7,FALSE),,CONGÉ!$C$2:$C$80))</f>
        <v>#N/A</v>
      </c>
      <c r="AQ50" s="50" t="e">
        <f>+IF(X50=0," ",+WORKDAY.INTL(+VLOOKUP(AQ$1,POSTE!$B:$G,3,FALSE),+CUM!AH49/+VLOOKUP(AQ$1,POSTE!$B:$H,7,FALSE),,CONGÉ!$C$2:$C$80))</f>
        <v>#N/A</v>
      </c>
      <c r="AR50" s="71" t="e">
        <f>+IF(Y50=0," ",+WORKDAY.INTL(+VLOOKUP(AR$1,POSTE!$B:$G,3,FALSE),+CUM!AI49/+VLOOKUP(AR$1,POSTE!$B:$H,7,FALSE),,CONGÉ!$C$2:$C$80))</f>
        <v>#N/A</v>
      </c>
      <c r="AS50" s="72" t="e">
        <f>+IF(Q50=0," ",+WORKDAY.INTL(+VLOOKUP(AS$1,POSTE!$B:$G,3,FALSE),+CUM!AA50/+VLOOKUP(AS$1,POSTE!$B:$H,7,FALSE),,CONGÉ!$C$2:$C$80))</f>
        <v>#N/A</v>
      </c>
      <c r="AT50" s="73" t="e">
        <f>+IF(R50=0," ",+WORKDAY.INTL(+VLOOKUP(AT$1,POSTE!$B:$G,3,FALSE),+CUM!AB50/+VLOOKUP(AT$1,POSTE!$B:$H,7,FALSE),,CONGÉ!$C$2:$C$80))</f>
        <v>#N/A</v>
      </c>
      <c r="AU50" s="73" t="e">
        <f>+IF(AND(S50=0,T50=0)," ",+WORKDAY.INTL(+VLOOKUP($AS$1,POSTE!B:J,3,FALSE),+(((AC50*POSTE!$H$5)+(CUM!AD50*POSTE!$H$4))/(POSTE!$H$4*POSTE!$H$5*2)),,CONGÉ!$C$2:$C$80))</f>
        <v>#N/A</v>
      </c>
      <c r="AV50" s="73" t="e">
        <f>+IF(U50=0," ",+WORKDAY.INTL(+VLOOKUP(AV$1,POSTE!$B:$G,3,FALSE),+CUM!AE50/+VLOOKUP(AV$1,POSTE!$B:$H,7,FALSE),,CONGÉ!$C$2:$C$80))</f>
        <v>#N/A</v>
      </c>
      <c r="AW50" s="73" t="e">
        <f>+IF(V50=0," ",+WORKDAY.INTL(+VLOOKUP(AW$1,POSTE!$B:$G,3,FALSE),+CUM!AF50/+VLOOKUP(AW$1,POSTE!$B:$H,7,FALSE),,CONGÉ!$C$2:$C$80))</f>
        <v>#N/A</v>
      </c>
      <c r="AX50" s="73" t="e">
        <f>+IF(W50=0," ",+WORKDAY.INTL(+VLOOKUP(AX$1,POSTE!$B:$G,3,FALSE),+CUM!AG50/+VLOOKUP(AX$1,POSTE!$B:$H,7,FALSE),,CONGÉ!$C$2:$C$80))</f>
        <v>#N/A</v>
      </c>
      <c r="AY50" s="73" t="e">
        <f>+IF(X50=0," ",+WORKDAY.INTL(+VLOOKUP(AY$1,POSTE!$B:$G,3,FALSE),+CUM!AH50/+VLOOKUP(AY$1,POSTE!$B:$H,7,FALSE),,CONGÉ!$C$2:$C$80))</f>
        <v>#N/A</v>
      </c>
      <c r="AZ50" s="73" t="e">
        <f>+IF(Y50=0," ",+WORKDAY.INTL(+VLOOKUP(AZ$1,POSTE!$B:$G,3,FALSE),+CUM!AI50/+VLOOKUP(AZ$1,POSTE!$B:$H,7,FALSE),,CONGÉ!$C$2:$C$80))</f>
        <v>#N/A</v>
      </c>
      <c r="BA50" s="73" t="e">
        <f>+IF(S50=0," ",+WORKDAY.INTL(+VLOOKUP(BA$1,POSTE!$B:$G,3,FALSE),+CUM!AC50/+VLOOKUP(BA$1,POSTE!$B:$H,7,FALSE),,CONGÉ!$C$2:$C$80))</f>
        <v>#N/A</v>
      </c>
      <c r="BB50" s="73" t="e">
        <f>+IF(T50=0," ",+WORKDAY.INTL(+VLOOKUP(BB$1,POSTE!$B:$G,3,FALSE),+CUM!AD50/+VLOOKUP(BB$1,POSTE!$B:$H,7,FALSE),,CONGÉ!$C$2:$C$80))</f>
        <v>#N/A</v>
      </c>
      <c r="BC50" s="70" t="e">
        <f t="shared" si="13"/>
        <v>#N/A</v>
      </c>
      <c r="BD50" s="70" t="e">
        <f t="shared" si="14"/>
        <v>#N/A</v>
      </c>
      <c r="BE50" s="129" t="e">
        <f>+IF($F50="oui",+VLOOKUP($A50,DATA!$A:$AH,DATA!$AH$3,FALSE),0)</f>
        <v>#N/A</v>
      </c>
      <c r="BF50" s="129" t="e">
        <f t="shared" si="15"/>
        <v>#N/A</v>
      </c>
      <c r="BG50" s="136" t="e">
        <f>+IF(BE50&gt;0,+MAX((BH$4:BH49),BD50),"")</f>
        <v>#N/A</v>
      </c>
      <c r="BH50" s="136" t="e">
        <f>+IF(BE50&gt;0,+MAX((BH$4:BH49),+WORKDAY.INTL(BG50,+BE50/8,,CONGÉ!$C$2:$C$73)),"")</f>
        <v>#N/A</v>
      </c>
      <c r="BI50" s="136" t="e">
        <f t="shared" si="16"/>
        <v>#N/A</v>
      </c>
      <c r="BJ50" s="43" t="e">
        <f t="shared" si="30"/>
        <v>#N/A</v>
      </c>
      <c r="BK50" s="77">
        <f t="shared" ca="1" si="17"/>
        <v>45754</v>
      </c>
      <c r="BL50" s="78" t="e">
        <f>+(((AC50*POSTE!$H$5)+(CUM!AD50*POSTE!$H$4))/(POSTE!$H$4*POSTE!$H$5*2))</f>
        <v>#N/A</v>
      </c>
      <c r="BM50" s="90" t="e">
        <f ca="1">+WORKDAY.INTL(BK50,BL50,,CONGÉ!C$4:C$72)</f>
        <v>#N/A</v>
      </c>
      <c r="BN50" s="78" t="e">
        <f t="shared" ca="1" si="18"/>
        <v>#N/A</v>
      </c>
    </row>
    <row r="51" spans="1:66" x14ac:dyDescent="0.25">
      <c r="A51" s="49">
        <f t="shared" si="19"/>
        <v>47</v>
      </c>
      <c r="B51" s="185" cm="1">
        <f t="array" ref="B51">_xlfn.LET(_xlpm.CORR,IF(DATA!$B$4:$B$104="",IF(DATA!$A$4:$A$104="","--",DATA!$A$4:$A$104),DATA!$B$4:$B$104),_xlpm.Rx,SMALL(_xlpm.CORR,A51),IFERROR(MATCH(_xlpm.Rx,_xlpm.CORR,0),0))</f>
        <v>0</v>
      </c>
      <c r="C51" s="18" t="e">
        <f>+VLOOKUP($A51,DATA!$A:$AG,DATA!$E$3,FALSE)</f>
        <v>#N/A</v>
      </c>
      <c r="D51" s="18" t="e">
        <f>+VLOOKUP($A51,DATA!$A:$AG,DATA!$D$3,FALSE)</f>
        <v>#N/A</v>
      </c>
      <c r="E51" s="186" t="e">
        <f>+VLOOKUP($A51,DATA!$A:$AG,DATA!$G$3,FALSE)</f>
        <v>#N/A</v>
      </c>
      <c r="F51" s="19" t="e">
        <f>+VLOOKUP($A51,DATA!$A:$AG,DATA!$O$3,FALSE)</f>
        <v>#N/A</v>
      </c>
      <c r="G51" s="43" t="e">
        <f>+IF($F51="oui",+VLOOKUP($A51,DATA!$A:$AG,DATA!$P$3,FALSE),0)</f>
        <v>#N/A</v>
      </c>
      <c r="H51" s="44" t="e">
        <f>+IF($F51="oui",+VLOOKUP($A51,DATA!$A:$AG,DATA!$R$3,FALSE),0)</f>
        <v>#N/A</v>
      </c>
      <c r="I51" s="44" t="e">
        <f>+IF($F51="oui",+VLOOKUP($A51,DATA!$A:$AG,DATA!$T$3,FALSE),0)</f>
        <v>#N/A</v>
      </c>
      <c r="J51" s="44" t="e">
        <f>+IF($F51="oui",+VLOOKUP($A51,DATA!$A:$AG,DATA!$V$3,FALSE),0)</f>
        <v>#N/A</v>
      </c>
      <c r="K51" s="44" t="e">
        <f>+IF($F51="oui",+VLOOKUP($A51,DATA!$A:$AG,DATA!$X$3,FALSE),0)</f>
        <v>#N/A</v>
      </c>
      <c r="L51" s="44" t="e">
        <f>+IF($F51="oui",+VLOOKUP($A51,DATA!$A:$AG,DATA!$Z$3,FALSE),0)</f>
        <v>#N/A</v>
      </c>
      <c r="M51" s="44" t="e">
        <f>+IF($F51="oui",+VLOOKUP($A51,DATA!$A:$AG,DATA!$AB$3,FALSE),0)</f>
        <v>#N/A</v>
      </c>
      <c r="N51" s="44" t="e">
        <f>+IF($F51="oui",+VLOOKUP($A51,DATA!$A:$AG,DATA!$AD$3,FALSE),0)</f>
        <v>#N/A</v>
      </c>
      <c r="O51" s="45" t="e">
        <f>+IF($F51="oui",+VLOOKUP($A51,DATA!$A:$AG,DATA!$AF$3,FALSE),0)</f>
        <v>#N/A</v>
      </c>
      <c r="P51" s="116" t="e">
        <f t="shared" si="12"/>
        <v>#N/A</v>
      </c>
      <c r="Q51" s="21" t="e">
        <f>+IF($F51="oui",+VLOOKUP($A51,DATA!$A:$AG,DATA!$Q$3,FALSE),0)</f>
        <v>#N/A</v>
      </c>
      <c r="R51" s="22" t="e">
        <f>+IF($F51="oui",+VLOOKUP($A51,DATA!$A:$AG,DATA!$S$3,FALSE),0)</f>
        <v>#N/A</v>
      </c>
      <c r="S51" s="22" t="e">
        <f>+IF($F51="oui",+VLOOKUP($A51,DATA!$A:$AG,DATA!$U$3,FALSE),0)</f>
        <v>#N/A</v>
      </c>
      <c r="T51" s="22" t="e">
        <f>+IF($F51="oui",+VLOOKUP($A51,DATA!$A:$AG,DATA!$W$3,FALSE),0)</f>
        <v>#N/A</v>
      </c>
      <c r="U51" s="22" t="e">
        <f>+IF($F51="oui",+VLOOKUP($A51,DATA!$A:$AG,DATA!$Y$3,FALSE),0)</f>
        <v>#N/A</v>
      </c>
      <c r="V51" s="22" t="e">
        <f>+IF($F51="oui",+VLOOKUP($A51,DATA!$A:$AG,DATA!$AA$3,FALSE),0)</f>
        <v>#N/A</v>
      </c>
      <c r="W51" s="22" t="e">
        <f>+IF($F51="oui",+VLOOKUP($A51,DATA!$A:$AG,DATA!$AC$3,FALSE),0)</f>
        <v>#N/A</v>
      </c>
      <c r="X51" s="22" t="e">
        <f>+IF($F51="oui",+VLOOKUP($A51,DATA!$A:$AG,DATA!$AE$3,FALSE),0)</f>
        <v>#N/A</v>
      </c>
      <c r="Y51" s="23" t="e">
        <f>+IF($F51="oui",+VLOOKUP($A51,DATA!$A:$AG,DATA!$AG$3,FALSE),0)</f>
        <v>#N/A</v>
      </c>
      <c r="Z51" s="118" t="e">
        <f t="shared" si="20"/>
        <v>#N/A</v>
      </c>
      <c r="AA51" s="43" t="e">
        <f t="shared" si="21"/>
        <v>#N/A</v>
      </c>
      <c r="AB51" s="44" t="e">
        <f t="shared" si="22"/>
        <v>#N/A</v>
      </c>
      <c r="AC51" s="44" t="e">
        <f t="shared" si="23"/>
        <v>#N/A</v>
      </c>
      <c r="AD51" s="44" t="e">
        <f t="shared" si="24"/>
        <v>#N/A</v>
      </c>
      <c r="AE51" s="44" t="e">
        <f t="shared" si="25"/>
        <v>#N/A</v>
      </c>
      <c r="AF51" s="44" t="e">
        <f t="shared" si="26"/>
        <v>#N/A</v>
      </c>
      <c r="AG51" s="44" t="e">
        <f t="shared" si="27"/>
        <v>#N/A</v>
      </c>
      <c r="AH51" s="44" t="e">
        <f t="shared" si="28"/>
        <v>#N/A</v>
      </c>
      <c r="AI51" s="45" t="e">
        <f t="shared" si="29"/>
        <v>#N/A</v>
      </c>
      <c r="AJ51" s="70" t="e">
        <f>+IF(Q51=0," ",+WORKDAY.INTL(+VLOOKUP(AJ$1,POSTE!$B:$G,3,FALSE),+CUM!AA50/+VLOOKUP(AJ$1,POSTE!$B:$H,7,FALSE),,CONGÉ!$C$2:$C$80))</f>
        <v>#N/A</v>
      </c>
      <c r="AK51" s="50" t="e">
        <f>+IF(R51=0," ",+WORKDAY.INTL(+VLOOKUP(AK$1,POSTE!$B:$G,3,FALSE),+CUM!AB50/+VLOOKUP(AK$1,POSTE!$B:$H,7,FALSE),,CONGÉ!$C$2:$C$80))</f>
        <v>#N/A</v>
      </c>
      <c r="AL51" s="50" t="e">
        <f>+IF(S51=0," ",+WORKDAY.INTL(+VLOOKUP(AL$1,POSTE!$B:$G,3,FALSE),+CUM!AC50/+VLOOKUP(AL$1,POSTE!$B:$H,7,FALSE),,CONGÉ!$C$2:$C$80))</f>
        <v>#N/A</v>
      </c>
      <c r="AM51" s="50" t="e">
        <f>+IF(T51=0," ",+WORKDAY.INTL(+VLOOKUP(AM$1,POSTE!$B:$G,3,FALSE),+CUM!AD50/+VLOOKUP(AM$1,POSTE!$B:$H,7,FALSE),,CONGÉ!$C$2:$C$80))</f>
        <v>#N/A</v>
      </c>
      <c r="AN51" s="50" t="e">
        <f>+IF(U51=0," ",+WORKDAY.INTL(+VLOOKUP(AN$1,POSTE!$B:$G,3,FALSE),+CUM!AE50/+VLOOKUP(AN$1,POSTE!$B:$H,7,FALSE),,CONGÉ!$C$2:$C$80))</f>
        <v>#N/A</v>
      </c>
      <c r="AO51" s="50" t="e">
        <f>+IF(V51=0," ",+WORKDAY.INTL(+VLOOKUP(AO$1,POSTE!$B:$G,3,FALSE),+CUM!AF50/+VLOOKUP(AO$1,POSTE!$B:$H,7,FALSE),,CONGÉ!$C$2:$C$80))</f>
        <v>#N/A</v>
      </c>
      <c r="AP51" s="50" t="e">
        <f>+IF(W51=0," ",+WORKDAY.INTL(+VLOOKUP(AP$1,POSTE!$B:$G,3,FALSE),+CUM!AG50/+VLOOKUP(AP$1,POSTE!$B:$H,7,FALSE),,CONGÉ!$C$2:$C$80))</f>
        <v>#N/A</v>
      </c>
      <c r="AQ51" s="50" t="e">
        <f>+IF(X51=0," ",+WORKDAY.INTL(+VLOOKUP(AQ$1,POSTE!$B:$G,3,FALSE),+CUM!AH50/+VLOOKUP(AQ$1,POSTE!$B:$H,7,FALSE),,CONGÉ!$C$2:$C$80))</f>
        <v>#N/A</v>
      </c>
      <c r="AR51" s="71" t="e">
        <f>+IF(Y51=0," ",+WORKDAY.INTL(+VLOOKUP(AR$1,POSTE!$B:$G,3,FALSE),+CUM!AI50/+VLOOKUP(AR$1,POSTE!$B:$H,7,FALSE),,CONGÉ!$C$2:$C$80))</f>
        <v>#N/A</v>
      </c>
      <c r="AS51" s="72" t="e">
        <f>+IF(Q51=0," ",+WORKDAY.INTL(+VLOOKUP(AS$1,POSTE!$B:$G,3,FALSE),+CUM!AA51/+VLOOKUP(AS$1,POSTE!$B:$H,7,FALSE),,CONGÉ!$C$2:$C$80))</f>
        <v>#N/A</v>
      </c>
      <c r="AT51" s="73" t="e">
        <f>+IF(R51=0," ",+WORKDAY.INTL(+VLOOKUP(AT$1,POSTE!$B:$G,3,FALSE),+CUM!AB51/+VLOOKUP(AT$1,POSTE!$B:$H,7,FALSE),,CONGÉ!$C$2:$C$80))</f>
        <v>#N/A</v>
      </c>
      <c r="AU51" s="73" t="e">
        <f>+IF(AND(S51=0,T51=0)," ",+WORKDAY.INTL(+VLOOKUP($AS$1,POSTE!B:J,3,FALSE),+(((AC51*POSTE!$H$5)+(CUM!AD51*POSTE!$H$4))/(POSTE!$H$4*POSTE!$H$5*2)),,CONGÉ!$C$2:$C$80))</f>
        <v>#N/A</v>
      </c>
      <c r="AV51" s="73" t="e">
        <f>+IF(U51=0," ",+WORKDAY.INTL(+VLOOKUP(AV$1,POSTE!$B:$G,3,FALSE),+CUM!AE51/+VLOOKUP(AV$1,POSTE!$B:$H,7,FALSE),,CONGÉ!$C$2:$C$80))</f>
        <v>#N/A</v>
      </c>
      <c r="AW51" s="73" t="e">
        <f>+IF(V51=0," ",+WORKDAY.INTL(+VLOOKUP(AW$1,POSTE!$B:$G,3,FALSE),+CUM!AF51/+VLOOKUP(AW$1,POSTE!$B:$H,7,FALSE),,CONGÉ!$C$2:$C$80))</f>
        <v>#N/A</v>
      </c>
      <c r="AX51" s="73" t="e">
        <f>+IF(W51=0," ",+WORKDAY.INTL(+VLOOKUP(AX$1,POSTE!$B:$G,3,FALSE),+CUM!AG51/+VLOOKUP(AX$1,POSTE!$B:$H,7,FALSE),,CONGÉ!$C$2:$C$80))</f>
        <v>#N/A</v>
      </c>
      <c r="AY51" s="73" t="e">
        <f>+IF(X51=0," ",+WORKDAY.INTL(+VLOOKUP(AY$1,POSTE!$B:$G,3,FALSE),+CUM!AH51/+VLOOKUP(AY$1,POSTE!$B:$H,7,FALSE),,CONGÉ!$C$2:$C$80))</f>
        <v>#N/A</v>
      </c>
      <c r="AZ51" s="73" t="e">
        <f>+IF(Y51=0," ",+WORKDAY.INTL(+VLOOKUP(AZ$1,POSTE!$B:$G,3,FALSE),+CUM!AI51/+VLOOKUP(AZ$1,POSTE!$B:$H,7,FALSE),,CONGÉ!$C$2:$C$80))</f>
        <v>#N/A</v>
      </c>
      <c r="BA51" s="73" t="e">
        <f>+IF(S51=0," ",+WORKDAY.INTL(+VLOOKUP(BA$1,POSTE!$B:$G,3,FALSE),+CUM!AC51/+VLOOKUP(BA$1,POSTE!$B:$H,7,FALSE),,CONGÉ!$C$2:$C$80))</f>
        <v>#N/A</v>
      </c>
      <c r="BB51" s="73" t="e">
        <f>+IF(T51=0," ",+WORKDAY.INTL(+VLOOKUP(BB$1,POSTE!$B:$G,3,FALSE),+CUM!AD51/+VLOOKUP(BB$1,POSTE!$B:$H,7,FALSE),,CONGÉ!$C$2:$C$80))</f>
        <v>#N/A</v>
      </c>
      <c r="BC51" s="70" t="e">
        <f t="shared" si="13"/>
        <v>#N/A</v>
      </c>
      <c r="BD51" s="70" t="e">
        <f t="shared" si="14"/>
        <v>#N/A</v>
      </c>
      <c r="BE51" s="129" t="e">
        <f>+IF($F51="oui",+VLOOKUP($A51,DATA!$A:$AH,DATA!$AH$3,FALSE),0)</f>
        <v>#N/A</v>
      </c>
      <c r="BF51" s="129" t="e">
        <f t="shared" si="15"/>
        <v>#N/A</v>
      </c>
      <c r="BG51" s="136" t="e">
        <f>+IF(BE51&gt;0,+MAX((BH$4:BH50),BD51),"")</f>
        <v>#N/A</v>
      </c>
      <c r="BH51" s="136" t="e">
        <f>+IF(BE51&gt;0,+MAX((BH$4:BH50),+WORKDAY.INTL(BG51,+BE51/8,,CONGÉ!$C$2:$C$73)),"")</f>
        <v>#N/A</v>
      </c>
      <c r="BI51" s="136" t="e">
        <f t="shared" si="16"/>
        <v>#N/A</v>
      </c>
      <c r="BJ51" s="43" t="e">
        <f t="shared" si="30"/>
        <v>#N/A</v>
      </c>
      <c r="BK51" s="77">
        <f t="shared" ca="1" si="17"/>
        <v>45754</v>
      </c>
      <c r="BL51" s="78" t="e">
        <f>+(((AC51*POSTE!$H$5)+(CUM!AD51*POSTE!$H$4))/(POSTE!$H$4*POSTE!$H$5*2))</f>
        <v>#N/A</v>
      </c>
      <c r="BM51" s="90" t="e">
        <f ca="1">+WORKDAY.INTL(BK51,BL51,,CONGÉ!C$4:C$72)</f>
        <v>#N/A</v>
      </c>
      <c r="BN51" s="78" t="e">
        <f t="shared" ca="1" si="18"/>
        <v>#N/A</v>
      </c>
    </row>
    <row r="52" spans="1:66" x14ac:dyDescent="0.25">
      <c r="A52" s="49">
        <f t="shared" si="19"/>
        <v>48</v>
      </c>
      <c r="B52" s="185" cm="1">
        <f t="array" ref="B52">_xlfn.LET(_xlpm.CORR,IF(DATA!$B$4:$B$104="",IF(DATA!$A$4:$A$104="","--",DATA!$A$4:$A$104),DATA!$B$4:$B$104),_xlpm.Rx,SMALL(_xlpm.CORR,A52),IFERROR(MATCH(_xlpm.Rx,_xlpm.CORR,0),0))</f>
        <v>0</v>
      </c>
      <c r="C52" s="18" t="e">
        <f>+VLOOKUP($A52,DATA!$A:$AG,DATA!$E$3,FALSE)</f>
        <v>#N/A</v>
      </c>
      <c r="D52" s="18" t="e">
        <f>+VLOOKUP($A52,DATA!$A:$AG,DATA!$D$3,FALSE)</f>
        <v>#N/A</v>
      </c>
      <c r="E52" s="186" t="e">
        <f>+VLOOKUP($A52,DATA!$A:$AG,DATA!$G$3,FALSE)</f>
        <v>#N/A</v>
      </c>
      <c r="F52" s="19" t="e">
        <f>+VLOOKUP($A52,DATA!$A:$AG,DATA!$O$3,FALSE)</f>
        <v>#N/A</v>
      </c>
      <c r="G52" s="43" t="e">
        <f>+IF($F52="oui",+VLOOKUP($A52,DATA!$A:$AG,DATA!$P$3,FALSE),0)</f>
        <v>#N/A</v>
      </c>
      <c r="H52" s="44" t="e">
        <f>+IF($F52="oui",+VLOOKUP($A52,DATA!$A:$AG,DATA!$R$3,FALSE),0)</f>
        <v>#N/A</v>
      </c>
      <c r="I52" s="44" t="e">
        <f>+IF($F52="oui",+VLOOKUP($A52,DATA!$A:$AG,DATA!$T$3,FALSE),0)</f>
        <v>#N/A</v>
      </c>
      <c r="J52" s="44" t="e">
        <f>+IF($F52="oui",+VLOOKUP($A52,DATA!$A:$AG,DATA!$V$3,FALSE),0)</f>
        <v>#N/A</v>
      </c>
      <c r="K52" s="44" t="e">
        <f>+IF($F52="oui",+VLOOKUP($A52,DATA!$A:$AG,DATA!$X$3,FALSE),0)</f>
        <v>#N/A</v>
      </c>
      <c r="L52" s="44" t="e">
        <f>+IF($F52="oui",+VLOOKUP($A52,DATA!$A:$AG,DATA!$Z$3,FALSE),0)</f>
        <v>#N/A</v>
      </c>
      <c r="M52" s="44" t="e">
        <f>+IF($F52="oui",+VLOOKUP($A52,DATA!$A:$AG,DATA!$AB$3,FALSE),0)</f>
        <v>#N/A</v>
      </c>
      <c r="N52" s="44" t="e">
        <f>+IF($F52="oui",+VLOOKUP($A52,DATA!$A:$AG,DATA!$AD$3,FALSE),0)</f>
        <v>#N/A</v>
      </c>
      <c r="O52" s="45" t="e">
        <f>+IF($F52="oui",+VLOOKUP($A52,DATA!$A:$AG,DATA!$AF$3,FALSE),0)</f>
        <v>#N/A</v>
      </c>
      <c r="P52" s="116" t="e">
        <f t="shared" si="12"/>
        <v>#N/A</v>
      </c>
      <c r="Q52" s="21" t="e">
        <f>+IF($F52="oui",+VLOOKUP($A52,DATA!$A:$AG,DATA!$Q$3,FALSE),0)</f>
        <v>#N/A</v>
      </c>
      <c r="R52" s="22" t="e">
        <f>+IF($F52="oui",+VLOOKUP($A52,DATA!$A:$AG,DATA!$S$3,FALSE),0)</f>
        <v>#N/A</v>
      </c>
      <c r="S52" s="22" t="e">
        <f>+IF($F52="oui",+VLOOKUP($A52,DATA!$A:$AG,DATA!$U$3,FALSE),0)</f>
        <v>#N/A</v>
      </c>
      <c r="T52" s="22" t="e">
        <f>+IF($F52="oui",+VLOOKUP($A52,DATA!$A:$AG,DATA!$W$3,FALSE),0)</f>
        <v>#N/A</v>
      </c>
      <c r="U52" s="22" t="e">
        <f>+IF($F52="oui",+VLOOKUP($A52,DATA!$A:$AG,DATA!$Y$3,FALSE),0)</f>
        <v>#N/A</v>
      </c>
      <c r="V52" s="22" t="e">
        <f>+IF($F52="oui",+VLOOKUP($A52,DATA!$A:$AG,DATA!$AA$3,FALSE),0)</f>
        <v>#N/A</v>
      </c>
      <c r="W52" s="22" t="e">
        <f>+IF($F52="oui",+VLOOKUP($A52,DATA!$A:$AG,DATA!$AC$3,FALSE),0)</f>
        <v>#N/A</v>
      </c>
      <c r="X52" s="22" t="e">
        <f>+IF($F52="oui",+VLOOKUP($A52,DATA!$A:$AG,DATA!$AE$3,FALSE),0)</f>
        <v>#N/A</v>
      </c>
      <c r="Y52" s="23" t="e">
        <f>+IF($F52="oui",+VLOOKUP($A52,DATA!$A:$AG,DATA!$AG$3,FALSE),0)</f>
        <v>#N/A</v>
      </c>
      <c r="Z52" s="118" t="e">
        <f t="shared" si="20"/>
        <v>#N/A</v>
      </c>
      <c r="AA52" s="43" t="e">
        <f t="shared" si="21"/>
        <v>#N/A</v>
      </c>
      <c r="AB52" s="44" t="e">
        <f t="shared" si="22"/>
        <v>#N/A</v>
      </c>
      <c r="AC52" s="44" t="e">
        <f t="shared" si="23"/>
        <v>#N/A</v>
      </c>
      <c r="AD52" s="44" t="e">
        <f t="shared" si="24"/>
        <v>#N/A</v>
      </c>
      <c r="AE52" s="44" t="e">
        <f t="shared" si="25"/>
        <v>#N/A</v>
      </c>
      <c r="AF52" s="44" t="e">
        <f t="shared" si="26"/>
        <v>#N/A</v>
      </c>
      <c r="AG52" s="44" t="e">
        <f t="shared" si="27"/>
        <v>#N/A</v>
      </c>
      <c r="AH52" s="44" t="e">
        <f t="shared" si="28"/>
        <v>#N/A</v>
      </c>
      <c r="AI52" s="45" t="e">
        <f t="shared" si="29"/>
        <v>#N/A</v>
      </c>
      <c r="AJ52" s="70" t="e">
        <f>+IF(Q52=0," ",+WORKDAY.INTL(+VLOOKUP(AJ$1,POSTE!$B:$G,3,FALSE),+CUM!AA51/+VLOOKUP(AJ$1,POSTE!$B:$H,7,FALSE),,CONGÉ!$C$2:$C$80))</f>
        <v>#N/A</v>
      </c>
      <c r="AK52" s="50" t="e">
        <f>+IF(R52=0," ",+WORKDAY.INTL(+VLOOKUP(AK$1,POSTE!$B:$G,3,FALSE),+CUM!AB51/+VLOOKUP(AK$1,POSTE!$B:$H,7,FALSE),,CONGÉ!$C$2:$C$80))</f>
        <v>#N/A</v>
      </c>
      <c r="AL52" s="50" t="e">
        <f>+IF(S52=0," ",+WORKDAY.INTL(+VLOOKUP(AL$1,POSTE!$B:$G,3,FALSE),+CUM!AC51/+VLOOKUP(AL$1,POSTE!$B:$H,7,FALSE),,CONGÉ!$C$2:$C$80))</f>
        <v>#N/A</v>
      </c>
      <c r="AM52" s="50" t="e">
        <f>+IF(T52=0," ",+WORKDAY.INTL(+VLOOKUP(AM$1,POSTE!$B:$G,3,FALSE),+CUM!AD51/+VLOOKUP(AM$1,POSTE!$B:$H,7,FALSE),,CONGÉ!$C$2:$C$80))</f>
        <v>#N/A</v>
      </c>
      <c r="AN52" s="50" t="e">
        <f>+IF(U52=0," ",+WORKDAY.INTL(+VLOOKUP(AN$1,POSTE!$B:$G,3,FALSE),+CUM!AE51/+VLOOKUP(AN$1,POSTE!$B:$H,7,FALSE),,CONGÉ!$C$2:$C$80))</f>
        <v>#N/A</v>
      </c>
      <c r="AO52" s="50" t="e">
        <f>+IF(V52=0," ",+WORKDAY.INTL(+VLOOKUP(AO$1,POSTE!$B:$G,3,FALSE),+CUM!AF51/+VLOOKUP(AO$1,POSTE!$B:$H,7,FALSE),,CONGÉ!$C$2:$C$80))</f>
        <v>#N/A</v>
      </c>
      <c r="AP52" s="50" t="e">
        <f>+IF(W52=0," ",+WORKDAY.INTL(+VLOOKUP(AP$1,POSTE!$B:$G,3,FALSE),+CUM!AG51/+VLOOKUP(AP$1,POSTE!$B:$H,7,FALSE),,CONGÉ!$C$2:$C$80))</f>
        <v>#N/A</v>
      </c>
      <c r="AQ52" s="50" t="e">
        <f>+IF(X52=0," ",+WORKDAY.INTL(+VLOOKUP(AQ$1,POSTE!$B:$G,3,FALSE),+CUM!AH51/+VLOOKUP(AQ$1,POSTE!$B:$H,7,FALSE),,CONGÉ!$C$2:$C$80))</f>
        <v>#N/A</v>
      </c>
      <c r="AR52" s="71" t="e">
        <f>+IF(Y52=0," ",+WORKDAY.INTL(+VLOOKUP(AR$1,POSTE!$B:$G,3,FALSE),+CUM!AI51/+VLOOKUP(AR$1,POSTE!$B:$H,7,FALSE),,CONGÉ!$C$2:$C$80))</f>
        <v>#N/A</v>
      </c>
      <c r="AS52" s="72" t="e">
        <f>+IF(Q52=0," ",+WORKDAY.INTL(+VLOOKUP(AS$1,POSTE!$B:$G,3,FALSE),+CUM!AA52/+VLOOKUP(AS$1,POSTE!$B:$H,7,FALSE),,CONGÉ!$C$2:$C$80))</f>
        <v>#N/A</v>
      </c>
      <c r="AT52" s="73" t="e">
        <f>+IF(R52=0," ",+WORKDAY.INTL(+VLOOKUP(AT$1,POSTE!$B:$G,3,FALSE),+CUM!AB52/+VLOOKUP(AT$1,POSTE!$B:$H,7,FALSE),,CONGÉ!$C$2:$C$80))</f>
        <v>#N/A</v>
      </c>
      <c r="AU52" s="73" t="e">
        <f>+IF(AND(S52=0,T52=0)," ",+WORKDAY.INTL(+VLOOKUP($AS$1,POSTE!B:J,3,FALSE),+(((AC52*POSTE!$H$5)+(CUM!AD52*POSTE!$H$4))/(POSTE!$H$4*POSTE!$H$5*2)),,CONGÉ!$C$2:$C$80))</f>
        <v>#N/A</v>
      </c>
      <c r="AV52" s="73" t="e">
        <f>+IF(U52=0," ",+WORKDAY.INTL(+VLOOKUP(AV$1,POSTE!$B:$G,3,FALSE),+CUM!AE52/+VLOOKUP(AV$1,POSTE!$B:$H,7,FALSE),,CONGÉ!$C$2:$C$80))</f>
        <v>#N/A</v>
      </c>
      <c r="AW52" s="73" t="e">
        <f>+IF(V52=0," ",+WORKDAY.INTL(+VLOOKUP(AW$1,POSTE!$B:$G,3,FALSE),+CUM!AF52/+VLOOKUP(AW$1,POSTE!$B:$H,7,FALSE),,CONGÉ!$C$2:$C$80))</f>
        <v>#N/A</v>
      </c>
      <c r="AX52" s="73" t="e">
        <f>+IF(W52=0," ",+WORKDAY.INTL(+VLOOKUP(AX$1,POSTE!$B:$G,3,FALSE),+CUM!AG52/+VLOOKUP(AX$1,POSTE!$B:$H,7,FALSE),,CONGÉ!$C$2:$C$80))</f>
        <v>#N/A</v>
      </c>
      <c r="AY52" s="73" t="e">
        <f>+IF(X52=0," ",+WORKDAY.INTL(+VLOOKUP(AY$1,POSTE!$B:$G,3,FALSE),+CUM!AH52/+VLOOKUP(AY$1,POSTE!$B:$H,7,FALSE),,CONGÉ!$C$2:$C$80))</f>
        <v>#N/A</v>
      </c>
      <c r="AZ52" s="73" t="e">
        <f>+IF(Y52=0," ",+WORKDAY.INTL(+VLOOKUP(AZ$1,POSTE!$B:$G,3,FALSE),+CUM!AI52/+VLOOKUP(AZ$1,POSTE!$B:$H,7,FALSE),,CONGÉ!$C$2:$C$80))</f>
        <v>#N/A</v>
      </c>
      <c r="BA52" s="73" t="e">
        <f>+IF(S52=0," ",+WORKDAY.INTL(+VLOOKUP(BA$1,POSTE!$B:$G,3,FALSE),+CUM!AC52/+VLOOKUP(BA$1,POSTE!$B:$H,7,FALSE),,CONGÉ!$C$2:$C$80))</f>
        <v>#N/A</v>
      </c>
      <c r="BB52" s="73" t="e">
        <f>+IF(T52=0," ",+WORKDAY.INTL(+VLOOKUP(BB$1,POSTE!$B:$G,3,FALSE),+CUM!AD52/+VLOOKUP(BB$1,POSTE!$B:$H,7,FALSE),,CONGÉ!$C$2:$C$80))</f>
        <v>#N/A</v>
      </c>
      <c r="BC52" s="70" t="e">
        <f t="shared" si="13"/>
        <v>#N/A</v>
      </c>
      <c r="BD52" s="70" t="e">
        <f t="shared" si="14"/>
        <v>#N/A</v>
      </c>
      <c r="BE52" s="129" t="e">
        <f>+IF($F52="oui",+VLOOKUP($A52,DATA!$A:$AH,DATA!$AH$3,FALSE),0)</f>
        <v>#N/A</v>
      </c>
      <c r="BF52" s="129" t="e">
        <f t="shared" si="15"/>
        <v>#N/A</v>
      </c>
      <c r="BG52" s="136" t="e">
        <f>+IF(BE52&gt;0,+MAX((BH$4:BH51),BD52),"")</f>
        <v>#N/A</v>
      </c>
      <c r="BH52" s="136" t="e">
        <f>+IF(BE52&gt;0,+MAX((BH$4:BH51),+WORKDAY.INTL(BG52,+BE52/8,,CONGÉ!$C$2:$C$73)),"")</f>
        <v>#N/A</v>
      </c>
      <c r="BI52" s="136" t="e">
        <f t="shared" si="16"/>
        <v>#N/A</v>
      </c>
      <c r="BJ52" s="43" t="e">
        <f t="shared" si="30"/>
        <v>#N/A</v>
      </c>
      <c r="BK52" s="77">
        <f t="shared" ca="1" si="17"/>
        <v>45754</v>
      </c>
      <c r="BL52" s="78" t="e">
        <f>+(((AC52*POSTE!$H$5)+(CUM!AD52*POSTE!$H$4))/(POSTE!$H$4*POSTE!$H$5*2))</f>
        <v>#N/A</v>
      </c>
      <c r="BM52" s="90" t="e">
        <f ca="1">+WORKDAY.INTL(BK52,BL52,,CONGÉ!C$4:C$72)</f>
        <v>#N/A</v>
      </c>
      <c r="BN52" s="78" t="e">
        <f t="shared" ca="1" si="18"/>
        <v>#N/A</v>
      </c>
    </row>
    <row r="53" spans="1:66" x14ac:dyDescent="0.25">
      <c r="A53" s="49">
        <f t="shared" si="19"/>
        <v>49</v>
      </c>
      <c r="B53" s="185" cm="1">
        <f t="array" ref="B53">_xlfn.LET(_xlpm.CORR,IF(DATA!$B$4:$B$104="",IF(DATA!$A$4:$A$104="","--",DATA!$A$4:$A$104),DATA!$B$4:$B$104),_xlpm.Rx,SMALL(_xlpm.CORR,A53),IFERROR(MATCH(_xlpm.Rx,_xlpm.CORR,0),0))</f>
        <v>0</v>
      </c>
      <c r="C53" s="18" t="e">
        <f>+VLOOKUP($A53,DATA!$A:$AG,DATA!$E$3,FALSE)</f>
        <v>#N/A</v>
      </c>
      <c r="D53" s="18" t="e">
        <f>+VLOOKUP($A53,DATA!$A:$AG,DATA!$D$3,FALSE)</f>
        <v>#N/A</v>
      </c>
      <c r="E53" s="186" t="e">
        <f>+VLOOKUP($A53,DATA!$A:$AG,DATA!$G$3,FALSE)</f>
        <v>#N/A</v>
      </c>
      <c r="F53" s="19" t="e">
        <f>+VLOOKUP($A53,DATA!$A:$AG,DATA!$O$3,FALSE)</f>
        <v>#N/A</v>
      </c>
      <c r="G53" s="43" t="e">
        <f>+IF($F53="oui",+VLOOKUP($A53,DATA!$A:$AG,DATA!$P$3,FALSE),0)</f>
        <v>#N/A</v>
      </c>
      <c r="H53" s="44" t="e">
        <f>+IF($F53="oui",+VLOOKUP($A53,DATA!$A:$AG,DATA!$R$3,FALSE),0)</f>
        <v>#N/A</v>
      </c>
      <c r="I53" s="44" t="e">
        <f>+IF($F53="oui",+VLOOKUP($A53,DATA!$A:$AG,DATA!$T$3,FALSE),0)</f>
        <v>#N/A</v>
      </c>
      <c r="J53" s="44" t="e">
        <f>+IF($F53="oui",+VLOOKUP($A53,DATA!$A:$AG,DATA!$V$3,FALSE),0)</f>
        <v>#N/A</v>
      </c>
      <c r="K53" s="44" t="e">
        <f>+IF($F53="oui",+VLOOKUP($A53,DATA!$A:$AG,DATA!$X$3,FALSE),0)</f>
        <v>#N/A</v>
      </c>
      <c r="L53" s="44" t="e">
        <f>+IF($F53="oui",+VLOOKUP($A53,DATA!$A:$AG,DATA!$Z$3,FALSE),0)</f>
        <v>#N/A</v>
      </c>
      <c r="M53" s="44" t="e">
        <f>+IF($F53="oui",+VLOOKUP($A53,DATA!$A:$AG,DATA!$AB$3,FALSE),0)</f>
        <v>#N/A</v>
      </c>
      <c r="N53" s="44" t="e">
        <f>+IF($F53="oui",+VLOOKUP($A53,DATA!$A:$AG,DATA!$AD$3,FALSE),0)</f>
        <v>#N/A</v>
      </c>
      <c r="O53" s="45" t="e">
        <f>+IF($F53="oui",+VLOOKUP($A53,DATA!$A:$AG,DATA!$AF$3,FALSE),0)</f>
        <v>#N/A</v>
      </c>
      <c r="P53" s="116" t="e">
        <f t="shared" si="12"/>
        <v>#N/A</v>
      </c>
      <c r="Q53" s="21" t="e">
        <f>+IF($F53="oui",+VLOOKUP($A53,DATA!$A:$AG,DATA!$Q$3,FALSE),0)</f>
        <v>#N/A</v>
      </c>
      <c r="R53" s="22" t="e">
        <f>+IF($F53="oui",+VLOOKUP($A53,DATA!$A:$AG,DATA!$S$3,FALSE),0)</f>
        <v>#N/A</v>
      </c>
      <c r="S53" s="22" t="e">
        <f>+IF($F53="oui",+VLOOKUP($A53,DATA!$A:$AG,DATA!$U$3,FALSE),0)</f>
        <v>#N/A</v>
      </c>
      <c r="T53" s="22" t="e">
        <f>+IF($F53="oui",+VLOOKUP($A53,DATA!$A:$AG,DATA!$W$3,FALSE),0)</f>
        <v>#N/A</v>
      </c>
      <c r="U53" s="22" t="e">
        <f>+IF($F53="oui",+VLOOKUP($A53,DATA!$A:$AG,DATA!$Y$3,FALSE),0)</f>
        <v>#N/A</v>
      </c>
      <c r="V53" s="22" t="e">
        <f>+IF($F53="oui",+VLOOKUP($A53,DATA!$A:$AG,DATA!$AA$3,FALSE),0)</f>
        <v>#N/A</v>
      </c>
      <c r="W53" s="22" t="e">
        <f>+IF($F53="oui",+VLOOKUP($A53,DATA!$A:$AG,DATA!$AC$3,FALSE),0)</f>
        <v>#N/A</v>
      </c>
      <c r="X53" s="22" t="e">
        <f>+IF($F53="oui",+VLOOKUP($A53,DATA!$A:$AG,DATA!$AE$3,FALSE),0)</f>
        <v>#N/A</v>
      </c>
      <c r="Y53" s="23" t="e">
        <f>+IF($F53="oui",+VLOOKUP($A53,DATA!$A:$AG,DATA!$AG$3,FALSE),0)</f>
        <v>#N/A</v>
      </c>
      <c r="Z53" s="118" t="e">
        <f t="shared" si="20"/>
        <v>#N/A</v>
      </c>
      <c r="AA53" s="43" t="e">
        <f t="shared" si="21"/>
        <v>#N/A</v>
      </c>
      <c r="AB53" s="44" t="e">
        <f t="shared" si="22"/>
        <v>#N/A</v>
      </c>
      <c r="AC53" s="44" t="e">
        <f t="shared" si="23"/>
        <v>#N/A</v>
      </c>
      <c r="AD53" s="44" t="e">
        <f t="shared" si="24"/>
        <v>#N/A</v>
      </c>
      <c r="AE53" s="44" t="e">
        <f t="shared" si="25"/>
        <v>#N/A</v>
      </c>
      <c r="AF53" s="44" t="e">
        <f t="shared" si="26"/>
        <v>#N/A</v>
      </c>
      <c r="AG53" s="44" t="e">
        <f t="shared" si="27"/>
        <v>#N/A</v>
      </c>
      <c r="AH53" s="44" t="e">
        <f t="shared" si="28"/>
        <v>#N/A</v>
      </c>
      <c r="AI53" s="45" t="e">
        <f t="shared" si="29"/>
        <v>#N/A</v>
      </c>
      <c r="AJ53" s="70" t="e">
        <f>+IF(Q53=0," ",+WORKDAY.INTL(+VLOOKUP(AJ$1,POSTE!$B:$G,3,FALSE),+CUM!AA52/+VLOOKUP(AJ$1,POSTE!$B:$H,7,FALSE),,CONGÉ!$C$2:$C$80))</f>
        <v>#N/A</v>
      </c>
      <c r="AK53" s="50" t="e">
        <f>+IF(R53=0," ",+WORKDAY.INTL(+VLOOKUP(AK$1,POSTE!$B:$G,3,FALSE),+CUM!AB52/+VLOOKUP(AK$1,POSTE!$B:$H,7,FALSE),,CONGÉ!$C$2:$C$80))</f>
        <v>#N/A</v>
      </c>
      <c r="AL53" s="50" t="e">
        <f>+IF(S53=0," ",+WORKDAY.INTL(+VLOOKUP(AL$1,POSTE!$B:$G,3,FALSE),+CUM!AC52/+VLOOKUP(AL$1,POSTE!$B:$H,7,FALSE),,CONGÉ!$C$2:$C$80))</f>
        <v>#N/A</v>
      </c>
      <c r="AM53" s="50" t="e">
        <f>+IF(T53=0," ",+WORKDAY.INTL(+VLOOKUP(AM$1,POSTE!$B:$G,3,FALSE),+CUM!AD52/+VLOOKUP(AM$1,POSTE!$B:$H,7,FALSE),,CONGÉ!$C$2:$C$80))</f>
        <v>#N/A</v>
      </c>
      <c r="AN53" s="50" t="e">
        <f>+IF(U53=0," ",+WORKDAY.INTL(+VLOOKUP(AN$1,POSTE!$B:$G,3,FALSE),+CUM!AE52/+VLOOKUP(AN$1,POSTE!$B:$H,7,FALSE),,CONGÉ!$C$2:$C$80))</f>
        <v>#N/A</v>
      </c>
      <c r="AO53" s="50" t="e">
        <f>+IF(V53=0," ",+WORKDAY.INTL(+VLOOKUP(AO$1,POSTE!$B:$G,3,FALSE),+CUM!AF52/+VLOOKUP(AO$1,POSTE!$B:$H,7,FALSE),,CONGÉ!$C$2:$C$80))</f>
        <v>#N/A</v>
      </c>
      <c r="AP53" s="50" t="e">
        <f>+IF(W53=0," ",+WORKDAY.INTL(+VLOOKUP(AP$1,POSTE!$B:$G,3,FALSE),+CUM!AG52/+VLOOKUP(AP$1,POSTE!$B:$H,7,FALSE),,CONGÉ!$C$2:$C$80))</f>
        <v>#N/A</v>
      </c>
      <c r="AQ53" s="50" t="e">
        <f>+IF(X53=0," ",+WORKDAY.INTL(+VLOOKUP(AQ$1,POSTE!$B:$G,3,FALSE),+CUM!AH52/+VLOOKUP(AQ$1,POSTE!$B:$H,7,FALSE),,CONGÉ!$C$2:$C$80))</f>
        <v>#N/A</v>
      </c>
      <c r="AR53" s="71" t="e">
        <f>+IF(Y53=0," ",+WORKDAY.INTL(+VLOOKUP(AR$1,POSTE!$B:$G,3,FALSE),+CUM!AI52/+VLOOKUP(AR$1,POSTE!$B:$H,7,FALSE),,CONGÉ!$C$2:$C$80))</f>
        <v>#N/A</v>
      </c>
      <c r="AS53" s="72" t="e">
        <f>+IF(Q53=0," ",+WORKDAY.INTL(+VLOOKUP(AS$1,POSTE!$B:$G,3,FALSE),+CUM!AA53/+VLOOKUP(AS$1,POSTE!$B:$H,7,FALSE),,CONGÉ!$C$2:$C$80))</f>
        <v>#N/A</v>
      </c>
      <c r="AT53" s="73" t="e">
        <f>+IF(R53=0," ",+WORKDAY.INTL(+VLOOKUP(AT$1,POSTE!$B:$G,3,FALSE),+CUM!AB53/+VLOOKUP(AT$1,POSTE!$B:$H,7,FALSE),,CONGÉ!$C$2:$C$80))</f>
        <v>#N/A</v>
      </c>
      <c r="AU53" s="73" t="e">
        <f>+IF(AND(S53=0,T53=0)," ",+WORKDAY.INTL(+VLOOKUP($AS$1,POSTE!B:J,3,FALSE),+(((AC53*POSTE!$H$5)+(CUM!AD53*POSTE!$H$4))/(POSTE!$H$4*POSTE!$H$5*2)),,CONGÉ!$C$2:$C$80))</f>
        <v>#N/A</v>
      </c>
      <c r="AV53" s="73" t="e">
        <f>+IF(U53=0," ",+WORKDAY.INTL(+VLOOKUP(AV$1,POSTE!$B:$G,3,FALSE),+CUM!AE53/+VLOOKUP(AV$1,POSTE!$B:$H,7,FALSE),,CONGÉ!$C$2:$C$80))</f>
        <v>#N/A</v>
      </c>
      <c r="AW53" s="73" t="e">
        <f>+IF(V53=0," ",+WORKDAY.INTL(+VLOOKUP(AW$1,POSTE!$B:$G,3,FALSE),+CUM!AF53/+VLOOKUP(AW$1,POSTE!$B:$H,7,FALSE),,CONGÉ!$C$2:$C$80))</f>
        <v>#N/A</v>
      </c>
      <c r="AX53" s="73" t="e">
        <f>+IF(W53=0," ",+WORKDAY.INTL(+VLOOKUP(AX$1,POSTE!$B:$G,3,FALSE),+CUM!AG53/+VLOOKUP(AX$1,POSTE!$B:$H,7,FALSE),,CONGÉ!$C$2:$C$80))</f>
        <v>#N/A</v>
      </c>
      <c r="AY53" s="73" t="e">
        <f>+IF(X53=0," ",+WORKDAY.INTL(+VLOOKUP(AY$1,POSTE!$B:$G,3,FALSE),+CUM!AH53/+VLOOKUP(AY$1,POSTE!$B:$H,7,FALSE),,CONGÉ!$C$2:$C$80))</f>
        <v>#N/A</v>
      </c>
      <c r="AZ53" s="73" t="e">
        <f>+IF(Y53=0," ",+WORKDAY.INTL(+VLOOKUP(AZ$1,POSTE!$B:$G,3,FALSE),+CUM!AI53/+VLOOKUP(AZ$1,POSTE!$B:$H,7,FALSE),,CONGÉ!$C$2:$C$80))</f>
        <v>#N/A</v>
      </c>
      <c r="BA53" s="73" t="e">
        <f>+IF(S53=0," ",+WORKDAY.INTL(+VLOOKUP(BA$1,POSTE!$B:$G,3,FALSE),+CUM!AC53/+VLOOKUP(BA$1,POSTE!$B:$H,7,FALSE),,CONGÉ!$C$2:$C$80))</f>
        <v>#N/A</v>
      </c>
      <c r="BB53" s="73" t="e">
        <f>+IF(T53=0," ",+WORKDAY.INTL(+VLOOKUP(BB$1,POSTE!$B:$G,3,FALSE),+CUM!AD53/+VLOOKUP(BB$1,POSTE!$B:$H,7,FALSE),,CONGÉ!$C$2:$C$80))</f>
        <v>#N/A</v>
      </c>
      <c r="BC53" s="70" t="e">
        <f t="shared" si="13"/>
        <v>#N/A</v>
      </c>
      <c r="BD53" s="70" t="e">
        <f t="shared" si="14"/>
        <v>#N/A</v>
      </c>
      <c r="BE53" s="129" t="e">
        <f>+IF($F53="oui",+VLOOKUP($A53,DATA!$A:$AH,DATA!$AH$3,FALSE),0)</f>
        <v>#N/A</v>
      </c>
      <c r="BF53" s="129" t="e">
        <f t="shared" si="15"/>
        <v>#N/A</v>
      </c>
      <c r="BG53" s="136" t="e">
        <f>+IF(BE53&gt;0,+MAX((BH$4:BH52),BD53),"")</f>
        <v>#N/A</v>
      </c>
      <c r="BH53" s="136" t="e">
        <f>+IF(BE53&gt;0,+MAX((BH$4:BH52),+WORKDAY.INTL(BG53,+BE53/8,,CONGÉ!$C$2:$C$73)),"")</f>
        <v>#N/A</v>
      </c>
      <c r="BI53" s="136" t="e">
        <f t="shared" si="16"/>
        <v>#N/A</v>
      </c>
      <c r="BJ53" s="43" t="e">
        <f t="shared" si="30"/>
        <v>#N/A</v>
      </c>
      <c r="BK53" s="77">
        <f t="shared" ca="1" si="17"/>
        <v>45754</v>
      </c>
      <c r="BL53" s="78" t="e">
        <f>+(((AC53*POSTE!$H$5)+(CUM!AD53*POSTE!$H$4))/(POSTE!$H$4*POSTE!$H$5*2))</f>
        <v>#N/A</v>
      </c>
      <c r="BM53" s="90" t="e">
        <f ca="1">+WORKDAY.INTL(BK53,BL53,,CONGÉ!C$4:C$72)</f>
        <v>#N/A</v>
      </c>
      <c r="BN53" s="78" t="e">
        <f t="shared" ca="1" si="18"/>
        <v>#N/A</v>
      </c>
    </row>
    <row r="54" spans="1:66" x14ac:dyDescent="0.25">
      <c r="A54" s="49">
        <f t="shared" si="19"/>
        <v>50</v>
      </c>
      <c r="B54" s="185" cm="1">
        <f t="array" ref="B54">_xlfn.LET(_xlpm.CORR,IF(DATA!$B$4:$B$104="",IF(DATA!$A$4:$A$104="","--",DATA!$A$4:$A$104),DATA!$B$4:$B$104),_xlpm.Rx,SMALL(_xlpm.CORR,A54),IFERROR(MATCH(_xlpm.Rx,_xlpm.CORR,0),0))</f>
        <v>0</v>
      </c>
      <c r="C54" s="18" t="e">
        <f>+VLOOKUP($A54,DATA!$A:$AG,DATA!$E$3,FALSE)</f>
        <v>#N/A</v>
      </c>
      <c r="D54" s="18" t="e">
        <f>+VLOOKUP($A54,DATA!$A:$AG,DATA!$D$3,FALSE)</f>
        <v>#N/A</v>
      </c>
      <c r="E54" s="186" t="e">
        <f>+VLOOKUP($A54,DATA!$A:$AG,DATA!$G$3,FALSE)</f>
        <v>#N/A</v>
      </c>
      <c r="F54" s="19" t="e">
        <f>+VLOOKUP($A54,DATA!$A:$AG,DATA!$O$3,FALSE)</f>
        <v>#N/A</v>
      </c>
      <c r="G54" s="43" t="e">
        <f>+IF($F54="oui",+VLOOKUP($A54,DATA!$A:$AG,DATA!$P$3,FALSE),0)</f>
        <v>#N/A</v>
      </c>
      <c r="H54" s="44" t="e">
        <f>+IF($F54="oui",+VLOOKUP($A54,DATA!$A:$AG,DATA!$R$3,FALSE),0)</f>
        <v>#N/A</v>
      </c>
      <c r="I54" s="44" t="e">
        <f>+IF($F54="oui",+VLOOKUP($A54,DATA!$A:$AG,DATA!$T$3,FALSE),0)</f>
        <v>#N/A</v>
      </c>
      <c r="J54" s="44" t="e">
        <f>+IF($F54="oui",+VLOOKUP($A54,DATA!$A:$AG,DATA!$V$3,FALSE),0)</f>
        <v>#N/A</v>
      </c>
      <c r="K54" s="44" t="e">
        <f>+IF($F54="oui",+VLOOKUP($A54,DATA!$A:$AG,DATA!$X$3,FALSE),0)</f>
        <v>#N/A</v>
      </c>
      <c r="L54" s="44" t="e">
        <f>+IF($F54="oui",+VLOOKUP($A54,DATA!$A:$AG,DATA!$Z$3,FALSE),0)</f>
        <v>#N/A</v>
      </c>
      <c r="M54" s="44" t="e">
        <f>+IF($F54="oui",+VLOOKUP($A54,DATA!$A:$AG,DATA!$AB$3,FALSE),0)</f>
        <v>#N/A</v>
      </c>
      <c r="N54" s="44" t="e">
        <f>+IF($F54="oui",+VLOOKUP($A54,DATA!$A:$AG,DATA!$AD$3,FALSE),0)</f>
        <v>#N/A</v>
      </c>
      <c r="O54" s="45" t="e">
        <f>+IF($F54="oui",+VLOOKUP($A54,DATA!$A:$AG,DATA!$AF$3,FALSE),0)</f>
        <v>#N/A</v>
      </c>
      <c r="P54" s="116" t="e">
        <f t="shared" si="12"/>
        <v>#N/A</v>
      </c>
      <c r="Q54" s="21" t="e">
        <f>+IF($F54="oui",+VLOOKUP($A54,DATA!$A:$AG,DATA!$Q$3,FALSE),0)</f>
        <v>#N/A</v>
      </c>
      <c r="R54" s="22" t="e">
        <f>+IF($F54="oui",+VLOOKUP($A54,DATA!$A:$AG,DATA!$S$3,FALSE),0)</f>
        <v>#N/A</v>
      </c>
      <c r="S54" s="22" t="e">
        <f>+IF($F54="oui",+VLOOKUP($A54,DATA!$A:$AG,DATA!$U$3,FALSE),0)</f>
        <v>#N/A</v>
      </c>
      <c r="T54" s="22" t="e">
        <f>+IF($F54="oui",+VLOOKUP($A54,DATA!$A:$AG,DATA!$W$3,FALSE),0)</f>
        <v>#N/A</v>
      </c>
      <c r="U54" s="22" t="e">
        <f>+IF($F54="oui",+VLOOKUP($A54,DATA!$A:$AG,DATA!$Y$3,FALSE),0)</f>
        <v>#N/A</v>
      </c>
      <c r="V54" s="22" t="e">
        <f>+IF($F54="oui",+VLOOKUP($A54,DATA!$A:$AG,DATA!$AA$3,FALSE),0)</f>
        <v>#N/A</v>
      </c>
      <c r="W54" s="22" t="e">
        <f>+IF($F54="oui",+VLOOKUP($A54,DATA!$A:$AG,DATA!$AC$3,FALSE),0)</f>
        <v>#N/A</v>
      </c>
      <c r="X54" s="22" t="e">
        <f>+IF($F54="oui",+VLOOKUP($A54,DATA!$A:$AG,DATA!$AE$3,FALSE),0)</f>
        <v>#N/A</v>
      </c>
      <c r="Y54" s="23" t="e">
        <f>+IF($F54="oui",+VLOOKUP($A54,DATA!$A:$AG,DATA!$AG$3,FALSE),0)</f>
        <v>#N/A</v>
      </c>
      <c r="Z54" s="118" t="e">
        <f t="shared" si="20"/>
        <v>#N/A</v>
      </c>
      <c r="AA54" s="43" t="e">
        <f t="shared" si="21"/>
        <v>#N/A</v>
      </c>
      <c r="AB54" s="44" t="e">
        <f t="shared" si="22"/>
        <v>#N/A</v>
      </c>
      <c r="AC54" s="44" t="e">
        <f t="shared" si="23"/>
        <v>#N/A</v>
      </c>
      <c r="AD54" s="44" t="e">
        <f t="shared" si="24"/>
        <v>#N/A</v>
      </c>
      <c r="AE54" s="44" t="e">
        <f t="shared" si="25"/>
        <v>#N/A</v>
      </c>
      <c r="AF54" s="44" t="e">
        <f t="shared" si="26"/>
        <v>#N/A</v>
      </c>
      <c r="AG54" s="44" t="e">
        <f t="shared" si="27"/>
        <v>#N/A</v>
      </c>
      <c r="AH54" s="44" t="e">
        <f t="shared" si="28"/>
        <v>#N/A</v>
      </c>
      <c r="AI54" s="45" t="e">
        <f t="shared" si="29"/>
        <v>#N/A</v>
      </c>
      <c r="AJ54" s="70" t="e">
        <f>+IF(Q54=0," ",+WORKDAY.INTL(+VLOOKUP(AJ$1,POSTE!$B:$G,3,FALSE),+CUM!AA53/+VLOOKUP(AJ$1,POSTE!$B:$H,7,FALSE),,CONGÉ!$C$2:$C$80))</f>
        <v>#N/A</v>
      </c>
      <c r="AK54" s="50" t="e">
        <f>+IF(R54=0," ",+WORKDAY.INTL(+VLOOKUP(AK$1,POSTE!$B:$G,3,FALSE),+CUM!AB53/+VLOOKUP(AK$1,POSTE!$B:$H,7,FALSE),,CONGÉ!$C$2:$C$80))</f>
        <v>#N/A</v>
      </c>
      <c r="AL54" s="50" t="e">
        <f>+IF(S54=0," ",+WORKDAY.INTL(+VLOOKUP(AL$1,POSTE!$B:$G,3,FALSE),+CUM!AC53/+VLOOKUP(AL$1,POSTE!$B:$H,7,FALSE),,CONGÉ!$C$2:$C$80))</f>
        <v>#N/A</v>
      </c>
      <c r="AM54" s="50" t="e">
        <f>+IF(T54=0," ",+WORKDAY.INTL(+VLOOKUP(AM$1,POSTE!$B:$G,3,FALSE),+CUM!AD53/+VLOOKUP(AM$1,POSTE!$B:$H,7,FALSE),,CONGÉ!$C$2:$C$80))</f>
        <v>#N/A</v>
      </c>
      <c r="AN54" s="50" t="e">
        <f>+IF(U54=0," ",+WORKDAY.INTL(+VLOOKUP(AN$1,POSTE!$B:$G,3,FALSE),+CUM!AE53/+VLOOKUP(AN$1,POSTE!$B:$H,7,FALSE),,CONGÉ!$C$2:$C$80))</f>
        <v>#N/A</v>
      </c>
      <c r="AO54" s="50" t="e">
        <f>+IF(V54=0," ",+WORKDAY.INTL(+VLOOKUP(AO$1,POSTE!$B:$G,3,FALSE),+CUM!AF53/+VLOOKUP(AO$1,POSTE!$B:$H,7,FALSE),,CONGÉ!$C$2:$C$80))</f>
        <v>#N/A</v>
      </c>
      <c r="AP54" s="50" t="e">
        <f>+IF(W54=0," ",+WORKDAY.INTL(+VLOOKUP(AP$1,POSTE!$B:$G,3,FALSE),+CUM!AG53/+VLOOKUP(AP$1,POSTE!$B:$H,7,FALSE),,CONGÉ!$C$2:$C$80))</f>
        <v>#N/A</v>
      </c>
      <c r="AQ54" s="50" t="e">
        <f>+IF(X54=0," ",+WORKDAY.INTL(+VLOOKUP(AQ$1,POSTE!$B:$G,3,FALSE),+CUM!AH53/+VLOOKUP(AQ$1,POSTE!$B:$H,7,FALSE),,CONGÉ!$C$2:$C$80))</f>
        <v>#N/A</v>
      </c>
      <c r="AR54" s="71" t="e">
        <f>+IF(Y54=0," ",+WORKDAY.INTL(+VLOOKUP(AR$1,POSTE!$B:$G,3,FALSE),+CUM!AI53/+VLOOKUP(AR$1,POSTE!$B:$H,7,FALSE),,CONGÉ!$C$2:$C$80))</f>
        <v>#N/A</v>
      </c>
      <c r="AS54" s="72" t="e">
        <f>+IF(Q54=0," ",+WORKDAY.INTL(+VLOOKUP(AS$1,POSTE!$B:$G,3,FALSE),+CUM!AA54/+VLOOKUP(AS$1,POSTE!$B:$H,7,FALSE),,CONGÉ!$C$2:$C$80))</f>
        <v>#N/A</v>
      </c>
      <c r="AT54" s="73" t="e">
        <f>+IF(R54=0," ",+WORKDAY.INTL(+VLOOKUP(AT$1,POSTE!$B:$G,3,FALSE),+CUM!AB54/+VLOOKUP(AT$1,POSTE!$B:$H,7,FALSE),,CONGÉ!$C$2:$C$80))</f>
        <v>#N/A</v>
      </c>
      <c r="AU54" s="73" t="e">
        <f>+IF(AND(S54=0,T54=0)," ",+WORKDAY.INTL(+VLOOKUP($AS$1,POSTE!B:J,3,FALSE),+(((AC54*POSTE!$H$5)+(CUM!AD54*POSTE!$H$4))/(POSTE!$H$4*POSTE!$H$5*2)),,CONGÉ!$C$2:$C$80))</f>
        <v>#N/A</v>
      </c>
      <c r="AV54" s="73" t="e">
        <f>+IF(U54=0," ",+WORKDAY.INTL(+VLOOKUP(AV$1,POSTE!$B:$G,3,FALSE),+CUM!AE54/+VLOOKUP(AV$1,POSTE!$B:$H,7,FALSE),,CONGÉ!$C$2:$C$80))</f>
        <v>#N/A</v>
      </c>
      <c r="AW54" s="73" t="e">
        <f>+IF(V54=0," ",+WORKDAY.INTL(+VLOOKUP(AW$1,POSTE!$B:$G,3,FALSE),+CUM!AF54/+VLOOKUP(AW$1,POSTE!$B:$H,7,FALSE),,CONGÉ!$C$2:$C$80))</f>
        <v>#N/A</v>
      </c>
      <c r="AX54" s="73" t="e">
        <f>+IF(W54=0," ",+WORKDAY.INTL(+VLOOKUP(AX$1,POSTE!$B:$G,3,FALSE),+CUM!AG54/+VLOOKUP(AX$1,POSTE!$B:$H,7,FALSE),,CONGÉ!$C$2:$C$80))</f>
        <v>#N/A</v>
      </c>
      <c r="AY54" s="73" t="e">
        <f>+IF(X54=0," ",+WORKDAY.INTL(+VLOOKUP(AY$1,POSTE!$B:$G,3,FALSE),+CUM!AH54/+VLOOKUP(AY$1,POSTE!$B:$H,7,FALSE),,CONGÉ!$C$2:$C$80))</f>
        <v>#N/A</v>
      </c>
      <c r="AZ54" s="73" t="e">
        <f>+IF(Y54=0," ",+WORKDAY.INTL(+VLOOKUP(AZ$1,POSTE!$B:$G,3,FALSE),+CUM!AI54/+VLOOKUP(AZ$1,POSTE!$B:$H,7,FALSE),,CONGÉ!$C$2:$C$80))</f>
        <v>#N/A</v>
      </c>
      <c r="BA54" s="73" t="e">
        <f>+IF(S54=0," ",+WORKDAY.INTL(+VLOOKUP(BA$1,POSTE!$B:$G,3,FALSE),+CUM!AC54/+VLOOKUP(BA$1,POSTE!$B:$H,7,FALSE),,CONGÉ!$C$2:$C$80))</f>
        <v>#N/A</v>
      </c>
      <c r="BB54" s="73" t="e">
        <f>+IF(T54=0," ",+WORKDAY.INTL(+VLOOKUP(BB$1,POSTE!$B:$G,3,FALSE),+CUM!AD54/+VLOOKUP(BB$1,POSTE!$B:$H,7,FALSE),,CONGÉ!$C$2:$C$80))</f>
        <v>#N/A</v>
      </c>
      <c r="BC54" s="70" t="e">
        <f t="shared" si="13"/>
        <v>#N/A</v>
      </c>
      <c r="BD54" s="70" t="e">
        <f t="shared" si="14"/>
        <v>#N/A</v>
      </c>
      <c r="BE54" s="129" t="e">
        <f>+IF($F54="oui",+VLOOKUP($A54,DATA!$A:$AH,DATA!$AH$3,FALSE),0)</f>
        <v>#N/A</v>
      </c>
      <c r="BF54" s="129" t="e">
        <f t="shared" si="15"/>
        <v>#N/A</v>
      </c>
      <c r="BG54" s="136" t="e">
        <f>+IF(BE54&gt;0,+MAX((BH$4:BH53),BD54),"")</f>
        <v>#N/A</v>
      </c>
      <c r="BH54" s="136" t="e">
        <f>+IF(BE54&gt;0,+MAX((BH$4:BH53),+WORKDAY.INTL(BG54,+BE54/8,,CONGÉ!$C$2:$C$73)),"")</f>
        <v>#N/A</v>
      </c>
      <c r="BI54" s="136" t="e">
        <f t="shared" si="16"/>
        <v>#N/A</v>
      </c>
      <c r="BJ54" s="43" t="e">
        <f t="shared" si="30"/>
        <v>#N/A</v>
      </c>
      <c r="BK54" s="77">
        <f t="shared" ca="1" si="17"/>
        <v>45754</v>
      </c>
      <c r="BL54" s="78" t="e">
        <f>+(((AC54*POSTE!$H$5)+(CUM!AD54*POSTE!$H$4))/(POSTE!$H$4*POSTE!$H$5*2))</f>
        <v>#N/A</v>
      </c>
      <c r="BM54" s="90" t="e">
        <f ca="1">+WORKDAY.INTL(BK54,BL54,,CONGÉ!C$4:C$72)</f>
        <v>#N/A</v>
      </c>
      <c r="BN54" s="78" t="e">
        <f t="shared" ca="1" si="18"/>
        <v>#N/A</v>
      </c>
    </row>
    <row r="55" spans="1:66" x14ac:dyDescent="0.25">
      <c r="A55" s="49">
        <f t="shared" si="19"/>
        <v>51</v>
      </c>
      <c r="B55" s="185" cm="1">
        <f t="array" ref="B55">_xlfn.LET(_xlpm.CORR,IF(DATA!$B$4:$B$104="",IF(DATA!$A$4:$A$104="","--",DATA!$A$4:$A$104),DATA!$B$4:$B$104),_xlpm.Rx,SMALL(_xlpm.CORR,A55),IFERROR(MATCH(_xlpm.Rx,_xlpm.CORR,0),0))</f>
        <v>0</v>
      </c>
      <c r="C55" s="18" t="e">
        <f>+VLOOKUP($A55,DATA!$A:$AG,DATA!$E$3,FALSE)</f>
        <v>#N/A</v>
      </c>
      <c r="D55" s="18" t="e">
        <f>+VLOOKUP($A55,DATA!$A:$AG,DATA!$D$3,FALSE)</f>
        <v>#N/A</v>
      </c>
      <c r="E55" s="186" t="e">
        <f>+VLOOKUP($A55,DATA!$A:$AG,DATA!$G$3,FALSE)</f>
        <v>#N/A</v>
      </c>
      <c r="F55" s="19" t="e">
        <f>+VLOOKUP($A55,DATA!$A:$AG,DATA!$O$3,FALSE)</f>
        <v>#N/A</v>
      </c>
      <c r="G55" s="43" t="e">
        <f>+IF($F55="oui",+VLOOKUP($A55,DATA!$A:$AG,DATA!$P$3,FALSE),0)</f>
        <v>#N/A</v>
      </c>
      <c r="H55" s="44" t="e">
        <f>+IF($F55="oui",+VLOOKUP($A55,DATA!$A:$AG,DATA!$R$3,FALSE),0)</f>
        <v>#N/A</v>
      </c>
      <c r="I55" s="44" t="e">
        <f>+IF($F55="oui",+VLOOKUP($A55,DATA!$A:$AG,DATA!$T$3,FALSE),0)</f>
        <v>#N/A</v>
      </c>
      <c r="J55" s="44" t="e">
        <f>+IF($F55="oui",+VLOOKUP($A55,DATA!$A:$AG,DATA!$V$3,FALSE),0)</f>
        <v>#N/A</v>
      </c>
      <c r="K55" s="44" t="e">
        <f>+IF($F55="oui",+VLOOKUP($A55,DATA!$A:$AG,DATA!$X$3,FALSE),0)</f>
        <v>#N/A</v>
      </c>
      <c r="L55" s="44" t="e">
        <f>+IF($F55="oui",+VLOOKUP($A55,DATA!$A:$AG,DATA!$Z$3,FALSE),0)</f>
        <v>#N/A</v>
      </c>
      <c r="M55" s="44" t="e">
        <f>+IF($F55="oui",+VLOOKUP($A55,DATA!$A:$AG,DATA!$AB$3,FALSE),0)</f>
        <v>#N/A</v>
      </c>
      <c r="N55" s="44" t="e">
        <f>+IF($F55="oui",+VLOOKUP($A55,DATA!$A:$AG,DATA!$AD$3,FALSE),0)</f>
        <v>#N/A</v>
      </c>
      <c r="O55" s="45" t="e">
        <f>+IF($F55="oui",+VLOOKUP($A55,DATA!$A:$AG,DATA!$AF$3,FALSE),0)</f>
        <v>#N/A</v>
      </c>
      <c r="P55" s="116" t="e">
        <f t="shared" si="12"/>
        <v>#N/A</v>
      </c>
      <c r="Q55" s="21" t="e">
        <f>+IF($F55="oui",+VLOOKUP($A55,DATA!$A:$AG,DATA!$Q$3,FALSE),0)</f>
        <v>#N/A</v>
      </c>
      <c r="R55" s="22" t="e">
        <f>+IF($F55="oui",+VLOOKUP($A55,DATA!$A:$AG,DATA!$S$3,FALSE),0)</f>
        <v>#N/A</v>
      </c>
      <c r="S55" s="22" t="e">
        <f>+IF($F55="oui",+VLOOKUP($A55,DATA!$A:$AG,DATA!$U$3,FALSE),0)</f>
        <v>#N/A</v>
      </c>
      <c r="T55" s="22" t="e">
        <f>+IF($F55="oui",+VLOOKUP($A55,DATA!$A:$AG,DATA!$W$3,FALSE),0)</f>
        <v>#N/A</v>
      </c>
      <c r="U55" s="22" t="e">
        <f>+IF($F55="oui",+VLOOKUP($A55,DATA!$A:$AG,DATA!$Y$3,FALSE),0)</f>
        <v>#N/A</v>
      </c>
      <c r="V55" s="22" t="e">
        <f>+IF($F55="oui",+VLOOKUP($A55,DATA!$A:$AG,DATA!$AA$3,FALSE),0)</f>
        <v>#N/A</v>
      </c>
      <c r="W55" s="22" t="e">
        <f>+IF($F55="oui",+VLOOKUP($A55,DATA!$A:$AG,DATA!$AC$3,FALSE),0)</f>
        <v>#N/A</v>
      </c>
      <c r="X55" s="22" t="e">
        <f>+IF($F55="oui",+VLOOKUP($A55,DATA!$A:$AG,DATA!$AE$3,FALSE),0)</f>
        <v>#N/A</v>
      </c>
      <c r="Y55" s="23" t="e">
        <f>+IF($F55="oui",+VLOOKUP($A55,DATA!$A:$AG,DATA!$AG$3,FALSE),0)</f>
        <v>#N/A</v>
      </c>
      <c r="Z55" s="118" t="e">
        <f t="shared" si="20"/>
        <v>#N/A</v>
      </c>
      <c r="AA55" s="43" t="e">
        <f t="shared" si="21"/>
        <v>#N/A</v>
      </c>
      <c r="AB55" s="44" t="e">
        <f t="shared" si="22"/>
        <v>#N/A</v>
      </c>
      <c r="AC55" s="44" t="e">
        <f t="shared" si="23"/>
        <v>#N/A</v>
      </c>
      <c r="AD55" s="44" t="e">
        <f t="shared" si="24"/>
        <v>#N/A</v>
      </c>
      <c r="AE55" s="44" t="e">
        <f t="shared" si="25"/>
        <v>#N/A</v>
      </c>
      <c r="AF55" s="44" t="e">
        <f t="shared" si="26"/>
        <v>#N/A</v>
      </c>
      <c r="AG55" s="44" t="e">
        <f t="shared" si="27"/>
        <v>#N/A</v>
      </c>
      <c r="AH55" s="44" t="e">
        <f t="shared" si="28"/>
        <v>#N/A</v>
      </c>
      <c r="AI55" s="45" t="e">
        <f t="shared" si="29"/>
        <v>#N/A</v>
      </c>
      <c r="AJ55" s="70" t="e">
        <f>+IF(Q55=0," ",+WORKDAY.INTL(+VLOOKUP(AJ$1,POSTE!$B:$G,3,FALSE),+CUM!AA54/+VLOOKUP(AJ$1,POSTE!$B:$H,7,FALSE),,CONGÉ!$C$2:$C$80))</f>
        <v>#N/A</v>
      </c>
      <c r="AK55" s="50" t="e">
        <f>+IF(R55=0," ",+WORKDAY.INTL(+VLOOKUP(AK$1,POSTE!$B:$G,3,FALSE),+CUM!AB54/+VLOOKUP(AK$1,POSTE!$B:$H,7,FALSE),,CONGÉ!$C$2:$C$80))</f>
        <v>#N/A</v>
      </c>
      <c r="AL55" s="50" t="e">
        <f>+IF(S55=0," ",+WORKDAY.INTL(+VLOOKUP(AL$1,POSTE!$B:$G,3,FALSE),+CUM!AC54/+VLOOKUP(AL$1,POSTE!$B:$H,7,FALSE),,CONGÉ!$C$2:$C$80))</f>
        <v>#N/A</v>
      </c>
      <c r="AM55" s="50" t="e">
        <f>+IF(T55=0," ",+WORKDAY.INTL(+VLOOKUP(AM$1,POSTE!$B:$G,3,FALSE),+CUM!AD54/+VLOOKUP(AM$1,POSTE!$B:$H,7,FALSE),,CONGÉ!$C$2:$C$80))</f>
        <v>#N/A</v>
      </c>
      <c r="AN55" s="50" t="e">
        <f>+IF(U55=0," ",+WORKDAY.INTL(+VLOOKUP(AN$1,POSTE!$B:$G,3,FALSE),+CUM!AE54/+VLOOKUP(AN$1,POSTE!$B:$H,7,FALSE),,CONGÉ!$C$2:$C$80))</f>
        <v>#N/A</v>
      </c>
      <c r="AO55" s="50" t="e">
        <f>+IF(V55=0," ",+WORKDAY.INTL(+VLOOKUP(AO$1,POSTE!$B:$G,3,FALSE),+CUM!AF54/+VLOOKUP(AO$1,POSTE!$B:$H,7,FALSE),,CONGÉ!$C$2:$C$80))</f>
        <v>#N/A</v>
      </c>
      <c r="AP55" s="50" t="e">
        <f>+IF(W55=0," ",+WORKDAY.INTL(+VLOOKUP(AP$1,POSTE!$B:$G,3,FALSE),+CUM!AG54/+VLOOKUP(AP$1,POSTE!$B:$H,7,FALSE),,CONGÉ!$C$2:$C$80))</f>
        <v>#N/A</v>
      </c>
      <c r="AQ55" s="50" t="e">
        <f>+IF(X55=0," ",+WORKDAY.INTL(+VLOOKUP(AQ$1,POSTE!$B:$G,3,FALSE),+CUM!AH54/+VLOOKUP(AQ$1,POSTE!$B:$H,7,FALSE),,CONGÉ!$C$2:$C$80))</f>
        <v>#N/A</v>
      </c>
      <c r="AR55" s="71" t="e">
        <f>+IF(Y55=0," ",+WORKDAY.INTL(+VLOOKUP(AR$1,POSTE!$B:$G,3,FALSE),+CUM!AI54/+VLOOKUP(AR$1,POSTE!$B:$H,7,FALSE),,CONGÉ!$C$2:$C$80))</f>
        <v>#N/A</v>
      </c>
      <c r="AS55" s="72" t="e">
        <f>+IF(Q55=0," ",+WORKDAY.INTL(+VLOOKUP(AS$1,POSTE!$B:$G,3,FALSE),+CUM!AA55/+VLOOKUP(AS$1,POSTE!$B:$H,7,FALSE),,CONGÉ!$C$2:$C$80))</f>
        <v>#N/A</v>
      </c>
      <c r="AT55" s="73" t="e">
        <f>+IF(R55=0," ",+WORKDAY.INTL(+VLOOKUP(AT$1,POSTE!$B:$G,3,FALSE),+CUM!AB55/+VLOOKUP(AT$1,POSTE!$B:$H,7,FALSE),,CONGÉ!$C$2:$C$80))</f>
        <v>#N/A</v>
      </c>
      <c r="AU55" s="73" t="e">
        <f>+IF(AND(S55=0,T55=0)," ",+WORKDAY.INTL(+VLOOKUP($AS$1,POSTE!B:J,3,FALSE),+(((AC55*POSTE!$H$5)+(CUM!AD55*POSTE!$H$4))/(POSTE!$H$4*POSTE!$H$5*2)),,CONGÉ!$C$2:$C$80))</f>
        <v>#N/A</v>
      </c>
      <c r="AV55" s="73" t="e">
        <f>+IF(U55=0," ",+WORKDAY.INTL(+VLOOKUP(AV$1,POSTE!$B:$G,3,FALSE),+CUM!AE55/+VLOOKUP(AV$1,POSTE!$B:$H,7,FALSE),,CONGÉ!$C$2:$C$80))</f>
        <v>#N/A</v>
      </c>
      <c r="AW55" s="73" t="e">
        <f>+IF(V55=0," ",+WORKDAY.INTL(+VLOOKUP(AW$1,POSTE!$B:$G,3,FALSE),+CUM!AF55/+VLOOKUP(AW$1,POSTE!$B:$H,7,FALSE),,CONGÉ!$C$2:$C$80))</f>
        <v>#N/A</v>
      </c>
      <c r="AX55" s="73" t="e">
        <f>+IF(W55=0," ",+WORKDAY.INTL(+VLOOKUP(AX$1,POSTE!$B:$G,3,FALSE),+CUM!AG55/+VLOOKUP(AX$1,POSTE!$B:$H,7,FALSE),,CONGÉ!$C$2:$C$80))</f>
        <v>#N/A</v>
      </c>
      <c r="AY55" s="73" t="e">
        <f>+IF(X55=0," ",+WORKDAY.INTL(+VLOOKUP(AY$1,POSTE!$B:$G,3,FALSE),+CUM!AH55/+VLOOKUP(AY$1,POSTE!$B:$H,7,FALSE),,CONGÉ!$C$2:$C$80))</f>
        <v>#N/A</v>
      </c>
      <c r="AZ55" s="73" t="e">
        <f>+IF(Y55=0," ",+WORKDAY.INTL(+VLOOKUP(AZ$1,POSTE!$B:$G,3,FALSE),+CUM!AI55/+VLOOKUP(AZ$1,POSTE!$B:$H,7,FALSE),,CONGÉ!$C$2:$C$80))</f>
        <v>#N/A</v>
      </c>
      <c r="BA55" s="73" t="e">
        <f>+IF(S55=0," ",+WORKDAY.INTL(+VLOOKUP(BA$1,POSTE!$B:$G,3,FALSE),+CUM!AC55/+VLOOKUP(BA$1,POSTE!$B:$H,7,FALSE),,CONGÉ!$C$2:$C$80))</f>
        <v>#N/A</v>
      </c>
      <c r="BB55" s="73" t="e">
        <f>+IF(T55=0," ",+WORKDAY.INTL(+VLOOKUP(BB$1,POSTE!$B:$G,3,FALSE),+CUM!AD55/+VLOOKUP(BB$1,POSTE!$B:$H,7,FALSE),,CONGÉ!$C$2:$C$80))</f>
        <v>#N/A</v>
      </c>
      <c r="BC55" s="70" t="e">
        <f t="shared" si="13"/>
        <v>#N/A</v>
      </c>
      <c r="BD55" s="70" t="e">
        <f t="shared" si="14"/>
        <v>#N/A</v>
      </c>
      <c r="BE55" s="129" t="e">
        <f>+IF($F55="oui",+VLOOKUP($A55,DATA!$A:$AH,DATA!$AH$3,FALSE),0)</f>
        <v>#N/A</v>
      </c>
      <c r="BF55" s="129" t="e">
        <f t="shared" si="15"/>
        <v>#N/A</v>
      </c>
      <c r="BG55" s="136" t="e">
        <f>+IF(BE55&gt;0,+MAX((BH$4:BH54),BD55),"")</f>
        <v>#N/A</v>
      </c>
      <c r="BH55" s="136" t="e">
        <f>+IF(BE55&gt;0,+MAX((BH$4:BH54),+WORKDAY.INTL(BG55,+BE55/8,,CONGÉ!$C$2:$C$73)),"")</f>
        <v>#N/A</v>
      </c>
      <c r="BI55" s="136" t="e">
        <f t="shared" si="16"/>
        <v>#N/A</v>
      </c>
      <c r="BJ55" s="43" t="e">
        <f t="shared" si="30"/>
        <v>#N/A</v>
      </c>
      <c r="BK55" s="77">
        <f t="shared" ca="1" si="17"/>
        <v>45754</v>
      </c>
      <c r="BL55" s="78" t="e">
        <f>+(((AC55*POSTE!$H$5)+(CUM!AD55*POSTE!$H$4))/(POSTE!$H$4*POSTE!$H$5*2))</f>
        <v>#N/A</v>
      </c>
      <c r="BM55" s="90" t="e">
        <f ca="1">+WORKDAY.INTL(BK55,BL55,,CONGÉ!C$4:C$72)</f>
        <v>#N/A</v>
      </c>
      <c r="BN55" s="78" t="e">
        <f t="shared" ca="1" si="18"/>
        <v>#N/A</v>
      </c>
    </row>
    <row r="56" spans="1:66" x14ac:dyDescent="0.25">
      <c r="A56" s="49">
        <f t="shared" si="19"/>
        <v>52</v>
      </c>
      <c r="B56" s="185" cm="1">
        <f t="array" ref="B56">_xlfn.LET(_xlpm.CORR,IF(DATA!$B$4:$B$104="",IF(DATA!$A$4:$A$104="","--",DATA!$A$4:$A$104),DATA!$B$4:$B$104),_xlpm.Rx,SMALL(_xlpm.CORR,A56),IFERROR(MATCH(_xlpm.Rx,_xlpm.CORR,0),0))</f>
        <v>0</v>
      </c>
      <c r="C56" s="18" t="e">
        <f>+VLOOKUP($A56,DATA!$A:$AG,DATA!$E$3,FALSE)</f>
        <v>#N/A</v>
      </c>
      <c r="D56" s="18" t="e">
        <f>+VLOOKUP($A56,DATA!$A:$AG,DATA!$D$3,FALSE)</f>
        <v>#N/A</v>
      </c>
      <c r="E56" s="186" t="e">
        <f>+VLOOKUP($A56,DATA!$A:$AG,DATA!$G$3,FALSE)</f>
        <v>#N/A</v>
      </c>
      <c r="F56" s="19" t="e">
        <f>+VLOOKUP($A56,DATA!$A:$AG,DATA!$O$3,FALSE)</f>
        <v>#N/A</v>
      </c>
      <c r="G56" s="43" t="e">
        <f>+IF($F56="oui",+VLOOKUP($A56,DATA!$A:$AG,DATA!$P$3,FALSE),0)</f>
        <v>#N/A</v>
      </c>
      <c r="H56" s="44" t="e">
        <f>+IF($F56="oui",+VLOOKUP($A56,DATA!$A:$AG,DATA!$R$3,FALSE),0)</f>
        <v>#N/A</v>
      </c>
      <c r="I56" s="44" t="e">
        <f>+IF($F56="oui",+VLOOKUP($A56,DATA!$A:$AG,DATA!$T$3,FALSE),0)</f>
        <v>#N/A</v>
      </c>
      <c r="J56" s="44" t="e">
        <f>+IF($F56="oui",+VLOOKUP($A56,DATA!$A:$AG,DATA!$V$3,FALSE),0)</f>
        <v>#N/A</v>
      </c>
      <c r="K56" s="44" t="e">
        <f>+IF($F56="oui",+VLOOKUP($A56,DATA!$A:$AG,DATA!$X$3,FALSE),0)</f>
        <v>#N/A</v>
      </c>
      <c r="L56" s="44" t="e">
        <f>+IF($F56="oui",+VLOOKUP($A56,DATA!$A:$AG,DATA!$Z$3,FALSE),0)</f>
        <v>#N/A</v>
      </c>
      <c r="M56" s="44" t="e">
        <f>+IF($F56="oui",+VLOOKUP($A56,DATA!$A:$AG,DATA!$AB$3,FALSE),0)</f>
        <v>#N/A</v>
      </c>
      <c r="N56" s="44" t="e">
        <f>+IF($F56="oui",+VLOOKUP($A56,DATA!$A:$AG,DATA!$AD$3,FALSE),0)</f>
        <v>#N/A</v>
      </c>
      <c r="O56" s="45" t="e">
        <f>+IF($F56="oui",+VLOOKUP($A56,DATA!$A:$AG,DATA!$AF$3,FALSE),0)</f>
        <v>#N/A</v>
      </c>
      <c r="P56" s="116" t="e">
        <f t="shared" si="12"/>
        <v>#N/A</v>
      </c>
      <c r="Q56" s="21" t="e">
        <f>+IF($F56="oui",+VLOOKUP($A56,DATA!$A:$AG,DATA!$Q$3,FALSE),0)</f>
        <v>#N/A</v>
      </c>
      <c r="R56" s="22" t="e">
        <f>+IF($F56="oui",+VLOOKUP($A56,DATA!$A:$AG,DATA!$S$3,FALSE),0)</f>
        <v>#N/A</v>
      </c>
      <c r="S56" s="22" t="e">
        <f>+IF($F56="oui",+VLOOKUP($A56,DATA!$A:$AG,DATA!$U$3,FALSE),0)</f>
        <v>#N/A</v>
      </c>
      <c r="T56" s="22" t="e">
        <f>+IF($F56="oui",+VLOOKUP($A56,DATA!$A:$AG,DATA!$W$3,FALSE),0)</f>
        <v>#N/A</v>
      </c>
      <c r="U56" s="22" t="e">
        <f>+IF($F56="oui",+VLOOKUP($A56,DATA!$A:$AG,DATA!$Y$3,FALSE),0)</f>
        <v>#N/A</v>
      </c>
      <c r="V56" s="22" t="e">
        <f>+IF($F56="oui",+VLOOKUP($A56,DATA!$A:$AG,DATA!$AA$3,FALSE),0)</f>
        <v>#N/A</v>
      </c>
      <c r="W56" s="22" t="e">
        <f>+IF($F56="oui",+VLOOKUP($A56,DATA!$A:$AG,DATA!$AC$3,FALSE),0)</f>
        <v>#N/A</v>
      </c>
      <c r="X56" s="22" t="e">
        <f>+IF($F56="oui",+VLOOKUP($A56,DATA!$A:$AG,DATA!$AE$3,FALSE),0)</f>
        <v>#N/A</v>
      </c>
      <c r="Y56" s="23" t="e">
        <f>+IF($F56="oui",+VLOOKUP($A56,DATA!$A:$AG,DATA!$AG$3,FALSE),0)</f>
        <v>#N/A</v>
      </c>
      <c r="Z56" s="118" t="e">
        <f t="shared" si="20"/>
        <v>#N/A</v>
      </c>
      <c r="AA56" s="43" t="e">
        <f t="shared" si="21"/>
        <v>#N/A</v>
      </c>
      <c r="AB56" s="44" t="e">
        <f t="shared" si="22"/>
        <v>#N/A</v>
      </c>
      <c r="AC56" s="44" t="e">
        <f t="shared" si="23"/>
        <v>#N/A</v>
      </c>
      <c r="AD56" s="44" t="e">
        <f t="shared" si="24"/>
        <v>#N/A</v>
      </c>
      <c r="AE56" s="44" t="e">
        <f t="shared" si="25"/>
        <v>#N/A</v>
      </c>
      <c r="AF56" s="44" t="e">
        <f t="shared" si="26"/>
        <v>#N/A</v>
      </c>
      <c r="AG56" s="44" t="e">
        <f t="shared" si="27"/>
        <v>#N/A</v>
      </c>
      <c r="AH56" s="44" t="e">
        <f t="shared" si="28"/>
        <v>#N/A</v>
      </c>
      <c r="AI56" s="45" t="e">
        <f t="shared" si="29"/>
        <v>#N/A</v>
      </c>
      <c r="AJ56" s="70" t="e">
        <f>+IF(Q56=0," ",+WORKDAY.INTL(+VLOOKUP(AJ$1,POSTE!$B:$G,3,FALSE),+CUM!AA55/+VLOOKUP(AJ$1,POSTE!$B:$H,7,FALSE),,CONGÉ!$C$2:$C$80))</f>
        <v>#N/A</v>
      </c>
      <c r="AK56" s="50" t="e">
        <f>+IF(R56=0," ",+WORKDAY.INTL(+VLOOKUP(AK$1,POSTE!$B:$G,3,FALSE),+CUM!AB55/+VLOOKUP(AK$1,POSTE!$B:$H,7,FALSE),,CONGÉ!$C$2:$C$80))</f>
        <v>#N/A</v>
      </c>
      <c r="AL56" s="50" t="e">
        <f>+IF(S56=0," ",+WORKDAY.INTL(+VLOOKUP(AL$1,POSTE!$B:$G,3,FALSE),+CUM!AC55/+VLOOKUP(AL$1,POSTE!$B:$H,7,FALSE),,CONGÉ!$C$2:$C$80))</f>
        <v>#N/A</v>
      </c>
      <c r="AM56" s="50" t="e">
        <f>+IF(T56=0," ",+WORKDAY.INTL(+VLOOKUP(AM$1,POSTE!$B:$G,3,FALSE),+CUM!AD55/+VLOOKUP(AM$1,POSTE!$B:$H,7,FALSE),,CONGÉ!$C$2:$C$80))</f>
        <v>#N/A</v>
      </c>
      <c r="AN56" s="50" t="e">
        <f>+IF(U56=0," ",+WORKDAY.INTL(+VLOOKUP(AN$1,POSTE!$B:$G,3,FALSE),+CUM!AE55/+VLOOKUP(AN$1,POSTE!$B:$H,7,FALSE),,CONGÉ!$C$2:$C$80))</f>
        <v>#N/A</v>
      </c>
      <c r="AO56" s="50" t="e">
        <f>+IF(V56=0," ",+WORKDAY.INTL(+VLOOKUP(AO$1,POSTE!$B:$G,3,FALSE),+CUM!AF55/+VLOOKUP(AO$1,POSTE!$B:$H,7,FALSE),,CONGÉ!$C$2:$C$80))</f>
        <v>#N/A</v>
      </c>
      <c r="AP56" s="50" t="e">
        <f>+IF(W56=0," ",+WORKDAY.INTL(+VLOOKUP(AP$1,POSTE!$B:$G,3,FALSE),+CUM!AG55/+VLOOKUP(AP$1,POSTE!$B:$H,7,FALSE),,CONGÉ!$C$2:$C$80))</f>
        <v>#N/A</v>
      </c>
      <c r="AQ56" s="50" t="e">
        <f>+IF(X56=0," ",+WORKDAY.INTL(+VLOOKUP(AQ$1,POSTE!$B:$G,3,FALSE),+CUM!AH55/+VLOOKUP(AQ$1,POSTE!$B:$H,7,FALSE),,CONGÉ!$C$2:$C$80))</f>
        <v>#N/A</v>
      </c>
      <c r="AR56" s="71" t="e">
        <f>+IF(Y56=0," ",+WORKDAY.INTL(+VLOOKUP(AR$1,POSTE!$B:$G,3,FALSE),+CUM!AI55/+VLOOKUP(AR$1,POSTE!$B:$H,7,FALSE),,CONGÉ!$C$2:$C$80))</f>
        <v>#N/A</v>
      </c>
      <c r="AS56" s="72" t="e">
        <f>+IF(Q56=0," ",+WORKDAY.INTL(+VLOOKUP(AS$1,POSTE!$B:$G,3,FALSE),+CUM!AA56/+VLOOKUP(AS$1,POSTE!$B:$H,7,FALSE),,CONGÉ!$C$2:$C$80))</f>
        <v>#N/A</v>
      </c>
      <c r="AT56" s="73" t="e">
        <f>+IF(R56=0," ",+WORKDAY.INTL(+VLOOKUP(AT$1,POSTE!$B:$G,3,FALSE),+CUM!AB56/+VLOOKUP(AT$1,POSTE!$B:$H,7,FALSE),,CONGÉ!$C$2:$C$80))</f>
        <v>#N/A</v>
      </c>
      <c r="AU56" s="73" t="e">
        <f>+IF(AND(S56=0,T56=0)," ",+WORKDAY.INTL(+VLOOKUP($AS$1,POSTE!B:J,3,FALSE),+(((AC56*POSTE!$H$5)+(CUM!AD56*POSTE!$H$4))/(POSTE!$H$4*POSTE!$H$5*2)),,CONGÉ!$C$2:$C$80))</f>
        <v>#N/A</v>
      </c>
      <c r="AV56" s="73" t="e">
        <f>+IF(U56=0," ",+WORKDAY.INTL(+VLOOKUP(AV$1,POSTE!$B:$G,3,FALSE),+CUM!AE56/+VLOOKUP(AV$1,POSTE!$B:$H,7,FALSE),,CONGÉ!$C$2:$C$80))</f>
        <v>#N/A</v>
      </c>
      <c r="AW56" s="73" t="e">
        <f>+IF(V56=0," ",+WORKDAY.INTL(+VLOOKUP(AW$1,POSTE!$B:$G,3,FALSE),+CUM!AF56/+VLOOKUP(AW$1,POSTE!$B:$H,7,FALSE),,CONGÉ!$C$2:$C$80))</f>
        <v>#N/A</v>
      </c>
      <c r="AX56" s="73" t="e">
        <f>+IF(W56=0," ",+WORKDAY.INTL(+VLOOKUP(AX$1,POSTE!$B:$G,3,FALSE),+CUM!AG56/+VLOOKUP(AX$1,POSTE!$B:$H,7,FALSE),,CONGÉ!$C$2:$C$80))</f>
        <v>#N/A</v>
      </c>
      <c r="AY56" s="73" t="e">
        <f>+IF(X56=0," ",+WORKDAY.INTL(+VLOOKUP(AY$1,POSTE!$B:$G,3,FALSE),+CUM!AH56/+VLOOKUP(AY$1,POSTE!$B:$H,7,FALSE),,CONGÉ!$C$2:$C$80))</f>
        <v>#N/A</v>
      </c>
      <c r="AZ56" s="73" t="e">
        <f>+IF(Y56=0," ",+WORKDAY.INTL(+VLOOKUP(AZ$1,POSTE!$B:$G,3,FALSE),+CUM!AI56/+VLOOKUP(AZ$1,POSTE!$B:$H,7,FALSE),,CONGÉ!$C$2:$C$80))</f>
        <v>#N/A</v>
      </c>
      <c r="BA56" s="73" t="e">
        <f>+IF(S56=0," ",+WORKDAY.INTL(+VLOOKUP(BA$1,POSTE!$B:$G,3,FALSE),+CUM!AC56/+VLOOKUP(BA$1,POSTE!$B:$H,7,FALSE),,CONGÉ!$C$2:$C$80))</f>
        <v>#N/A</v>
      </c>
      <c r="BB56" s="73" t="e">
        <f>+IF(T56=0," ",+WORKDAY.INTL(+VLOOKUP(BB$1,POSTE!$B:$G,3,FALSE),+CUM!AD56/+VLOOKUP(BB$1,POSTE!$B:$H,7,FALSE),,CONGÉ!$C$2:$C$80))</f>
        <v>#N/A</v>
      </c>
      <c r="BC56" s="70" t="e">
        <f t="shared" si="13"/>
        <v>#N/A</v>
      </c>
      <c r="BD56" s="70" t="e">
        <f t="shared" si="14"/>
        <v>#N/A</v>
      </c>
      <c r="BE56" s="129" t="e">
        <f>+IF($F56="oui",+VLOOKUP($A56,DATA!$A:$AH,DATA!$AH$3,FALSE),0)</f>
        <v>#N/A</v>
      </c>
      <c r="BF56" s="129" t="e">
        <f t="shared" si="15"/>
        <v>#N/A</v>
      </c>
      <c r="BG56" s="136" t="e">
        <f>+IF(BE56&gt;0,+MAX((BH$4:BH55),BD56),"")</f>
        <v>#N/A</v>
      </c>
      <c r="BH56" s="136" t="e">
        <f>+IF(BE56&gt;0,+MAX((BH$4:BH55),+WORKDAY.INTL(BG56,+BE56/8,,CONGÉ!$C$2:$C$73)),"")</f>
        <v>#N/A</v>
      </c>
      <c r="BI56" s="136" t="e">
        <f t="shared" si="16"/>
        <v>#N/A</v>
      </c>
      <c r="BJ56" s="43" t="e">
        <f t="shared" si="30"/>
        <v>#N/A</v>
      </c>
      <c r="BK56" s="77">
        <f t="shared" ca="1" si="17"/>
        <v>45754</v>
      </c>
      <c r="BL56" s="78" t="e">
        <f>+(((AC56*POSTE!$H$5)+(CUM!AD56*POSTE!$H$4))/(POSTE!$H$4*POSTE!$H$5*2))</f>
        <v>#N/A</v>
      </c>
      <c r="BM56" s="90" t="e">
        <f ca="1">+WORKDAY.INTL(BK56,BL56,,CONGÉ!C$4:C$72)</f>
        <v>#N/A</v>
      </c>
      <c r="BN56" s="78" t="e">
        <f t="shared" ca="1" si="18"/>
        <v>#N/A</v>
      </c>
    </row>
    <row r="57" spans="1:66" x14ac:dyDescent="0.25">
      <c r="A57" s="49">
        <f t="shared" si="19"/>
        <v>53</v>
      </c>
      <c r="B57" s="185" cm="1">
        <f t="array" ref="B57">_xlfn.LET(_xlpm.CORR,IF(DATA!$B$4:$B$104="",IF(DATA!$A$4:$A$104="","--",DATA!$A$4:$A$104),DATA!$B$4:$B$104),_xlpm.Rx,SMALL(_xlpm.CORR,A57),IFERROR(MATCH(_xlpm.Rx,_xlpm.CORR,0),0))</f>
        <v>0</v>
      </c>
      <c r="C57" s="18" t="e">
        <f>+VLOOKUP($A57,DATA!$A:$AG,DATA!$E$3,FALSE)</f>
        <v>#N/A</v>
      </c>
      <c r="D57" s="18" t="e">
        <f>+VLOOKUP($A57,DATA!$A:$AG,DATA!$D$3,FALSE)</f>
        <v>#N/A</v>
      </c>
      <c r="E57" s="186" t="e">
        <f>+VLOOKUP($A57,DATA!$A:$AG,DATA!$G$3,FALSE)</f>
        <v>#N/A</v>
      </c>
      <c r="F57" s="19" t="e">
        <f>+VLOOKUP($A57,DATA!$A:$AG,DATA!$O$3,FALSE)</f>
        <v>#N/A</v>
      </c>
      <c r="G57" s="43" t="e">
        <f>+IF($F57="oui",+VLOOKUP($A57,DATA!$A:$AG,DATA!$P$3,FALSE),0)</f>
        <v>#N/A</v>
      </c>
      <c r="H57" s="44" t="e">
        <f>+IF($F57="oui",+VLOOKUP($A57,DATA!$A:$AG,DATA!$R$3,FALSE),0)</f>
        <v>#N/A</v>
      </c>
      <c r="I57" s="44" t="e">
        <f>+IF($F57="oui",+VLOOKUP($A57,DATA!$A:$AG,DATA!$T$3,FALSE),0)</f>
        <v>#N/A</v>
      </c>
      <c r="J57" s="44" t="e">
        <f>+IF($F57="oui",+VLOOKUP($A57,DATA!$A:$AG,DATA!$V$3,FALSE),0)</f>
        <v>#N/A</v>
      </c>
      <c r="K57" s="44" t="e">
        <f>+IF($F57="oui",+VLOOKUP($A57,DATA!$A:$AG,DATA!$X$3,FALSE),0)</f>
        <v>#N/A</v>
      </c>
      <c r="L57" s="44" t="e">
        <f>+IF($F57="oui",+VLOOKUP($A57,DATA!$A:$AG,DATA!$Z$3,FALSE),0)</f>
        <v>#N/A</v>
      </c>
      <c r="M57" s="44" t="e">
        <f>+IF($F57="oui",+VLOOKUP($A57,DATA!$A:$AG,DATA!$AB$3,FALSE),0)</f>
        <v>#N/A</v>
      </c>
      <c r="N57" s="44" t="e">
        <f>+IF($F57="oui",+VLOOKUP($A57,DATA!$A:$AG,DATA!$AD$3,FALSE),0)</f>
        <v>#N/A</v>
      </c>
      <c r="O57" s="45" t="e">
        <f>+IF($F57="oui",+VLOOKUP($A57,DATA!$A:$AG,DATA!$AF$3,FALSE),0)</f>
        <v>#N/A</v>
      </c>
      <c r="P57" s="116" t="e">
        <f t="shared" si="12"/>
        <v>#N/A</v>
      </c>
      <c r="Q57" s="21" t="e">
        <f>+IF($F57="oui",+VLOOKUP($A57,DATA!$A:$AG,DATA!$Q$3,FALSE),0)</f>
        <v>#N/A</v>
      </c>
      <c r="R57" s="22" t="e">
        <f>+IF($F57="oui",+VLOOKUP($A57,DATA!$A:$AG,DATA!$S$3,FALSE),0)</f>
        <v>#N/A</v>
      </c>
      <c r="S57" s="22" t="e">
        <f>+IF($F57="oui",+VLOOKUP($A57,DATA!$A:$AG,DATA!$U$3,FALSE),0)</f>
        <v>#N/A</v>
      </c>
      <c r="T57" s="22" t="e">
        <f>+IF($F57="oui",+VLOOKUP($A57,DATA!$A:$AG,DATA!$W$3,FALSE),0)</f>
        <v>#N/A</v>
      </c>
      <c r="U57" s="22" t="e">
        <f>+IF($F57="oui",+VLOOKUP($A57,DATA!$A:$AG,DATA!$Y$3,FALSE),0)</f>
        <v>#N/A</v>
      </c>
      <c r="V57" s="22" t="e">
        <f>+IF($F57="oui",+VLOOKUP($A57,DATA!$A:$AG,DATA!$AA$3,FALSE),0)</f>
        <v>#N/A</v>
      </c>
      <c r="W57" s="22" t="e">
        <f>+IF($F57="oui",+VLOOKUP($A57,DATA!$A:$AG,DATA!$AC$3,FALSE),0)</f>
        <v>#N/A</v>
      </c>
      <c r="X57" s="22" t="e">
        <f>+IF($F57="oui",+VLOOKUP($A57,DATA!$A:$AG,DATA!$AE$3,FALSE),0)</f>
        <v>#N/A</v>
      </c>
      <c r="Y57" s="23" t="e">
        <f>+IF($F57="oui",+VLOOKUP($A57,DATA!$A:$AG,DATA!$AG$3,FALSE),0)</f>
        <v>#N/A</v>
      </c>
      <c r="Z57" s="118" t="e">
        <f t="shared" si="20"/>
        <v>#N/A</v>
      </c>
      <c r="AA57" s="43" t="e">
        <f t="shared" si="21"/>
        <v>#N/A</v>
      </c>
      <c r="AB57" s="44" t="e">
        <f t="shared" si="22"/>
        <v>#N/A</v>
      </c>
      <c r="AC57" s="44" t="e">
        <f t="shared" si="23"/>
        <v>#N/A</v>
      </c>
      <c r="AD57" s="44" t="e">
        <f t="shared" si="24"/>
        <v>#N/A</v>
      </c>
      <c r="AE57" s="44" t="e">
        <f t="shared" si="25"/>
        <v>#N/A</v>
      </c>
      <c r="AF57" s="44" t="e">
        <f t="shared" si="26"/>
        <v>#N/A</v>
      </c>
      <c r="AG57" s="44" t="e">
        <f t="shared" si="27"/>
        <v>#N/A</v>
      </c>
      <c r="AH57" s="44" t="e">
        <f t="shared" si="28"/>
        <v>#N/A</v>
      </c>
      <c r="AI57" s="45" t="e">
        <f t="shared" si="29"/>
        <v>#N/A</v>
      </c>
      <c r="AJ57" s="70" t="e">
        <f>+IF(Q57=0," ",+WORKDAY.INTL(+VLOOKUP(AJ$1,POSTE!$B:$G,3,FALSE),+CUM!AA56/+VLOOKUP(AJ$1,POSTE!$B:$H,7,FALSE),,CONGÉ!$C$2:$C$80))</f>
        <v>#N/A</v>
      </c>
      <c r="AK57" s="50" t="e">
        <f>+IF(R57=0," ",+WORKDAY.INTL(+VLOOKUP(AK$1,POSTE!$B:$G,3,FALSE),+CUM!AB56/+VLOOKUP(AK$1,POSTE!$B:$H,7,FALSE),,CONGÉ!$C$2:$C$80))</f>
        <v>#N/A</v>
      </c>
      <c r="AL57" s="50" t="e">
        <f>+IF(S57=0," ",+WORKDAY.INTL(+VLOOKUP(AL$1,POSTE!$B:$G,3,FALSE),+CUM!AC56/+VLOOKUP(AL$1,POSTE!$B:$H,7,FALSE),,CONGÉ!$C$2:$C$80))</f>
        <v>#N/A</v>
      </c>
      <c r="AM57" s="50" t="e">
        <f>+IF(T57=0," ",+WORKDAY.INTL(+VLOOKUP(AM$1,POSTE!$B:$G,3,FALSE),+CUM!AD56/+VLOOKUP(AM$1,POSTE!$B:$H,7,FALSE),,CONGÉ!$C$2:$C$80))</f>
        <v>#N/A</v>
      </c>
      <c r="AN57" s="50" t="e">
        <f>+IF(U57=0," ",+WORKDAY.INTL(+VLOOKUP(AN$1,POSTE!$B:$G,3,FALSE),+CUM!AE56/+VLOOKUP(AN$1,POSTE!$B:$H,7,FALSE),,CONGÉ!$C$2:$C$80))</f>
        <v>#N/A</v>
      </c>
      <c r="AO57" s="50" t="e">
        <f>+IF(V57=0," ",+WORKDAY.INTL(+VLOOKUP(AO$1,POSTE!$B:$G,3,FALSE),+CUM!AF56/+VLOOKUP(AO$1,POSTE!$B:$H,7,FALSE),,CONGÉ!$C$2:$C$80))</f>
        <v>#N/A</v>
      </c>
      <c r="AP57" s="50" t="e">
        <f>+IF(W57=0," ",+WORKDAY.INTL(+VLOOKUP(AP$1,POSTE!$B:$G,3,FALSE),+CUM!AG56/+VLOOKUP(AP$1,POSTE!$B:$H,7,FALSE),,CONGÉ!$C$2:$C$80))</f>
        <v>#N/A</v>
      </c>
      <c r="AQ57" s="50" t="e">
        <f>+IF(X57=0," ",+WORKDAY.INTL(+VLOOKUP(AQ$1,POSTE!$B:$G,3,FALSE),+CUM!AH56/+VLOOKUP(AQ$1,POSTE!$B:$H,7,FALSE),,CONGÉ!$C$2:$C$80))</f>
        <v>#N/A</v>
      </c>
      <c r="AR57" s="71" t="e">
        <f>+IF(Y57=0," ",+WORKDAY.INTL(+VLOOKUP(AR$1,POSTE!$B:$G,3,FALSE),+CUM!AI56/+VLOOKUP(AR$1,POSTE!$B:$H,7,FALSE),,CONGÉ!$C$2:$C$80))</f>
        <v>#N/A</v>
      </c>
      <c r="AS57" s="72" t="e">
        <f>+IF(Q57=0," ",+WORKDAY.INTL(+VLOOKUP(AS$1,POSTE!$B:$G,3,FALSE),+CUM!AA57/+VLOOKUP(AS$1,POSTE!$B:$H,7,FALSE),,CONGÉ!$C$2:$C$80))</f>
        <v>#N/A</v>
      </c>
      <c r="AT57" s="73" t="e">
        <f>+IF(R57=0," ",+WORKDAY.INTL(+VLOOKUP(AT$1,POSTE!$B:$G,3,FALSE),+CUM!AB57/+VLOOKUP(AT$1,POSTE!$B:$H,7,FALSE),,CONGÉ!$C$2:$C$80))</f>
        <v>#N/A</v>
      </c>
      <c r="AU57" s="73" t="e">
        <f>+IF(AND(S57=0,T57=0)," ",+WORKDAY.INTL(+VLOOKUP($AS$1,POSTE!B:J,3,FALSE),+(((AC57*POSTE!$H$5)+(CUM!AD57*POSTE!$H$4))/(POSTE!$H$4*POSTE!$H$5*2)),,CONGÉ!$C$2:$C$80))</f>
        <v>#N/A</v>
      </c>
      <c r="AV57" s="73" t="e">
        <f>+IF(U57=0," ",+WORKDAY.INTL(+VLOOKUP(AV$1,POSTE!$B:$G,3,FALSE),+CUM!AE57/+VLOOKUP(AV$1,POSTE!$B:$H,7,FALSE),,CONGÉ!$C$2:$C$80))</f>
        <v>#N/A</v>
      </c>
      <c r="AW57" s="73" t="e">
        <f>+IF(V57=0," ",+WORKDAY.INTL(+VLOOKUP(AW$1,POSTE!$B:$G,3,FALSE),+CUM!AF57/+VLOOKUP(AW$1,POSTE!$B:$H,7,FALSE),,CONGÉ!$C$2:$C$80))</f>
        <v>#N/A</v>
      </c>
      <c r="AX57" s="73" t="e">
        <f>+IF(W57=0," ",+WORKDAY.INTL(+VLOOKUP(AX$1,POSTE!$B:$G,3,FALSE),+CUM!AG57/+VLOOKUP(AX$1,POSTE!$B:$H,7,FALSE),,CONGÉ!$C$2:$C$80))</f>
        <v>#N/A</v>
      </c>
      <c r="AY57" s="73" t="e">
        <f>+IF(X57=0," ",+WORKDAY.INTL(+VLOOKUP(AY$1,POSTE!$B:$G,3,FALSE),+CUM!AH57/+VLOOKUP(AY$1,POSTE!$B:$H,7,FALSE),,CONGÉ!$C$2:$C$80))</f>
        <v>#N/A</v>
      </c>
      <c r="AZ57" s="73" t="e">
        <f>+IF(Y57=0," ",+WORKDAY.INTL(+VLOOKUP(AZ$1,POSTE!$B:$G,3,FALSE),+CUM!AI57/+VLOOKUP(AZ$1,POSTE!$B:$H,7,FALSE),,CONGÉ!$C$2:$C$80))</f>
        <v>#N/A</v>
      </c>
      <c r="BA57" s="73" t="e">
        <f>+IF(S57=0," ",+WORKDAY.INTL(+VLOOKUP(BA$1,POSTE!$B:$G,3,FALSE),+CUM!AC57/+VLOOKUP(BA$1,POSTE!$B:$H,7,FALSE),,CONGÉ!$C$2:$C$80))</f>
        <v>#N/A</v>
      </c>
      <c r="BB57" s="73" t="e">
        <f>+IF(T57=0," ",+WORKDAY.INTL(+VLOOKUP(BB$1,POSTE!$B:$G,3,FALSE),+CUM!AD57/+VLOOKUP(BB$1,POSTE!$B:$H,7,FALSE),,CONGÉ!$C$2:$C$80))</f>
        <v>#N/A</v>
      </c>
      <c r="BC57" s="70" t="e">
        <f t="shared" si="13"/>
        <v>#N/A</v>
      </c>
      <c r="BD57" s="70" t="e">
        <f t="shared" si="14"/>
        <v>#N/A</v>
      </c>
      <c r="BE57" s="129" t="e">
        <f>+IF($F57="oui",+VLOOKUP($A57,DATA!$A:$AH,DATA!$AH$3,FALSE),0)</f>
        <v>#N/A</v>
      </c>
      <c r="BF57" s="129" t="e">
        <f t="shared" si="15"/>
        <v>#N/A</v>
      </c>
      <c r="BG57" s="136" t="e">
        <f>+IF(BE57&gt;0,+MAX((BH$4:BH56),BD57),"")</f>
        <v>#N/A</v>
      </c>
      <c r="BH57" s="136" t="e">
        <f>+IF(BE57&gt;0,+MAX((BH$4:BH56),+WORKDAY.INTL(BG57,+BE57/8,,CONGÉ!$C$2:$C$73)),"")</f>
        <v>#N/A</v>
      </c>
      <c r="BI57" s="136" t="e">
        <f t="shared" si="16"/>
        <v>#N/A</v>
      </c>
      <c r="BJ57" s="43" t="e">
        <f t="shared" si="30"/>
        <v>#N/A</v>
      </c>
      <c r="BK57" s="77">
        <f t="shared" ca="1" si="17"/>
        <v>45754</v>
      </c>
      <c r="BL57" s="78" t="e">
        <f>+(((AC57*POSTE!$H$5)+(CUM!AD57*POSTE!$H$4))/(POSTE!$H$4*POSTE!$H$5*2))</f>
        <v>#N/A</v>
      </c>
      <c r="BM57" s="90" t="e">
        <f ca="1">+WORKDAY.INTL(BK57,BL57,,CONGÉ!C$4:C$72)</f>
        <v>#N/A</v>
      </c>
      <c r="BN57" s="78" t="e">
        <f t="shared" ca="1" si="18"/>
        <v>#N/A</v>
      </c>
    </row>
    <row r="58" spans="1:66" x14ac:dyDescent="0.25">
      <c r="A58" s="49">
        <f t="shared" si="19"/>
        <v>54</v>
      </c>
      <c r="B58" s="185" cm="1">
        <f t="array" ref="B58">_xlfn.LET(_xlpm.CORR,IF(DATA!$B$4:$B$104="",IF(DATA!$A$4:$A$104="","--",DATA!$A$4:$A$104),DATA!$B$4:$B$104),_xlpm.Rx,SMALL(_xlpm.CORR,A58),IFERROR(MATCH(_xlpm.Rx,_xlpm.CORR,0),0))</f>
        <v>0</v>
      </c>
      <c r="C58" s="18" t="e">
        <f>+VLOOKUP($A58,DATA!$A:$AG,DATA!$E$3,FALSE)</f>
        <v>#N/A</v>
      </c>
      <c r="D58" s="18" t="e">
        <f>+VLOOKUP($A58,DATA!$A:$AG,DATA!$D$3,FALSE)</f>
        <v>#N/A</v>
      </c>
      <c r="E58" s="186" t="e">
        <f>+VLOOKUP($A58,DATA!$A:$AG,DATA!$G$3,FALSE)</f>
        <v>#N/A</v>
      </c>
      <c r="F58" s="19" t="e">
        <f>+VLOOKUP($A58,DATA!$A:$AG,DATA!$O$3,FALSE)</f>
        <v>#N/A</v>
      </c>
      <c r="G58" s="43" t="e">
        <f>+IF($F58="oui",+VLOOKUP($A58,DATA!$A:$AG,DATA!$P$3,FALSE),0)</f>
        <v>#N/A</v>
      </c>
      <c r="H58" s="44" t="e">
        <f>+IF($F58="oui",+VLOOKUP($A58,DATA!$A:$AG,DATA!$R$3,FALSE),0)</f>
        <v>#N/A</v>
      </c>
      <c r="I58" s="44" t="e">
        <f>+IF($F58="oui",+VLOOKUP($A58,DATA!$A:$AG,DATA!$T$3,FALSE),0)</f>
        <v>#N/A</v>
      </c>
      <c r="J58" s="44" t="e">
        <f>+IF($F58="oui",+VLOOKUP($A58,DATA!$A:$AG,DATA!$V$3,FALSE),0)</f>
        <v>#N/A</v>
      </c>
      <c r="K58" s="44" t="e">
        <f>+IF($F58="oui",+VLOOKUP($A58,DATA!$A:$AG,DATA!$X$3,FALSE),0)</f>
        <v>#N/A</v>
      </c>
      <c r="L58" s="44" t="e">
        <f>+IF($F58="oui",+VLOOKUP($A58,DATA!$A:$AG,DATA!$Z$3,FALSE),0)</f>
        <v>#N/A</v>
      </c>
      <c r="M58" s="44" t="e">
        <f>+IF($F58="oui",+VLOOKUP($A58,DATA!$A:$AG,DATA!$AB$3,FALSE),0)</f>
        <v>#N/A</v>
      </c>
      <c r="N58" s="44" t="e">
        <f>+IF($F58="oui",+VLOOKUP($A58,DATA!$A:$AG,DATA!$AD$3,FALSE),0)</f>
        <v>#N/A</v>
      </c>
      <c r="O58" s="45" t="e">
        <f>+IF($F58="oui",+VLOOKUP($A58,DATA!$A:$AG,DATA!$AF$3,FALSE),0)</f>
        <v>#N/A</v>
      </c>
      <c r="P58" s="116" t="e">
        <f t="shared" si="12"/>
        <v>#N/A</v>
      </c>
      <c r="Q58" s="21" t="e">
        <f>+IF($F58="oui",+VLOOKUP($A58,DATA!$A:$AG,DATA!$Q$3,FALSE),0)</f>
        <v>#N/A</v>
      </c>
      <c r="R58" s="22" t="e">
        <f>+IF($F58="oui",+VLOOKUP($A58,DATA!$A:$AG,DATA!$S$3,FALSE),0)</f>
        <v>#N/A</v>
      </c>
      <c r="S58" s="22" t="e">
        <f>+IF($F58="oui",+VLOOKUP($A58,DATA!$A:$AG,DATA!$U$3,FALSE),0)</f>
        <v>#N/A</v>
      </c>
      <c r="T58" s="22" t="e">
        <f>+IF($F58="oui",+VLOOKUP($A58,DATA!$A:$AG,DATA!$W$3,FALSE),0)</f>
        <v>#N/A</v>
      </c>
      <c r="U58" s="22" t="e">
        <f>+IF($F58="oui",+VLOOKUP($A58,DATA!$A:$AG,DATA!$Y$3,FALSE),0)</f>
        <v>#N/A</v>
      </c>
      <c r="V58" s="22" t="e">
        <f>+IF($F58="oui",+VLOOKUP($A58,DATA!$A:$AG,DATA!$AA$3,FALSE),0)</f>
        <v>#N/A</v>
      </c>
      <c r="W58" s="22" t="e">
        <f>+IF($F58="oui",+VLOOKUP($A58,DATA!$A:$AG,DATA!$AC$3,FALSE),0)</f>
        <v>#N/A</v>
      </c>
      <c r="X58" s="22" t="e">
        <f>+IF($F58="oui",+VLOOKUP($A58,DATA!$A:$AG,DATA!$AE$3,FALSE),0)</f>
        <v>#N/A</v>
      </c>
      <c r="Y58" s="23" t="e">
        <f>+IF($F58="oui",+VLOOKUP($A58,DATA!$A:$AG,DATA!$AG$3,FALSE),0)</f>
        <v>#N/A</v>
      </c>
      <c r="Z58" s="118" t="e">
        <f t="shared" si="20"/>
        <v>#N/A</v>
      </c>
      <c r="AA58" s="43" t="e">
        <f t="shared" si="21"/>
        <v>#N/A</v>
      </c>
      <c r="AB58" s="44" t="e">
        <f t="shared" si="22"/>
        <v>#N/A</v>
      </c>
      <c r="AC58" s="44" t="e">
        <f t="shared" si="23"/>
        <v>#N/A</v>
      </c>
      <c r="AD58" s="44" t="e">
        <f t="shared" si="24"/>
        <v>#N/A</v>
      </c>
      <c r="AE58" s="44" t="e">
        <f t="shared" si="25"/>
        <v>#N/A</v>
      </c>
      <c r="AF58" s="44" t="e">
        <f t="shared" si="26"/>
        <v>#N/A</v>
      </c>
      <c r="AG58" s="44" t="e">
        <f t="shared" si="27"/>
        <v>#N/A</v>
      </c>
      <c r="AH58" s="44" t="e">
        <f t="shared" si="28"/>
        <v>#N/A</v>
      </c>
      <c r="AI58" s="45" t="e">
        <f t="shared" si="29"/>
        <v>#N/A</v>
      </c>
      <c r="AJ58" s="70" t="e">
        <f>+IF(Q58=0," ",+WORKDAY.INTL(+VLOOKUP(AJ$1,POSTE!$B:$G,3,FALSE),+CUM!AA57/+VLOOKUP(AJ$1,POSTE!$B:$H,7,FALSE),,CONGÉ!$C$2:$C$80))</f>
        <v>#N/A</v>
      </c>
      <c r="AK58" s="50" t="e">
        <f>+IF(R58=0," ",+WORKDAY.INTL(+VLOOKUP(AK$1,POSTE!$B:$G,3,FALSE),+CUM!AB57/+VLOOKUP(AK$1,POSTE!$B:$H,7,FALSE),,CONGÉ!$C$2:$C$80))</f>
        <v>#N/A</v>
      </c>
      <c r="AL58" s="50" t="e">
        <f>+IF(S58=0," ",+WORKDAY.INTL(+VLOOKUP(AL$1,POSTE!$B:$G,3,FALSE),+CUM!AC57/+VLOOKUP(AL$1,POSTE!$B:$H,7,FALSE),,CONGÉ!$C$2:$C$80))</f>
        <v>#N/A</v>
      </c>
      <c r="AM58" s="50" t="e">
        <f>+IF(T58=0," ",+WORKDAY.INTL(+VLOOKUP(AM$1,POSTE!$B:$G,3,FALSE),+CUM!AD57/+VLOOKUP(AM$1,POSTE!$B:$H,7,FALSE),,CONGÉ!$C$2:$C$80))</f>
        <v>#N/A</v>
      </c>
      <c r="AN58" s="50" t="e">
        <f>+IF(U58=0," ",+WORKDAY.INTL(+VLOOKUP(AN$1,POSTE!$B:$G,3,FALSE),+CUM!AE57/+VLOOKUP(AN$1,POSTE!$B:$H,7,FALSE),,CONGÉ!$C$2:$C$80))</f>
        <v>#N/A</v>
      </c>
      <c r="AO58" s="50" t="e">
        <f>+IF(V58=0," ",+WORKDAY.INTL(+VLOOKUP(AO$1,POSTE!$B:$G,3,FALSE),+CUM!AF57/+VLOOKUP(AO$1,POSTE!$B:$H,7,FALSE),,CONGÉ!$C$2:$C$80))</f>
        <v>#N/A</v>
      </c>
      <c r="AP58" s="50" t="e">
        <f>+IF(W58=0," ",+WORKDAY.INTL(+VLOOKUP(AP$1,POSTE!$B:$G,3,FALSE),+CUM!AG57/+VLOOKUP(AP$1,POSTE!$B:$H,7,FALSE),,CONGÉ!$C$2:$C$80))</f>
        <v>#N/A</v>
      </c>
      <c r="AQ58" s="50" t="e">
        <f>+IF(X58=0," ",+WORKDAY.INTL(+VLOOKUP(AQ$1,POSTE!$B:$G,3,FALSE),+CUM!AH57/+VLOOKUP(AQ$1,POSTE!$B:$H,7,FALSE),,CONGÉ!$C$2:$C$80))</f>
        <v>#N/A</v>
      </c>
      <c r="AR58" s="71" t="e">
        <f>+IF(Y58=0," ",+WORKDAY.INTL(+VLOOKUP(AR$1,POSTE!$B:$G,3,FALSE),+CUM!AI57/+VLOOKUP(AR$1,POSTE!$B:$H,7,FALSE),,CONGÉ!$C$2:$C$80))</f>
        <v>#N/A</v>
      </c>
      <c r="AS58" s="72" t="e">
        <f>+IF(Q58=0," ",+WORKDAY.INTL(+VLOOKUP(AS$1,POSTE!$B:$G,3,FALSE),+CUM!AA58/+VLOOKUP(AS$1,POSTE!$B:$H,7,FALSE),,CONGÉ!$C$2:$C$80))</f>
        <v>#N/A</v>
      </c>
      <c r="AT58" s="73" t="e">
        <f>+IF(R58=0," ",+WORKDAY.INTL(+VLOOKUP(AT$1,POSTE!$B:$G,3,FALSE),+CUM!AB58/+VLOOKUP(AT$1,POSTE!$B:$H,7,FALSE),,CONGÉ!$C$2:$C$80))</f>
        <v>#N/A</v>
      </c>
      <c r="AU58" s="73" t="e">
        <f>+IF(AND(S58=0,T58=0)," ",+WORKDAY.INTL(+VLOOKUP($AS$1,POSTE!B:J,3,FALSE),+(((AC58*POSTE!$H$5)+(CUM!AD58*POSTE!$H$4))/(POSTE!$H$4*POSTE!$H$5*2)),,CONGÉ!$C$2:$C$80))</f>
        <v>#N/A</v>
      </c>
      <c r="AV58" s="73" t="e">
        <f>+IF(U58=0," ",+WORKDAY.INTL(+VLOOKUP(AV$1,POSTE!$B:$G,3,FALSE),+CUM!AE58/+VLOOKUP(AV$1,POSTE!$B:$H,7,FALSE),,CONGÉ!$C$2:$C$80))</f>
        <v>#N/A</v>
      </c>
      <c r="AW58" s="73" t="e">
        <f>+IF(V58=0," ",+WORKDAY.INTL(+VLOOKUP(AW$1,POSTE!$B:$G,3,FALSE),+CUM!AF58/+VLOOKUP(AW$1,POSTE!$B:$H,7,FALSE),,CONGÉ!$C$2:$C$80))</f>
        <v>#N/A</v>
      </c>
      <c r="AX58" s="73" t="e">
        <f>+IF(W58=0," ",+WORKDAY.INTL(+VLOOKUP(AX$1,POSTE!$B:$G,3,FALSE),+CUM!AG58/+VLOOKUP(AX$1,POSTE!$B:$H,7,FALSE),,CONGÉ!$C$2:$C$80))</f>
        <v>#N/A</v>
      </c>
      <c r="AY58" s="73" t="e">
        <f>+IF(X58=0," ",+WORKDAY.INTL(+VLOOKUP(AY$1,POSTE!$B:$G,3,FALSE),+CUM!AH58/+VLOOKUP(AY$1,POSTE!$B:$H,7,FALSE),,CONGÉ!$C$2:$C$80))</f>
        <v>#N/A</v>
      </c>
      <c r="AZ58" s="73" t="e">
        <f>+IF(Y58=0," ",+WORKDAY.INTL(+VLOOKUP(AZ$1,POSTE!$B:$G,3,FALSE),+CUM!AI58/+VLOOKUP(AZ$1,POSTE!$B:$H,7,FALSE),,CONGÉ!$C$2:$C$80))</f>
        <v>#N/A</v>
      </c>
      <c r="BA58" s="73" t="e">
        <f>+IF(S58=0," ",+WORKDAY.INTL(+VLOOKUP(BA$1,POSTE!$B:$G,3,FALSE),+CUM!AC58/+VLOOKUP(BA$1,POSTE!$B:$H,7,FALSE),,CONGÉ!$C$2:$C$80))</f>
        <v>#N/A</v>
      </c>
      <c r="BB58" s="73" t="e">
        <f>+IF(T58=0," ",+WORKDAY.INTL(+VLOOKUP(BB$1,POSTE!$B:$G,3,FALSE),+CUM!AD58/+VLOOKUP(BB$1,POSTE!$B:$H,7,FALSE),,CONGÉ!$C$2:$C$80))</f>
        <v>#N/A</v>
      </c>
      <c r="BC58" s="70" t="e">
        <f t="shared" si="13"/>
        <v>#N/A</v>
      </c>
      <c r="BD58" s="70" t="e">
        <f t="shared" si="14"/>
        <v>#N/A</v>
      </c>
      <c r="BE58" s="129" t="e">
        <f>+IF($F58="oui",+VLOOKUP($A58,DATA!$A:$AH,DATA!$AH$3,FALSE),0)</f>
        <v>#N/A</v>
      </c>
      <c r="BF58" s="129" t="e">
        <f t="shared" si="15"/>
        <v>#N/A</v>
      </c>
      <c r="BG58" s="136" t="e">
        <f>+IF(BE58&gt;0,+MAX((BH$4:BH57),BD58),"")</f>
        <v>#N/A</v>
      </c>
      <c r="BH58" s="136" t="e">
        <f>+IF(BE58&gt;0,+MAX((BH$4:BH57),+WORKDAY.INTL(BG58,+BE58/8,,CONGÉ!$C$2:$C$73)),"")</f>
        <v>#N/A</v>
      </c>
      <c r="BI58" s="136" t="e">
        <f t="shared" si="16"/>
        <v>#N/A</v>
      </c>
      <c r="BJ58" s="43" t="e">
        <f t="shared" si="30"/>
        <v>#N/A</v>
      </c>
      <c r="BK58" s="77">
        <f t="shared" ca="1" si="17"/>
        <v>45754</v>
      </c>
      <c r="BL58" s="78" t="e">
        <f>+(((AC58*POSTE!$H$5)+(CUM!AD58*POSTE!$H$4))/(POSTE!$H$4*POSTE!$H$5*2))</f>
        <v>#N/A</v>
      </c>
      <c r="BM58" s="90" t="e">
        <f ca="1">+WORKDAY.INTL(BK58,BL58,,CONGÉ!C$4:C$72)</f>
        <v>#N/A</v>
      </c>
      <c r="BN58" s="78" t="e">
        <f t="shared" ca="1" si="18"/>
        <v>#N/A</v>
      </c>
    </row>
    <row r="59" spans="1:66" x14ac:dyDescent="0.25">
      <c r="A59" s="49">
        <f t="shared" si="19"/>
        <v>55</v>
      </c>
      <c r="B59" s="185" cm="1">
        <f t="array" ref="B59">_xlfn.LET(_xlpm.CORR,IF(DATA!$B$4:$B$104="",IF(DATA!$A$4:$A$104="","--",DATA!$A$4:$A$104),DATA!$B$4:$B$104),_xlpm.Rx,SMALL(_xlpm.CORR,A59),IFERROR(MATCH(_xlpm.Rx,_xlpm.CORR,0),0))</f>
        <v>0</v>
      </c>
      <c r="C59" s="18" t="e">
        <f>+VLOOKUP($A59,DATA!$A:$AG,DATA!$E$3,FALSE)</f>
        <v>#N/A</v>
      </c>
      <c r="D59" s="18" t="e">
        <f>+VLOOKUP($A59,DATA!$A:$AG,DATA!$D$3,FALSE)</f>
        <v>#N/A</v>
      </c>
      <c r="E59" s="186" t="e">
        <f>+VLOOKUP($A59,DATA!$A:$AG,DATA!$G$3,FALSE)</f>
        <v>#N/A</v>
      </c>
      <c r="F59" s="19" t="e">
        <f>+VLOOKUP($A59,DATA!$A:$AG,DATA!$O$3,FALSE)</f>
        <v>#N/A</v>
      </c>
      <c r="G59" s="43" t="e">
        <f>+IF($F59="oui",+VLOOKUP($A59,DATA!$A:$AG,DATA!$P$3,FALSE),0)</f>
        <v>#N/A</v>
      </c>
      <c r="H59" s="44" t="e">
        <f>+IF($F59="oui",+VLOOKUP($A59,DATA!$A:$AG,DATA!$R$3,FALSE),0)</f>
        <v>#N/A</v>
      </c>
      <c r="I59" s="44" t="e">
        <f>+IF($F59="oui",+VLOOKUP($A59,DATA!$A:$AG,DATA!$T$3,FALSE),0)</f>
        <v>#N/A</v>
      </c>
      <c r="J59" s="44" t="e">
        <f>+IF($F59="oui",+VLOOKUP($A59,DATA!$A:$AG,DATA!$V$3,FALSE),0)</f>
        <v>#N/A</v>
      </c>
      <c r="K59" s="44" t="e">
        <f>+IF($F59="oui",+VLOOKUP($A59,DATA!$A:$AG,DATA!$X$3,FALSE),0)</f>
        <v>#N/A</v>
      </c>
      <c r="L59" s="44" t="e">
        <f>+IF($F59="oui",+VLOOKUP($A59,DATA!$A:$AG,DATA!$Z$3,FALSE),0)</f>
        <v>#N/A</v>
      </c>
      <c r="M59" s="44" t="e">
        <f>+IF($F59="oui",+VLOOKUP($A59,DATA!$A:$AG,DATA!$AB$3,FALSE),0)</f>
        <v>#N/A</v>
      </c>
      <c r="N59" s="44" t="e">
        <f>+IF($F59="oui",+VLOOKUP($A59,DATA!$A:$AG,DATA!$AD$3,FALSE),0)</f>
        <v>#N/A</v>
      </c>
      <c r="O59" s="45" t="e">
        <f>+IF($F59="oui",+VLOOKUP($A59,DATA!$A:$AG,DATA!$AF$3,FALSE),0)</f>
        <v>#N/A</v>
      </c>
      <c r="P59" s="116" t="e">
        <f t="shared" si="12"/>
        <v>#N/A</v>
      </c>
      <c r="Q59" s="21" t="e">
        <f>+IF($F59="oui",+VLOOKUP($A59,DATA!$A:$AG,DATA!$Q$3,FALSE),0)</f>
        <v>#N/A</v>
      </c>
      <c r="R59" s="22" t="e">
        <f>+IF($F59="oui",+VLOOKUP($A59,DATA!$A:$AG,DATA!$S$3,FALSE),0)</f>
        <v>#N/A</v>
      </c>
      <c r="S59" s="22" t="e">
        <f>+IF($F59="oui",+VLOOKUP($A59,DATA!$A:$AG,DATA!$U$3,FALSE),0)</f>
        <v>#N/A</v>
      </c>
      <c r="T59" s="22" t="e">
        <f>+IF($F59="oui",+VLOOKUP($A59,DATA!$A:$AG,DATA!$W$3,FALSE),0)</f>
        <v>#N/A</v>
      </c>
      <c r="U59" s="22" t="e">
        <f>+IF($F59="oui",+VLOOKUP($A59,DATA!$A:$AG,DATA!$Y$3,FALSE),0)</f>
        <v>#N/A</v>
      </c>
      <c r="V59" s="22" t="e">
        <f>+IF($F59="oui",+VLOOKUP($A59,DATA!$A:$AG,DATA!$AA$3,FALSE),0)</f>
        <v>#N/A</v>
      </c>
      <c r="W59" s="22" t="e">
        <f>+IF($F59="oui",+VLOOKUP($A59,DATA!$A:$AG,DATA!$AC$3,FALSE),0)</f>
        <v>#N/A</v>
      </c>
      <c r="X59" s="22" t="e">
        <f>+IF($F59="oui",+VLOOKUP($A59,DATA!$A:$AG,DATA!$AE$3,FALSE),0)</f>
        <v>#N/A</v>
      </c>
      <c r="Y59" s="23" t="e">
        <f>+IF($F59="oui",+VLOOKUP($A59,DATA!$A:$AG,DATA!$AG$3,FALSE),0)</f>
        <v>#N/A</v>
      </c>
      <c r="Z59" s="118" t="e">
        <f t="shared" si="20"/>
        <v>#N/A</v>
      </c>
      <c r="AA59" s="43" t="e">
        <f t="shared" si="21"/>
        <v>#N/A</v>
      </c>
      <c r="AB59" s="44" t="e">
        <f t="shared" si="22"/>
        <v>#N/A</v>
      </c>
      <c r="AC59" s="44" t="e">
        <f t="shared" si="23"/>
        <v>#N/A</v>
      </c>
      <c r="AD59" s="44" t="e">
        <f t="shared" si="24"/>
        <v>#N/A</v>
      </c>
      <c r="AE59" s="44" t="e">
        <f t="shared" si="25"/>
        <v>#N/A</v>
      </c>
      <c r="AF59" s="44" t="e">
        <f t="shared" si="26"/>
        <v>#N/A</v>
      </c>
      <c r="AG59" s="44" t="e">
        <f t="shared" si="27"/>
        <v>#N/A</v>
      </c>
      <c r="AH59" s="44" t="e">
        <f t="shared" si="28"/>
        <v>#N/A</v>
      </c>
      <c r="AI59" s="45" t="e">
        <f t="shared" si="29"/>
        <v>#N/A</v>
      </c>
      <c r="AJ59" s="70" t="e">
        <f>+IF(Q59=0," ",+WORKDAY.INTL(+VLOOKUP(AJ$1,POSTE!$B:$G,3,FALSE),+CUM!AA58/+VLOOKUP(AJ$1,POSTE!$B:$H,7,FALSE),,CONGÉ!$C$2:$C$80))</f>
        <v>#N/A</v>
      </c>
      <c r="AK59" s="50" t="e">
        <f>+IF(R59=0," ",+WORKDAY.INTL(+VLOOKUP(AK$1,POSTE!$B:$G,3,FALSE),+CUM!AB58/+VLOOKUP(AK$1,POSTE!$B:$H,7,FALSE),,CONGÉ!$C$2:$C$80))</f>
        <v>#N/A</v>
      </c>
      <c r="AL59" s="50" t="e">
        <f>+IF(S59=0," ",+WORKDAY.INTL(+VLOOKUP(AL$1,POSTE!$B:$G,3,FALSE),+CUM!AC58/+VLOOKUP(AL$1,POSTE!$B:$H,7,FALSE),,CONGÉ!$C$2:$C$80))</f>
        <v>#N/A</v>
      </c>
      <c r="AM59" s="50" t="e">
        <f>+IF(T59=0," ",+WORKDAY.INTL(+VLOOKUP(AM$1,POSTE!$B:$G,3,FALSE),+CUM!AD58/+VLOOKUP(AM$1,POSTE!$B:$H,7,FALSE),,CONGÉ!$C$2:$C$80))</f>
        <v>#N/A</v>
      </c>
      <c r="AN59" s="50" t="e">
        <f>+IF(U59=0," ",+WORKDAY.INTL(+VLOOKUP(AN$1,POSTE!$B:$G,3,FALSE),+CUM!AE58/+VLOOKUP(AN$1,POSTE!$B:$H,7,FALSE),,CONGÉ!$C$2:$C$80))</f>
        <v>#N/A</v>
      </c>
      <c r="AO59" s="50" t="e">
        <f>+IF(V59=0," ",+WORKDAY.INTL(+VLOOKUP(AO$1,POSTE!$B:$G,3,FALSE),+CUM!AF58/+VLOOKUP(AO$1,POSTE!$B:$H,7,FALSE),,CONGÉ!$C$2:$C$80))</f>
        <v>#N/A</v>
      </c>
      <c r="AP59" s="50" t="e">
        <f>+IF(W59=0," ",+WORKDAY.INTL(+VLOOKUP(AP$1,POSTE!$B:$G,3,FALSE),+CUM!AG58/+VLOOKUP(AP$1,POSTE!$B:$H,7,FALSE),,CONGÉ!$C$2:$C$80))</f>
        <v>#N/A</v>
      </c>
      <c r="AQ59" s="50" t="e">
        <f>+IF(X59=0," ",+WORKDAY.INTL(+VLOOKUP(AQ$1,POSTE!$B:$G,3,FALSE),+CUM!AH58/+VLOOKUP(AQ$1,POSTE!$B:$H,7,FALSE),,CONGÉ!$C$2:$C$80))</f>
        <v>#N/A</v>
      </c>
      <c r="AR59" s="71" t="e">
        <f>+IF(Y59=0," ",+WORKDAY.INTL(+VLOOKUP(AR$1,POSTE!$B:$G,3,FALSE),+CUM!AI58/+VLOOKUP(AR$1,POSTE!$B:$H,7,FALSE),,CONGÉ!$C$2:$C$80))</f>
        <v>#N/A</v>
      </c>
      <c r="AS59" s="72" t="e">
        <f>+IF(Q59=0," ",+WORKDAY.INTL(+VLOOKUP(AS$1,POSTE!$B:$G,3,FALSE),+CUM!AA59/+VLOOKUP(AS$1,POSTE!$B:$H,7,FALSE),,CONGÉ!$C$2:$C$80))</f>
        <v>#N/A</v>
      </c>
      <c r="AT59" s="73" t="e">
        <f>+IF(R59=0," ",+WORKDAY.INTL(+VLOOKUP(AT$1,POSTE!$B:$G,3,FALSE),+CUM!AB59/+VLOOKUP(AT$1,POSTE!$B:$H,7,FALSE),,CONGÉ!$C$2:$C$80))</f>
        <v>#N/A</v>
      </c>
      <c r="AU59" s="73" t="e">
        <f>+IF(AND(S59=0,T59=0)," ",+WORKDAY.INTL(+VLOOKUP($AS$1,POSTE!B:J,3,FALSE),+(((AC59*POSTE!$H$5)+(CUM!AD59*POSTE!$H$4))/(POSTE!$H$4*POSTE!$H$5*2)),,CONGÉ!$C$2:$C$80))</f>
        <v>#N/A</v>
      </c>
      <c r="AV59" s="73" t="e">
        <f>+IF(U59=0," ",+WORKDAY.INTL(+VLOOKUP(AV$1,POSTE!$B:$G,3,FALSE),+CUM!AE59/+VLOOKUP(AV$1,POSTE!$B:$H,7,FALSE),,CONGÉ!$C$2:$C$80))</f>
        <v>#N/A</v>
      </c>
      <c r="AW59" s="73" t="e">
        <f>+IF(V59=0," ",+WORKDAY.INTL(+VLOOKUP(AW$1,POSTE!$B:$G,3,FALSE),+CUM!AF59/+VLOOKUP(AW$1,POSTE!$B:$H,7,FALSE),,CONGÉ!$C$2:$C$80))</f>
        <v>#N/A</v>
      </c>
      <c r="AX59" s="73" t="e">
        <f>+IF(W59=0," ",+WORKDAY.INTL(+VLOOKUP(AX$1,POSTE!$B:$G,3,FALSE),+CUM!AG59/+VLOOKUP(AX$1,POSTE!$B:$H,7,FALSE),,CONGÉ!$C$2:$C$80))</f>
        <v>#N/A</v>
      </c>
      <c r="AY59" s="73" t="e">
        <f>+IF(X59=0," ",+WORKDAY.INTL(+VLOOKUP(AY$1,POSTE!$B:$G,3,FALSE),+CUM!AH59/+VLOOKUP(AY$1,POSTE!$B:$H,7,FALSE),,CONGÉ!$C$2:$C$80))</f>
        <v>#N/A</v>
      </c>
      <c r="AZ59" s="73" t="e">
        <f>+IF(Y59=0," ",+WORKDAY.INTL(+VLOOKUP(AZ$1,POSTE!$B:$G,3,FALSE),+CUM!AI59/+VLOOKUP(AZ$1,POSTE!$B:$H,7,FALSE),,CONGÉ!$C$2:$C$80))</f>
        <v>#N/A</v>
      </c>
      <c r="BA59" s="73" t="e">
        <f>+IF(S59=0," ",+WORKDAY.INTL(+VLOOKUP(BA$1,POSTE!$B:$G,3,FALSE),+CUM!AC59/+VLOOKUP(BA$1,POSTE!$B:$H,7,FALSE),,CONGÉ!$C$2:$C$80))</f>
        <v>#N/A</v>
      </c>
      <c r="BB59" s="73" t="e">
        <f>+IF(T59=0," ",+WORKDAY.INTL(+VLOOKUP(BB$1,POSTE!$B:$G,3,FALSE),+CUM!AD59/+VLOOKUP(BB$1,POSTE!$B:$H,7,FALSE),,CONGÉ!$C$2:$C$80))</f>
        <v>#N/A</v>
      </c>
      <c r="BC59" s="70" t="e">
        <f t="shared" si="13"/>
        <v>#N/A</v>
      </c>
      <c r="BD59" s="70" t="e">
        <f t="shared" si="14"/>
        <v>#N/A</v>
      </c>
      <c r="BE59" s="129" t="e">
        <f>+IF($F59="oui",+VLOOKUP($A59,DATA!$A:$AH,DATA!$AH$3,FALSE),0)</f>
        <v>#N/A</v>
      </c>
      <c r="BF59" s="129" t="e">
        <f t="shared" si="15"/>
        <v>#N/A</v>
      </c>
      <c r="BG59" s="136" t="e">
        <f>+IF(BE59&gt;0,+MAX((BH$4:BH58),BD59),"")</f>
        <v>#N/A</v>
      </c>
      <c r="BH59" s="136" t="e">
        <f>+IF(BE59&gt;0,+MAX((BH$4:BH58),+WORKDAY.INTL(BG59,+BE59/8,,CONGÉ!$C$2:$C$73)),"")</f>
        <v>#N/A</v>
      </c>
      <c r="BI59" s="136" t="e">
        <f t="shared" si="16"/>
        <v>#N/A</v>
      </c>
      <c r="BJ59" s="43" t="e">
        <f t="shared" si="30"/>
        <v>#N/A</v>
      </c>
      <c r="BK59" s="77">
        <f t="shared" ca="1" si="17"/>
        <v>45754</v>
      </c>
      <c r="BL59" s="78" t="e">
        <f>+(((AC59*POSTE!$H$5)+(CUM!AD59*POSTE!$H$4))/(POSTE!$H$4*POSTE!$H$5*2))</f>
        <v>#N/A</v>
      </c>
      <c r="BM59" s="90" t="e">
        <f ca="1">+WORKDAY.INTL(BK59,BL59,,CONGÉ!C$4:C$72)</f>
        <v>#N/A</v>
      </c>
      <c r="BN59" s="78" t="e">
        <f t="shared" ca="1" si="18"/>
        <v>#N/A</v>
      </c>
    </row>
    <row r="60" spans="1:66" x14ac:dyDescent="0.25">
      <c r="A60" s="49">
        <f t="shared" si="19"/>
        <v>56</v>
      </c>
      <c r="B60" s="185" cm="1">
        <f t="array" ref="B60">_xlfn.LET(_xlpm.CORR,IF(DATA!$B$4:$B$104="",IF(DATA!$A$4:$A$104="","--",DATA!$A$4:$A$104),DATA!$B$4:$B$104),_xlpm.Rx,SMALL(_xlpm.CORR,A60),IFERROR(MATCH(_xlpm.Rx,_xlpm.CORR,0),0))</f>
        <v>0</v>
      </c>
      <c r="C60" s="18" t="e">
        <f>+VLOOKUP($A60,DATA!$A:$AG,DATA!$E$3,FALSE)</f>
        <v>#N/A</v>
      </c>
      <c r="D60" s="18" t="e">
        <f>+VLOOKUP($A60,DATA!$A:$AG,DATA!$D$3,FALSE)</f>
        <v>#N/A</v>
      </c>
      <c r="E60" s="186" t="e">
        <f>+VLOOKUP($A60,DATA!$A:$AG,DATA!$G$3,FALSE)</f>
        <v>#N/A</v>
      </c>
      <c r="F60" s="19" t="e">
        <f>+VLOOKUP($A60,DATA!$A:$AG,DATA!$O$3,FALSE)</f>
        <v>#N/A</v>
      </c>
      <c r="G60" s="43" t="e">
        <f>+IF($F60="oui",+VLOOKUP($A60,DATA!$A:$AG,DATA!$P$3,FALSE),0)</f>
        <v>#N/A</v>
      </c>
      <c r="H60" s="44" t="e">
        <f>+IF($F60="oui",+VLOOKUP($A60,DATA!$A:$AG,DATA!$R$3,FALSE),0)</f>
        <v>#N/A</v>
      </c>
      <c r="I60" s="44" t="e">
        <f>+IF($F60="oui",+VLOOKUP($A60,DATA!$A:$AG,DATA!$T$3,FALSE),0)</f>
        <v>#N/A</v>
      </c>
      <c r="J60" s="44" t="e">
        <f>+IF($F60="oui",+VLOOKUP($A60,DATA!$A:$AG,DATA!$V$3,FALSE),0)</f>
        <v>#N/A</v>
      </c>
      <c r="K60" s="44" t="e">
        <f>+IF($F60="oui",+VLOOKUP($A60,DATA!$A:$AG,DATA!$X$3,FALSE),0)</f>
        <v>#N/A</v>
      </c>
      <c r="L60" s="44" t="e">
        <f>+IF($F60="oui",+VLOOKUP($A60,DATA!$A:$AG,DATA!$Z$3,FALSE),0)</f>
        <v>#N/A</v>
      </c>
      <c r="M60" s="44" t="e">
        <f>+IF($F60="oui",+VLOOKUP($A60,DATA!$A:$AG,DATA!$AB$3,FALSE),0)</f>
        <v>#N/A</v>
      </c>
      <c r="N60" s="44" t="e">
        <f>+IF($F60="oui",+VLOOKUP($A60,DATA!$A:$AG,DATA!$AD$3,FALSE),0)</f>
        <v>#N/A</v>
      </c>
      <c r="O60" s="45" t="e">
        <f>+IF($F60="oui",+VLOOKUP($A60,DATA!$A:$AG,DATA!$AF$3,FALSE),0)</f>
        <v>#N/A</v>
      </c>
      <c r="P60" s="116" t="e">
        <f t="shared" si="12"/>
        <v>#N/A</v>
      </c>
      <c r="Q60" s="21" t="e">
        <f>+IF($F60="oui",+VLOOKUP($A60,DATA!$A:$AG,DATA!$Q$3,FALSE),0)</f>
        <v>#N/A</v>
      </c>
      <c r="R60" s="22" t="e">
        <f>+IF($F60="oui",+VLOOKUP($A60,DATA!$A:$AG,DATA!$S$3,FALSE),0)</f>
        <v>#N/A</v>
      </c>
      <c r="S60" s="22" t="e">
        <f>+IF($F60="oui",+VLOOKUP($A60,DATA!$A:$AG,DATA!$U$3,FALSE),0)</f>
        <v>#N/A</v>
      </c>
      <c r="T60" s="22" t="e">
        <f>+IF($F60="oui",+VLOOKUP($A60,DATA!$A:$AG,DATA!$W$3,FALSE),0)</f>
        <v>#N/A</v>
      </c>
      <c r="U60" s="22" t="e">
        <f>+IF($F60="oui",+VLOOKUP($A60,DATA!$A:$AG,DATA!$Y$3,FALSE),0)</f>
        <v>#N/A</v>
      </c>
      <c r="V60" s="22" t="e">
        <f>+IF($F60="oui",+VLOOKUP($A60,DATA!$A:$AG,DATA!$AA$3,FALSE),0)</f>
        <v>#N/A</v>
      </c>
      <c r="W60" s="22" t="e">
        <f>+IF($F60="oui",+VLOOKUP($A60,DATA!$A:$AG,DATA!$AC$3,FALSE),0)</f>
        <v>#N/A</v>
      </c>
      <c r="X60" s="22" t="e">
        <f>+IF($F60="oui",+VLOOKUP($A60,DATA!$A:$AG,DATA!$AE$3,FALSE),0)</f>
        <v>#N/A</v>
      </c>
      <c r="Y60" s="23" t="e">
        <f>+IF($F60="oui",+VLOOKUP($A60,DATA!$A:$AG,DATA!$AG$3,FALSE),0)</f>
        <v>#N/A</v>
      </c>
      <c r="Z60" s="118" t="e">
        <f t="shared" si="20"/>
        <v>#N/A</v>
      </c>
      <c r="AA60" s="43" t="e">
        <f t="shared" si="21"/>
        <v>#N/A</v>
      </c>
      <c r="AB60" s="44" t="e">
        <f t="shared" si="22"/>
        <v>#N/A</v>
      </c>
      <c r="AC60" s="44" t="e">
        <f t="shared" si="23"/>
        <v>#N/A</v>
      </c>
      <c r="AD60" s="44" t="e">
        <f t="shared" si="24"/>
        <v>#N/A</v>
      </c>
      <c r="AE60" s="44" t="e">
        <f t="shared" si="25"/>
        <v>#N/A</v>
      </c>
      <c r="AF60" s="44" t="e">
        <f t="shared" si="26"/>
        <v>#N/A</v>
      </c>
      <c r="AG60" s="44" t="e">
        <f t="shared" si="27"/>
        <v>#N/A</v>
      </c>
      <c r="AH60" s="44" t="e">
        <f t="shared" si="28"/>
        <v>#N/A</v>
      </c>
      <c r="AI60" s="45" t="e">
        <f t="shared" si="29"/>
        <v>#N/A</v>
      </c>
      <c r="AJ60" s="70" t="e">
        <f>+IF(Q60=0," ",+WORKDAY.INTL(+VLOOKUP(AJ$1,POSTE!$B:$G,3,FALSE),+CUM!AA59/+VLOOKUP(AJ$1,POSTE!$B:$H,7,FALSE),,CONGÉ!$C$2:$C$80))</f>
        <v>#N/A</v>
      </c>
      <c r="AK60" s="50" t="e">
        <f>+IF(R60=0," ",+WORKDAY.INTL(+VLOOKUP(AK$1,POSTE!$B:$G,3,FALSE),+CUM!AB59/+VLOOKUP(AK$1,POSTE!$B:$H,7,FALSE),,CONGÉ!$C$2:$C$80))</f>
        <v>#N/A</v>
      </c>
      <c r="AL60" s="50" t="e">
        <f>+IF(S60=0," ",+WORKDAY.INTL(+VLOOKUP(AL$1,POSTE!$B:$G,3,FALSE),+CUM!AC59/+VLOOKUP(AL$1,POSTE!$B:$H,7,FALSE),,CONGÉ!$C$2:$C$80))</f>
        <v>#N/A</v>
      </c>
      <c r="AM60" s="50" t="e">
        <f>+IF(T60=0," ",+WORKDAY.INTL(+VLOOKUP(AM$1,POSTE!$B:$G,3,FALSE),+CUM!AD59/+VLOOKUP(AM$1,POSTE!$B:$H,7,FALSE),,CONGÉ!$C$2:$C$80))</f>
        <v>#N/A</v>
      </c>
      <c r="AN60" s="50" t="e">
        <f>+IF(U60=0," ",+WORKDAY.INTL(+VLOOKUP(AN$1,POSTE!$B:$G,3,FALSE),+CUM!AE59/+VLOOKUP(AN$1,POSTE!$B:$H,7,FALSE),,CONGÉ!$C$2:$C$80))</f>
        <v>#N/A</v>
      </c>
      <c r="AO60" s="50" t="e">
        <f>+IF(V60=0," ",+WORKDAY.INTL(+VLOOKUP(AO$1,POSTE!$B:$G,3,FALSE),+CUM!AF59/+VLOOKUP(AO$1,POSTE!$B:$H,7,FALSE),,CONGÉ!$C$2:$C$80))</f>
        <v>#N/A</v>
      </c>
      <c r="AP60" s="50" t="e">
        <f>+IF(W60=0," ",+WORKDAY.INTL(+VLOOKUP(AP$1,POSTE!$B:$G,3,FALSE),+CUM!AG59/+VLOOKUP(AP$1,POSTE!$B:$H,7,FALSE),,CONGÉ!$C$2:$C$80))</f>
        <v>#N/A</v>
      </c>
      <c r="AQ60" s="50" t="e">
        <f>+IF(X60=0," ",+WORKDAY.INTL(+VLOOKUP(AQ$1,POSTE!$B:$G,3,FALSE),+CUM!AH59/+VLOOKUP(AQ$1,POSTE!$B:$H,7,FALSE),,CONGÉ!$C$2:$C$80))</f>
        <v>#N/A</v>
      </c>
      <c r="AR60" s="71" t="e">
        <f>+IF(Y60=0," ",+WORKDAY.INTL(+VLOOKUP(AR$1,POSTE!$B:$G,3,FALSE),+CUM!AI59/+VLOOKUP(AR$1,POSTE!$B:$H,7,FALSE),,CONGÉ!$C$2:$C$80))</f>
        <v>#N/A</v>
      </c>
      <c r="AS60" s="72" t="e">
        <f>+IF(Q60=0," ",+WORKDAY.INTL(+VLOOKUP(AS$1,POSTE!$B:$G,3,FALSE),+CUM!AA60/+VLOOKUP(AS$1,POSTE!$B:$H,7,FALSE),,CONGÉ!$C$2:$C$80))</f>
        <v>#N/A</v>
      </c>
      <c r="AT60" s="73" t="e">
        <f>+IF(R60=0," ",+WORKDAY.INTL(+VLOOKUP(AT$1,POSTE!$B:$G,3,FALSE),+CUM!AB60/+VLOOKUP(AT$1,POSTE!$B:$H,7,FALSE),,CONGÉ!$C$2:$C$80))</f>
        <v>#N/A</v>
      </c>
      <c r="AU60" s="73" t="e">
        <f>+IF(AND(S60=0,T60=0)," ",+WORKDAY.INTL(+VLOOKUP($AS$1,POSTE!B:J,3,FALSE),+(((AC60*POSTE!$H$5)+(CUM!AD60*POSTE!$H$4))/(POSTE!$H$4*POSTE!$H$5*2)),,CONGÉ!$C$2:$C$80))</f>
        <v>#N/A</v>
      </c>
      <c r="AV60" s="73" t="e">
        <f>+IF(U60=0," ",+WORKDAY.INTL(+VLOOKUP(AV$1,POSTE!$B:$G,3,FALSE),+CUM!AE60/+VLOOKUP(AV$1,POSTE!$B:$H,7,FALSE),,CONGÉ!$C$2:$C$80))</f>
        <v>#N/A</v>
      </c>
      <c r="AW60" s="73" t="e">
        <f>+IF(V60=0," ",+WORKDAY.INTL(+VLOOKUP(AW$1,POSTE!$B:$G,3,FALSE),+CUM!AF60/+VLOOKUP(AW$1,POSTE!$B:$H,7,FALSE),,CONGÉ!$C$2:$C$80))</f>
        <v>#N/A</v>
      </c>
      <c r="AX60" s="73" t="e">
        <f>+IF(W60=0," ",+WORKDAY.INTL(+VLOOKUP(AX$1,POSTE!$B:$G,3,FALSE),+CUM!AG60/+VLOOKUP(AX$1,POSTE!$B:$H,7,FALSE),,CONGÉ!$C$2:$C$80))</f>
        <v>#N/A</v>
      </c>
      <c r="AY60" s="73" t="e">
        <f>+IF(X60=0," ",+WORKDAY.INTL(+VLOOKUP(AY$1,POSTE!$B:$G,3,FALSE),+CUM!AH60/+VLOOKUP(AY$1,POSTE!$B:$H,7,FALSE),,CONGÉ!$C$2:$C$80))</f>
        <v>#N/A</v>
      </c>
      <c r="AZ60" s="73" t="e">
        <f>+IF(Y60=0," ",+WORKDAY.INTL(+VLOOKUP(AZ$1,POSTE!$B:$G,3,FALSE),+CUM!AI60/+VLOOKUP(AZ$1,POSTE!$B:$H,7,FALSE),,CONGÉ!$C$2:$C$80))</f>
        <v>#N/A</v>
      </c>
      <c r="BA60" s="73" t="e">
        <f>+IF(S60=0," ",+WORKDAY.INTL(+VLOOKUP(BA$1,POSTE!$B:$G,3,FALSE),+CUM!AC60/+VLOOKUP(BA$1,POSTE!$B:$H,7,FALSE),,CONGÉ!$C$2:$C$80))</f>
        <v>#N/A</v>
      </c>
      <c r="BB60" s="73" t="e">
        <f>+IF(T60=0," ",+WORKDAY.INTL(+VLOOKUP(BB$1,POSTE!$B:$G,3,FALSE),+CUM!AD60/+VLOOKUP(BB$1,POSTE!$B:$H,7,FALSE),,CONGÉ!$C$2:$C$80))</f>
        <v>#N/A</v>
      </c>
      <c r="BC60" s="70" t="e">
        <f t="shared" si="13"/>
        <v>#N/A</v>
      </c>
      <c r="BD60" s="70" t="e">
        <f t="shared" si="14"/>
        <v>#N/A</v>
      </c>
      <c r="BE60" s="129" t="e">
        <f>+IF($F60="oui",+VLOOKUP($A60,DATA!$A:$AH,DATA!$AH$3,FALSE),0)</f>
        <v>#N/A</v>
      </c>
      <c r="BF60" s="129" t="e">
        <f t="shared" si="15"/>
        <v>#N/A</v>
      </c>
      <c r="BG60" s="136" t="e">
        <f>+IF(BE60&gt;0,+MAX((BH$4:BH59),BD60),"")</f>
        <v>#N/A</v>
      </c>
      <c r="BH60" s="136" t="e">
        <f>+IF(BE60&gt;0,+MAX((BH$4:BH59),+WORKDAY.INTL(BG60,+BE60/8,,CONGÉ!$C$2:$C$73)),"")</f>
        <v>#N/A</v>
      </c>
      <c r="BI60" s="136" t="e">
        <f t="shared" si="16"/>
        <v>#N/A</v>
      </c>
      <c r="BJ60" s="43" t="e">
        <f t="shared" si="30"/>
        <v>#N/A</v>
      </c>
      <c r="BK60" s="77">
        <f t="shared" ca="1" si="17"/>
        <v>45754</v>
      </c>
      <c r="BL60" s="78" t="e">
        <f>+(((AC60*POSTE!$H$5)+(CUM!AD60*POSTE!$H$4))/(POSTE!$H$4*POSTE!$H$5*2))</f>
        <v>#N/A</v>
      </c>
      <c r="BM60" s="90" t="e">
        <f ca="1">+WORKDAY.INTL(BK60,BL60,,CONGÉ!C$4:C$72)</f>
        <v>#N/A</v>
      </c>
      <c r="BN60" s="78" t="e">
        <f t="shared" ca="1" si="18"/>
        <v>#N/A</v>
      </c>
    </row>
    <row r="61" spans="1:66" x14ac:dyDescent="0.25">
      <c r="A61" s="49">
        <f t="shared" si="19"/>
        <v>57</v>
      </c>
      <c r="B61" s="185" cm="1">
        <f t="array" ref="B61">_xlfn.LET(_xlpm.CORR,IF(DATA!$B$4:$B$104="",IF(DATA!$A$4:$A$104="","--",DATA!$A$4:$A$104),DATA!$B$4:$B$104),_xlpm.Rx,SMALL(_xlpm.CORR,A61),IFERROR(MATCH(_xlpm.Rx,_xlpm.CORR,0),0))</f>
        <v>0</v>
      </c>
      <c r="C61" s="18" t="e">
        <f>+VLOOKUP($A61,DATA!$A:$AG,DATA!$E$3,FALSE)</f>
        <v>#N/A</v>
      </c>
      <c r="D61" s="18" t="e">
        <f>+VLOOKUP($A61,DATA!$A:$AG,DATA!$D$3,FALSE)</f>
        <v>#N/A</v>
      </c>
      <c r="E61" s="186" t="e">
        <f>+VLOOKUP($A61,DATA!$A:$AG,DATA!$G$3,FALSE)</f>
        <v>#N/A</v>
      </c>
      <c r="F61" s="19" t="e">
        <f>+VLOOKUP($A61,DATA!$A:$AG,DATA!$O$3,FALSE)</f>
        <v>#N/A</v>
      </c>
      <c r="G61" s="43" t="e">
        <f>+IF($F61="oui",+VLOOKUP($A61,DATA!$A:$AG,DATA!$P$3,FALSE),0)</f>
        <v>#N/A</v>
      </c>
      <c r="H61" s="44" t="e">
        <f>+IF($F61="oui",+VLOOKUP($A61,DATA!$A:$AG,DATA!$R$3,FALSE),0)</f>
        <v>#N/A</v>
      </c>
      <c r="I61" s="44" t="e">
        <f>+IF($F61="oui",+VLOOKUP($A61,DATA!$A:$AG,DATA!$T$3,FALSE),0)</f>
        <v>#N/A</v>
      </c>
      <c r="J61" s="44" t="e">
        <f>+IF($F61="oui",+VLOOKUP($A61,DATA!$A:$AG,DATA!$V$3,FALSE),0)</f>
        <v>#N/A</v>
      </c>
      <c r="K61" s="44" t="e">
        <f>+IF($F61="oui",+VLOOKUP($A61,DATA!$A:$AG,DATA!$X$3,FALSE),0)</f>
        <v>#N/A</v>
      </c>
      <c r="L61" s="44" t="e">
        <f>+IF($F61="oui",+VLOOKUP($A61,DATA!$A:$AG,DATA!$Z$3,FALSE),0)</f>
        <v>#N/A</v>
      </c>
      <c r="M61" s="44" t="e">
        <f>+IF($F61="oui",+VLOOKUP($A61,DATA!$A:$AG,DATA!$AB$3,FALSE),0)</f>
        <v>#N/A</v>
      </c>
      <c r="N61" s="44" t="e">
        <f>+IF($F61="oui",+VLOOKUP($A61,DATA!$A:$AG,DATA!$AD$3,FALSE),0)</f>
        <v>#N/A</v>
      </c>
      <c r="O61" s="45" t="e">
        <f>+IF($F61="oui",+VLOOKUP($A61,DATA!$A:$AG,DATA!$AF$3,FALSE),0)</f>
        <v>#N/A</v>
      </c>
      <c r="P61" s="116" t="e">
        <f t="shared" si="12"/>
        <v>#N/A</v>
      </c>
      <c r="Q61" s="21" t="e">
        <f>+IF($F61="oui",+VLOOKUP($A61,DATA!$A:$AG,DATA!$Q$3,FALSE),0)</f>
        <v>#N/A</v>
      </c>
      <c r="R61" s="22" t="e">
        <f>+IF($F61="oui",+VLOOKUP($A61,DATA!$A:$AG,DATA!$S$3,FALSE),0)</f>
        <v>#N/A</v>
      </c>
      <c r="S61" s="22" t="e">
        <f>+IF($F61="oui",+VLOOKUP($A61,DATA!$A:$AG,DATA!$U$3,FALSE),0)</f>
        <v>#N/A</v>
      </c>
      <c r="T61" s="22" t="e">
        <f>+IF($F61="oui",+VLOOKUP($A61,DATA!$A:$AG,DATA!$W$3,FALSE),0)</f>
        <v>#N/A</v>
      </c>
      <c r="U61" s="22" t="e">
        <f>+IF($F61="oui",+VLOOKUP($A61,DATA!$A:$AG,DATA!$Y$3,FALSE),0)</f>
        <v>#N/A</v>
      </c>
      <c r="V61" s="22" t="e">
        <f>+IF($F61="oui",+VLOOKUP($A61,DATA!$A:$AG,DATA!$AA$3,FALSE),0)</f>
        <v>#N/A</v>
      </c>
      <c r="W61" s="22" t="e">
        <f>+IF($F61="oui",+VLOOKUP($A61,DATA!$A:$AG,DATA!$AC$3,FALSE),0)</f>
        <v>#N/A</v>
      </c>
      <c r="X61" s="22" t="e">
        <f>+IF($F61="oui",+VLOOKUP($A61,DATA!$A:$AG,DATA!$AE$3,FALSE),0)</f>
        <v>#N/A</v>
      </c>
      <c r="Y61" s="23" t="e">
        <f>+IF($F61="oui",+VLOOKUP($A61,DATA!$A:$AG,DATA!$AG$3,FALSE),0)</f>
        <v>#N/A</v>
      </c>
      <c r="Z61" s="118" t="e">
        <f t="shared" si="20"/>
        <v>#N/A</v>
      </c>
      <c r="AA61" s="43" t="e">
        <f t="shared" si="21"/>
        <v>#N/A</v>
      </c>
      <c r="AB61" s="44" t="e">
        <f t="shared" si="22"/>
        <v>#N/A</v>
      </c>
      <c r="AC61" s="44" t="e">
        <f t="shared" si="23"/>
        <v>#N/A</v>
      </c>
      <c r="AD61" s="44" t="e">
        <f t="shared" si="24"/>
        <v>#N/A</v>
      </c>
      <c r="AE61" s="44" t="e">
        <f t="shared" si="25"/>
        <v>#N/A</v>
      </c>
      <c r="AF61" s="44" t="e">
        <f t="shared" si="26"/>
        <v>#N/A</v>
      </c>
      <c r="AG61" s="44" t="e">
        <f t="shared" si="27"/>
        <v>#N/A</v>
      </c>
      <c r="AH61" s="44" t="e">
        <f t="shared" si="28"/>
        <v>#N/A</v>
      </c>
      <c r="AI61" s="45" t="e">
        <f t="shared" si="29"/>
        <v>#N/A</v>
      </c>
      <c r="AJ61" s="70" t="e">
        <f>+IF(Q61=0," ",+WORKDAY.INTL(+VLOOKUP(AJ$1,POSTE!$B:$G,3,FALSE),+CUM!AA60/+VLOOKUP(AJ$1,POSTE!$B:$H,7,FALSE),,CONGÉ!$C$2:$C$80))</f>
        <v>#N/A</v>
      </c>
      <c r="AK61" s="50" t="e">
        <f>+IF(R61=0," ",+WORKDAY.INTL(+VLOOKUP(AK$1,POSTE!$B:$G,3,FALSE),+CUM!AB60/+VLOOKUP(AK$1,POSTE!$B:$H,7,FALSE),,CONGÉ!$C$2:$C$80))</f>
        <v>#N/A</v>
      </c>
      <c r="AL61" s="50" t="e">
        <f>+IF(S61=0," ",+WORKDAY.INTL(+VLOOKUP(AL$1,POSTE!$B:$G,3,FALSE),+CUM!AC60/+VLOOKUP(AL$1,POSTE!$B:$H,7,FALSE),,CONGÉ!$C$2:$C$80))</f>
        <v>#N/A</v>
      </c>
      <c r="AM61" s="50" t="e">
        <f>+IF(T61=0," ",+WORKDAY.INTL(+VLOOKUP(AM$1,POSTE!$B:$G,3,FALSE),+CUM!AD60/+VLOOKUP(AM$1,POSTE!$B:$H,7,FALSE),,CONGÉ!$C$2:$C$80))</f>
        <v>#N/A</v>
      </c>
      <c r="AN61" s="50" t="e">
        <f>+IF(U61=0," ",+WORKDAY.INTL(+VLOOKUP(AN$1,POSTE!$B:$G,3,FALSE),+CUM!AE60/+VLOOKUP(AN$1,POSTE!$B:$H,7,FALSE),,CONGÉ!$C$2:$C$80))</f>
        <v>#N/A</v>
      </c>
      <c r="AO61" s="50" t="e">
        <f>+IF(V61=0," ",+WORKDAY.INTL(+VLOOKUP(AO$1,POSTE!$B:$G,3,FALSE),+CUM!AF60/+VLOOKUP(AO$1,POSTE!$B:$H,7,FALSE),,CONGÉ!$C$2:$C$80))</f>
        <v>#N/A</v>
      </c>
      <c r="AP61" s="50" t="e">
        <f>+IF(W61=0," ",+WORKDAY.INTL(+VLOOKUP(AP$1,POSTE!$B:$G,3,FALSE),+CUM!AG60/+VLOOKUP(AP$1,POSTE!$B:$H,7,FALSE),,CONGÉ!$C$2:$C$80))</f>
        <v>#N/A</v>
      </c>
      <c r="AQ61" s="50" t="e">
        <f>+IF(X61=0," ",+WORKDAY.INTL(+VLOOKUP(AQ$1,POSTE!$B:$G,3,FALSE),+CUM!AH60/+VLOOKUP(AQ$1,POSTE!$B:$H,7,FALSE),,CONGÉ!$C$2:$C$80))</f>
        <v>#N/A</v>
      </c>
      <c r="AR61" s="71" t="e">
        <f>+IF(Y61=0," ",+WORKDAY.INTL(+VLOOKUP(AR$1,POSTE!$B:$G,3,FALSE),+CUM!AI60/+VLOOKUP(AR$1,POSTE!$B:$H,7,FALSE),,CONGÉ!$C$2:$C$80))</f>
        <v>#N/A</v>
      </c>
      <c r="AS61" s="72" t="e">
        <f>+IF(Q61=0," ",+WORKDAY.INTL(+VLOOKUP(AS$1,POSTE!$B:$G,3,FALSE),+CUM!AA61/+VLOOKUP(AS$1,POSTE!$B:$H,7,FALSE),,CONGÉ!$C$2:$C$80))</f>
        <v>#N/A</v>
      </c>
      <c r="AT61" s="73" t="e">
        <f>+IF(R61=0," ",+WORKDAY.INTL(+VLOOKUP(AT$1,POSTE!$B:$G,3,FALSE),+CUM!AB61/+VLOOKUP(AT$1,POSTE!$B:$H,7,FALSE),,CONGÉ!$C$2:$C$80))</f>
        <v>#N/A</v>
      </c>
      <c r="AU61" s="73" t="e">
        <f>+IF(AND(S61=0,T61=0)," ",+WORKDAY.INTL(+VLOOKUP($AS$1,POSTE!B:J,3,FALSE),+(((AC61*POSTE!$H$5)+(CUM!AD61*POSTE!$H$4))/(POSTE!$H$4*POSTE!$H$5*2)),,CONGÉ!$C$2:$C$80))</f>
        <v>#N/A</v>
      </c>
      <c r="AV61" s="73" t="e">
        <f>+IF(U61=0," ",+WORKDAY.INTL(+VLOOKUP(AV$1,POSTE!$B:$G,3,FALSE),+CUM!AE61/+VLOOKUP(AV$1,POSTE!$B:$H,7,FALSE),,CONGÉ!$C$2:$C$80))</f>
        <v>#N/A</v>
      </c>
      <c r="AW61" s="73" t="e">
        <f>+IF(V61=0," ",+WORKDAY.INTL(+VLOOKUP(AW$1,POSTE!$B:$G,3,FALSE),+CUM!AF61/+VLOOKUP(AW$1,POSTE!$B:$H,7,FALSE),,CONGÉ!$C$2:$C$80))</f>
        <v>#N/A</v>
      </c>
      <c r="AX61" s="73" t="e">
        <f>+IF(W61=0," ",+WORKDAY.INTL(+VLOOKUP(AX$1,POSTE!$B:$G,3,FALSE),+CUM!AG61/+VLOOKUP(AX$1,POSTE!$B:$H,7,FALSE),,CONGÉ!$C$2:$C$80))</f>
        <v>#N/A</v>
      </c>
      <c r="AY61" s="73" t="e">
        <f>+IF(X61=0," ",+WORKDAY.INTL(+VLOOKUP(AY$1,POSTE!$B:$G,3,FALSE),+CUM!AH61/+VLOOKUP(AY$1,POSTE!$B:$H,7,FALSE),,CONGÉ!$C$2:$C$80))</f>
        <v>#N/A</v>
      </c>
      <c r="AZ61" s="73" t="e">
        <f>+IF(Y61=0," ",+WORKDAY.INTL(+VLOOKUP(AZ$1,POSTE!$B:$G,3,FALSE),+CUM!AI61/+VLOOKUP(AZ$1,POSTE!$B:$H,7,FALSE),,CONGÉ!$C$2:$C$80))</f>
        <v>#N/A</v>
      </c>
      <c r="BA61" s="73" t="e">
        <f>+IF(S61=0," ",+WORKDAY.INTL(+VLOOKUP(BA$1,POSTE!$B:$G,3,FALSE),+CUM!AC61/+VLOOKUP(BA$1,POSTE!$B:$H,7,FALSE),,CONGÉ!$C$2:$C$80))</f>
        <v>#N/A</v>
      </c>
      <c r="BB61" s="73" t="e">
        <f>+IF(T61=0," ",+WORKDAY.INTL(+VLOOKUP(BB$1,POSTE!$B:$G,3,FALSE),+CUM!AD61/+VLOOKUP(BB$1,POSTE!$B:$H,7,FALSE),,CONGÉ!$C$2:$C$80))</f>
        <v>#N/A</v>
      </c>
      <c r="BC61" s="70" t="e">
        <f t="shared" si="13"/>
        <v>#N/A</v>
      </c>
      <c r="BD61" s="70" t="e">
        <f t="shared" si="14"/>
        <v>#N/A</v>
      </c>
      <c r="BE61" s="129" t="e">
        <f>+IF($F61="oui",+VLOOKUP($A61,DATA!$A:$AH,DATA!$AH$3,FALSE),0)</f>
        <v>#N/A</v>
      </c>
      <c r="BF61" s="129" t="e">
        <f t="shared" si="15"/>
        <v>#N/A</v>
      </c>
      <c r="BG61" s="136" t="e">
        <f>+IF(BE61&gt;0,+MAX((BH$4:BH60),BD61),"")</f>
        <v>#N/A</v>
      </c>
      <c r="BH61" s="136" t="e">
        <f>+IF(BE61&gt;0,+MAX((BH$4:BH60),+WORKDAY.INTL(BG61,+BE61/8,,CONGÉ!$C$2:$C$73)),"")</f>
        <v>#N/A</v>
      </c>
      <c r="BI61" s="136" t="e">
        <f t="shared" si="16"/>
        <v>#N/A</v>
      </c>
      <c r="BJ61" s="43" t="e">
        <f t="shared" si="30"/>
        <v>#N/A</v>
      </c>
      <c r="BK61" s="77">
        <f t="shared" ca="1" si="17"/>
        <v>45754</v>
      </c>
      <c r="BL61" s="78" t="e">
        <f>+(((AC61*POSTE!$H$5)+(CUM!AD61*POSTE!$H$4))/(POSTE!$H$4*POSTE!$H$5*2))</f>
        <v>#N/A</v>
      </c>
      <c r="BM61" s="90" t="e">
        <f ca="1">+WORKDAY.INTL(BK61,BL61,,CONGÉ!C$4:C$72)</f>
        <v>#N/A</v>
      </c>
      <c r="BN61" s="78" t="e">
        <f t="shared" ca="1" si="18"/>
        <v>#N/A</v>
      </c>
    </row>
    <row r="62" spans="1:66" x14ac:dyDescent="0.25">
      <c r="A62" s="49">
        <f t="shared" si="19"/>
        <v>58</v>
      </c>
      <c r="B62" s="185" cm="1">
        <f t="array" ref="B62">_xlfn.LET(_xlpm.CORR,IF(DATA!$B$4:$B$104="",IF(DATA!$A$4:$A$104="","--",DATA!$A$4:$A$104),DATA!$B$4:$B$104),_xlpm.Rx,SMALL(_xlpm.CORR,A62),IFERROR(MATCH(_xlpm.Rx,_xlpm.CORR,0),0))</f>
        <v>0</v>
      </c>
      <c r="C62" s="18" t="e">
        <f>+VLOOKUP($A62,DATA!$A:$AG,DATA!$E$3,FALSE)</f>
        <v>#N/A</v>
      </c>
      <c r="D62" s="18" t="e">
        <f>+VLOOKUP($A62,DATA!$A:$AG,DATA!$D$3,FALSE)</f>
        <v>#N/A</v>
      </c>
      <c r="E62" s="186" t="e">
        <f>+VLOOKUP($A62,DATA!$A:$AG,DATA!$G$3,FALSE)</f>
        <v>#N/A</v>
      </c>
      <c r="F62" s="19" t="e">
        <f>+VLOOKUP($A62,DATA!$A:$AG,DATA!$O$3,FALSE)</f>
        <v>#N/A</v>
      </c>
      <c r="G62" s="43" t="e">
        <f>+IF($F62="oui",+VLOOKUP($A62,DATA!$A:$AG,DATA!$P$3,FALSE),0)</f>
        <v>#N/A</v>
      </c>
      <c r="H62" s="44" t="e">
        <f>+IF($F62="oui",+VLOOKUP($A62,DATA!$A:$AG,DATA!$R$3,FALSE),0)</f>
        <v>#N/A</v>
      </c>
      <c r="I62" s="44" t="e">
        <f>+IF($F62="oui",+VLOOKUP($A62,DATA!$A:$AG,DATA!$T$3,FALSE),0)</f>
        <v>#N/A</v>
      </c>
      <c r="J62" s="44" t="e">
        <f>+IF($F62="oui",+VLOOKUP($A62,DATA!$A:$AG,DATA!$V$3,FALSE),0)</f>
        <v>#N/A</v>
      </c>
      <c r="K62" s="44" t="e">
        <f>+IF($F62="oui",+VLOOKUP($A62,DATA!$A:$AG,DATA!$X$3,FALSE),0)</f>
        <v>#N/A</v>
      </c>
      <c r="L62" s="44" t="e">
        <f>+IF($F62="oui",+VLOOKUP($A62,DATA!$A:$AG,DATA!$Z$3,FALSE),0)</f>
        <v>#N/A</v>
      </c>
      <c r="M62" s="44" t="e">
        <f>+IF($F62="oui",+VLOOKUP($A62,DATA!$A:$AG,DATA!$AB$3,FALSE),0)</f>
        <v>#N/A</v>
      </c>
      <c r="N62" s="44" t="e">
        <f>+IF($F62="oui",+VLOOKUP($A62,DATA!$A:$AG,DATA!$AD$3,FALSE),0)</f>
        <v>#N/A</v>
      </c>
      <c r="O62" s="45" t="e">
        <f>+IF($F62="oui",+VLOOKUP($A62,DATA!$A:$AG,DATA!$AF$3,FALSE),0)</f>
        <v>#N/A</v>
      </c>
      <c r="P62" s="116" t="e">
        <f t="shared" si="12"/>
        <v>#N/A</v>
      </c>
      <c r="Q62" s="21" t="e">
        <f>+IF($F62="oui",+VLOOKUP($A62,DATA!$A:$AG,DATA!$Q$3,FALSE),0)</f>
        <v>#N/A</v>
      </c>
      <c r="R62" s="22" t="e">
        <f>+IF($F62="oui",+VLOOKUP($A62,DATA!$A:$AG,DATA!$S$3,FALSE),0)</f>
        <v>#N/A</v>
      </c>
      <c r="S62" s="22" t="e">
        <f>+IF($F62="oui",+VLOOKUP($A62,DATA!$A:$AG,DATA!$U$3,FALSE),0)</f>
        <v>#N/A</v>
      </c>
      <c r="T62" s="22" t="e">
        <f>+IF($F62="oui",+VLOOKUP($A62,DATA!$A:$AG,DATA!$W$3,FALSE),0)</f>
        <v>#N/A</v>
      </c>
      <c r="U62" s="22" t="e">
        <f>+IF($F62="oui",+VLOOKUP($A62,DATA!$A:$AG,DATA!$Y$3,FALSE),0)</f>
        <v>#N/A</v>
      </c>
      <c r="V62" s="22" t="e">
        <f>+IF($F62="oui",+VLOOKUP($A62,DATA!$A:$AG,DATA!$AA$3,FALSE),0)</f>
        <v>#N/A</v>
      </c>
      <c r="W62" s="22" t="e">
        <f>+IF($F62="oui",+VLOOKUP($A62,DATA!$A:$AG,DATA!$AC$3,FALSE),0)</f>
        <v>#N/A</v>
      </c>
      <c r="X62" s="22" t="e">
        <f>+IF($F62="oui",+VLOOKUP($A62,DATA!$A:$AG,DATA!$AE$3,FALSE),0)</f>
        <v>#N/A</v>
      </c>
      <c r="Y62" s="23" t="e">
        <f>+IF($F62="oui",+VLOOKUP($A62,DATA!$A:$AG,DATA!$AG$3,FALSE),0)</f>
        <v>#N/A</v>
      </c>
      <c r="Z62" s="118" t="e">
        <f t="shared" si="20"/>
        <v>#N/A</v>
      </c>
      <c r="AA62" s="43" t="e">
        <f t="shared" si="21"/>
        <v>#N/A</v>
      </c>
      <c r="AB62" s="44" t="e">
        <f t="shared" si="22"/>
        <v>#N/A</v>
      </c>
      <c r="AC62" s="44" t="e">
        <f t="shared" si="23"/>
        <v>#N/A</v>
      </c>
      <c r="AD62" s="44" t="e">
        <f t="shared" si="24"/>
        <v>#N/A</v>
      </c>
      <c r="AE62" s="44" t="e">
        <f t="shared" si="25"/>
        <v>#N/A</v>
      </c>
      <c r="AF62" s="44" t="e">
        <f t="shared" si="26"/>
        <v>#N/A</v>
      </c>
      <c r="AG62" s="44" t="e">
        <f t="shared" si="27"/>
        <v>#N/A</v>
      </c>
      <c r="AH62" s="44" t="e">
        <f t="shared" si="28"/>
        <v>#N/A</v>
      </c>
      <c r="AI62" s="45" t="e">
        <f t="shared" si="29"/>
        <v>#N/A</v>
      </c>
      <c r="AJ62" s="70" t="e">
        <f>+IF(Q62=0," ",+WORKDAY.INTL(+VLOOKUP(AJ$1,POSTE!$B:$G,3,FALSE),+CUM!AA61/+VLOOKUP(AJ$1,POSTE!$B:$H,7,FALSE),,CONGÉ!$C$2:$C$80))</f>
        <v>#N/A</v>
      </c>
      <c r="AK62" s="50" t="e">
        <f>+IF(R62=0," ",+WORKDAY.INTL(+VLOOKUP(AK$1,POSTE!$B:$G,3,FALSE),+CUM!AB61/+VLOOKUP(AK$1,POSTE!$B:$H,7,FALSE),,CONGÉ!$C$2:$C$80))</f>
        <v>#N/A</v>
      </c>
      <c r="AL62" s="50" t="e">
        <f>+IF(S62=0," ",+WORKDAY.INTL(+VLOOKUP(AL$1,POSTE!$B:$G,3,FALSE),+CUM!AC61/+VLOOKUP(AL$1,POSTE!$B:$H,7,FALSE),,CONGÉ!$C$2:$C$80))</f>
        <v>#N/A</v>
      </c>
      <c r="AM62" s="50" t="e">
        <f>+IF(T62=0," ",+WORKDAY.INTL(+VLOOKUP(AM$1,POSTE!$B:$G,3,FALSE),+CUM!AD61/+VLOOKUP(AM$1,POSTE!$B:$H,7,FALSE),,CONGÉ!$C$2:$C$80))</f>
        <v>#N/A</v>
      </c>
      <c r="AN62" s="50" t="e">
        <f>+IF(U62=0," ",+WORKDAY.INTL(+VLOOKUP(AN$1,POSTE!$B:$G,3,FALSE),+CUM!AE61/+VLOOKUP(AN$1,POSTE!$B:$H,7,FALSE),,CONGÉ!$C$2:$C$80))</f>
        <v>#N/A</v>
      </c>
      <c r="AO62" s="50" t="e">
        <f>+IF(V62=0," ",+WORKDAY.INTL(+VLOOKUP(AO$1,POSTE!$B:$G,3,FALSE),+CUM!AF61/+VLOOKUP(AO$1,POSTE!$B:$H,7,FALSE),,CONGÉ!$C$2:$C$80))</f>
        <v>#N/A</v>
      </c>
      <c r="AP62" s="50" t="e">
        <f>+IF(W62=0," ",+WORKDAY.INTL(+VLOOKUP(AP$1,POSTE!$B:$G,3,FALSE),+CUM!AG61/+VLOOKUP(AP$1,POSTE!$B:$H,7,FALSE),,CONGÉ!$C$2:$C$80))</f>
        <v>#N/A</v>
      </c>
      <c r="AQ62" s="50" t="e">
        <f>+IF(X62=0," ",+WORKDAY.INTL(+VLOOKUP(AQ$1,POSTE!$B:$G,3,FALSE),+CUM!AH61/+VLOOKUP(AQ$1,POSTE!$B:$H,7,FALSE),,CONGÉ!$C$2:$C$80))</f>
        <v>#N/A</v>
      </c>
      <c r="AR62" s="71" t="e">
        <f>+IF(Y62=0," ",+WORKDAY.INTL(+VLOOKUP(AR$1,POSTE!$B:$G,3,FALSE),+CUM!AI61/+VLOOKUP(AR$1,POSTE!$B:$H,7,FALSE),,CONGÉ!$C$2:$C$80))</f>
        <v>#N/A</v>
      </c>
      <c r="AS62" s="72" t="e">
        <f>+IF(Q62=0," ",+WORKDAY.INTL(+VLOOKUP(AS$1,POSTE!$B:$G,3,FALSE),+CUM!AA62/+VLOOKUP(AS$1,POSTE!$B:$H,7,FALSE),,CONGÉ!$C$2:$C$80))</f>
        <v>#N/A</v>
      </c>
      <c r="AT62" s="73" t="e">
        <f>+IF(R62=0," ",+WORKDAY.INTL(+VLOOKUP(AT$1,POSTE!$B:$G,3,FALSE),+CUM!AB62/+VLOOKUP(AT$1,POSTE!$B:$H,7,FALSE),,CONGÉ!$C$2:$C$80))</f>
        <v>#N/A</v>
      </c>
      <c r="AU62" s="73" t="e">
        <f>+IF(AND(S62=0,T62=0)," ",+WORKDAY.INTL(+VLOOKUP($AS$1,POSTE!B:J,3,FALSE),+(((AC62*POSTE!$H$5)+(CUM!AD62*POSTE!$H$4))/(POSTE!$H$4*POSTE!$H$5*2)),,CONGÉ!$C$2:$C$80))</f>
        <v>#N/A</v>
      </c>
      <c r="AV62" s="73" t="e">
        <f>+IF(U62=0," ",+WORKDAY.INTL(+VLOOKUP(AV$1,POSTE!$B:$G,3,FALSE),+CUM!AE62/+VLOOKUP(AV$1,POSTE!$B:$H,7,FALSE),,CONGÉ!$C$2:$C$80))</f>
        <v>#N/A</v>
      </c>
      <c r="AW62" s="73" t="e">
        <f>+IF(V62=0," ",+WORKDAY.INTL(+VLOOKUP(AW$1,POSTE!$B:$G,3,FALSE),+CUM!AF62/+VLOOKUP(AW$1,POSTE!$B:$H,7,FALSE),,CONGÉ!$C$2:$C$80))</f>
        <v>#N/A</v>
      </c>
      <c r="AX62" s="73" t="e">
        <f>+IF(W62=0," ",+WORKDAY.INTL(+VLOOKUP(AX$1,POSTE!$B:$G,3,FALSE),+CUM!AG62/+VLOOKUP(AX$1,POSTE!$B:$H,7,FALSE),,CONGÉ!$C$2:$C$80))</f>
        <v>#N/A</v>
      </c>
      <c r="AY62" s="73" t="e">
        <f>+IF(X62=0," ",+WORKDAY.INTL(+VLOOKUP(AY$1,POSTE!$B:$G,3,FALSE),+CUM!AH62/+VLOOKUP(AY$1,POSTE!$B:$H,7,FALSE),,CONGÉ!$C$2:$C$80))</f>
        <v>#N/A</v>
      </c>
      <c r="AZ62" s="73" t="e">
        <f>+IF(Y62=0," ",+WORKDAY.INTL(+VLOOKUP(AZ$1,POSTE!$B:$G,3,FALSE),+CUM!AI62/+VLOOKUP(AZ$1,POSTE!$B:$H,7,FALSE),,CONGÉ!$C$2:$C$80))</f>
        <v>#N/A</v>
      </c>
      <c r="BA62" s="73" t="e">
        <f>+IF(S62=0," ",+WORKDAY.INTL(+VLOOKUP(BA$1,POSTE!$B:$G,3,FALSE),+CUM!AC62/+VLOOKUP(BA$1,POSTE!$B:$H,7,FALSE),,CONGÉ!$C$2:$C$80))</f>
        <v>#N/A</v>
      </c>
      <c r="BB62" s="73" t="e">
        <f>+IF(T62=0," ",+WORKDAY.INTL(+VLOOKUP(BB$1,POSTE!$B:$G,3,FALSE),+CUM!AD62/+VLOOKUP(BB$1,POSTE!$B:$H,7,FALSE),,CONGÉ!$C$2:$C$80))</f>
        <v>#N/A</v>
      </c>
      <c r="BC62" s="70" t="e">
        <f t="shared" si="13"/>
        <v>#N/A</v>
      </c>
      <c r="BD62" s="70" t="e">
        <f t="shared" si="14"/>
        <v>#N/A</v>
      </c>
      <c r="BE62" s="129" t="e">
        <f>+IF($F62="oui",+VLOOKUP($A62,DATA!$A:$AH,DATA!$AH$3,FALSE),0)</f>
        <v>#N/A</v>
      </c>
      <c r="BF62" s="129" t="e">
        <f t="shared" si="15"/>
        <v>#N/A</v>
      </c>
      <c r="BG62" s="136" t="e">
        <f>+IF(BE62&gt;0,+MAX((BH$4:BH61),BD62),"")</f>
        <v>#N/A</v>
      </c>
      <c r="BH62" s="136" t="e">
        <f>+IF(BE62&gt;0,+MAX((BH$4:BH61),+WORKDAY.INTL(BG62,+BE62/8,,CONGÉ!$C$2:$C$73)),"")</f>
        <v>#N/A</v>
      </c>
      <c r="BI62" s="136" t="e">
        <f t="shared" si="16"/>
        <v>#N/A</v>
      </c>
      <c r="BJ62" s="43" t="e">
        <f t="shared" si="30"/>
        <v>#N/A</v>
      </c>
      <c r="BK62" s="77">
        <f t="shared" ca="1" si="17"/>
        <v>45754</v>
      </c>
      <c r="BL62" s="78" t="e">
        <f>+(((AC62*POSTE!$H$5)+(CUM!AD62*POSTE!$H$4))/(POSTE!$H$4*POSTE!$H$5*2))</f>
        <v>#N/A</v>
      </c>
      <c r="BM62" s="90" t="e">
        <f ca="1">+WORKDAY.INTL(BK62,BL62,,CONGÉ!C$4:C$72)</f>
        <v>#N/A</v>
      </c>
      <c r="BN62" s="78" t="e">
        <f t="shared" ca="1" si="18"/>
        <v>#N/A</v>
      </c>
    </row>
    <row r="63" spans="1:66" x14ac:dyDescent="0.25">
      <c r="A63" s="49">
        <f t="shared" si="19"/>
        <v>59</v>
      </c>
      <c r="B63" s="185" cm="1">
        <f t="array" ref="B63">_xlfn.LET(_xlpm.CORR,IF(DATA!$B$4:$B$104="",IF(DATA!$A$4:$A$104="","--",DATA!$A$4:$A$104),DATA!$B$4:$B$104),_xlpm.Rx,SMALL(_xlpm.CORR,A63),IFERROR(MATCH(_xlpm.Rx,_xlpm.CORR,0),0))</f>
        <v>0</v>
      </c>
      <c r="C63" s="18" t="e">
        <f>+VLOOKUP($A63,DATA!$A:$AG,DATA!$E$3,FALSE)</f>
        <v>#N/A</v>
      </c>
      <c r="D63" s="18" t="e">
        <f>+VLOOKUP($A63,DATA!$A:$AG,DATA!$D$3,FALSE)</f>
        <v>#N/A</v>
      </c>
      <c r="E63" s="186" t="e">
        <f>+VLOOKUP($A63,DATA!$A:$AG,DATA!$G$3,FALSE)</f>
        <v>#N/A</v>
      </c>
      <c r="F63" s="19" t="e">
        <f>+VLOOKUP($A63,DATA!$A:$AG,DATA!$O$3,FALSE)</f>
        <v>#N/A</v>
      </c>
      <c r="G63" s="43" t="e">
        <f>+IF($F63="oui",+VLOOKUP($A63,DATA!$A:$AG,DATA!$P$3,FALSE),0)</f>
        <v>#N/A</v>
      </c>
      <c r="H63" s="44" t="e">
        <f>+IF($F63="oui",+VLOOKUP($A63,DATA!$A:$AG,DATA!$R$3,FALSE),0)</f>
        <v>#N/A</v>
      </c>
      <c r="I63" s="44" t="e">
        <f>+IF($F63="oui",+VLOOKUP($A63,DATA!$A:$AG,DATA!$T$3,FALSE),0)</f>
        <v>#N/A</v>
      </c>
      <c r="J63" s="44" t="e">
        <f>+IF($F63="oui",+VLOOKUP($A63,DATA!$A:$AG,DATA!$V$3,FALSE),0)</f>
        <v>#N/A</v>
      </c>
      <c r="K63" s="44" t="e">
        <f>+IF($F63="oui",+VLOOKUP($A63,DATA!$A:$AG,DATA!$X$3,FALSE),0)</f>
        <v>#N/A</v>
      </c>
      <c r="L63" s="44" t="e">
        <f>+IF($F63="oui",+VLOOKUP($A63,DATA!$A:$AG,DATA!$Z$3,FALSE),0)</f>
        <v>#N/A</v>
      </c>
      <c r="M63" s="44" t="e">
        <f>+IF($F63="oui",+VLOOKUP($A63,DATA!$A:$AG,DATA!$AB$3,FALSE),0)</f>
        <v>#N/A</v>
      </c>
      <c r="N63" s="44" t="e">
        <f>+IF($F63="oui",+VLOOKUP($A63,DATA!$A:$AG,DATA!$AD$3,FALSE),0)</f>
        <v>#N/A</v>
      </c>
      <c r="O63" s="45" t="e">
        <f>+IF($F63="oui",+VLOOKUP($A63,DATA!$A:$AG,DATA!$AF$3,FALSE),0)</f>
        <v>#N/A</v>
      </c>
      <c r="P63" s="116" t="e">
        <f t="shared" si="12"/>
        <v>#N/A</v>
      </c>
      <c r="Q63" s="21" t="e">
        <f>+IF($F63="oui",+VLOOKUP($A63,DATA!$A:$AG,DATA!$Q$3,FALSE),0)</f>
        <v>#N/A</v>
      </c>
      <c r="R63" s="22" t="e">
        <f>+IF($F63="oui",+VLOOKUP($A63,DATA!$A:$AG,DATA!$S$3,FALSE),0)</f>
        <v>#N/A</v>
      </c>
      <c r="S63" s="22" t="e">
        <f>+IF($F63="oui",+VLOOKUP($A63,DATA!$A:$AG,DATA!$U$3,FALSE),0)</f>
        <v>#N/A</v>
      </c>
      <c r="T63" s="22" t="e">
        <f>+IF($F63="oui",+VLOOKUP($A63,DATA!$A:$AG,DATA!$W$3,FALSE),0)</f>
        <v>#N/A</v>
      </c>
      <c r="U63" s="22" t="e">
        <f>+IF($F63="oui",+VLOOKUP($A63,DATA!$A:$AG,DATA!$Y$3,FALSE),0)</f>
        <v>#N/A</v>
      </c>
      <c r="V63" s="22" t="e">
        <f>+IF($F63="oui",+VLOOKUP($A63,DATA!$A:$AG,DATA!$AA$3,FALSE),0)</f>
        <v>#N/A</v>
      </c>
      <c r="W63" s="22" t="e">
        <f>+IF($F63="oui",+VLOOKUP($A63,DATA!$A:$AG,DATA!$AC$3,FALSE),0)</f>
        <v>#N/A</v>
      </c>
      <c r="X63" s="22" t="e">
        <f>+IF($F63="oui",+VLOOKUP($A63,DATA!$A:$AG,DATA!$AE$3,FALSE),0)</f>
        <v>#N/A</v>
      </c>
      <c r="Y63" s="23" t="e">
        <f>+IF($F63="oui",+VLOOKUP($A63,DATA!$A:$AG,DATA!$AG$3,FALSE),0)</f>
        <v>#N/A</v>
      </c>
      <c r="Z63" s="118" t="e">
        <f t="shared" si="20"/>
        <v>#N/A</v>
      </c>
      <c r="AA63" s="43" t="e">
        <f t="shared" si="21"/>
        <v>#N/A</v>
      </c>
      <c r="AB63" s="44" t="e">
        <f t="shared" si="22"/>
        <v>#N/A</v>
      </c>
      <c r="AC63" s="44" t="e">
        <f t="shared" si="23"/>
        <v>#N/A</v>
      </c>
      <c r="AD63" s="44" t="e">
        <f t="shared" si="24"/>
        <v>#N/A</v>
      </c>
      <c r="AE63" s="44" t="e">
        <f t="shared" si="25"/>
        <v>#N/A</v>
      </c>
      <c r="AF63" s="44" t="e">
        <f t="shared" si="26"/>
        <v>#N/A</v>
      </c>
      <c r="AG63" s="44" t="e">
        <f t="shared" si="27"/>
        <v>#N/A</v>
      </c>
      <c r="AH63" s="44" t="e">
        <f t="shared" si="28"/>
        <v>#N/A</v>
      </c>
      <c r="AI63" s="45" t="e">
        <f t="shared" si="29"/>
        <v>#N/A</v>
      </c>
      <c r="AJ63" s="70" t="e">
        <f>+IF(Q63=0," ",+WORKDAY.INTL(+VLOOKUP(AJ$1,POSTE!$B:$G,3,FALSE),+CUM!AA62/+VLOOKUP(AJ$1,POSTE!$B:$H,7,FALSE),,CONGÉ!$C$2:$C$80))</f>
        <v>#N/A</v>
      </c>
      <c r="AK63" s="50" t="e">
        <f>+IF(R63=0," ",+WORKDAY.INTL(+VLOOKUP(AK$1,POSTE!$B:$G,3,FALSE),+CUM!AB62/+VLOOKUP(AK$1,POSTE!$B:$H,7,FALSE),,CONGÉ!$C$2:$C$80))</f>
        <v>#N/A</v>
      </c>
      <c r="AL63" s="50" t="e">
        <f>+IF(S63=0," ",+WORKDAY.INTL(+VLOOKUP(AL$1,POSTE!$B:$G,3,FALSE),+CUM!AC62/+VLOOKUP(AL$1,POSTE!$B:$H,7,FALSE),,CONGÉ!$C$2:$C$80))</f>
        <v>#N/A</v>
      </c>
      <c r="AM63" s="50" t="e">
        <f>+IF(T63=0," ",+WORKDAY.INTL(+VLOOKUP(AM$1,POSTE!$B:$G,3,FALSE),+CUM!AD62/+VLOOKUP(AM$1,POSTE!$B:$H,7,FALSE),,CONGÉ!$C$2:$C$80))</f>
        <v>#N/A</v>
      </c>
      <c r="AN63" s="50" t="e">
        <f>+IF(U63=0," ",+WORKDAY.INTL(+VLOOKUP(AN$1,POSTE!$B:$G,3,FALSE),+CUM!AE62/+VLOOKUP(AN$1,POSTE!$B:$H,7,FALSE),,CONGÉ!$C$2:$C$80))</f>
        <v>#N/A</v>
      </c>
      <c r="AO63" s="50" t="e">
        <f>+IF(V63=0," ",+WORKDAY.INTL(+VLOOKUP(AO$1,POSTE!$B:$G,3,FALSE),+CUM!AF62/+VLOOKUP(AO$1,POSTE!$B:$H,7,FALSE),,CONGÉ!$C$2:$C$80))</f>
        <v>#N/A</v>
      </c>
      <c r="AP63" s="50" t="e">
        <f>+IF(W63=0," ",+WORKDAY.INTL(+VLOOKUP(AP$1,POSTE!$B:$G,3,FALSE),+CUM!AG62/+VLOOKUP(AP$1,POSTE!$B:$H,7,FALSE),,CONGÉ!$C$2:$C$80))</f>
        <v>#N/A</v>
      </c>
      <c r="AQ63" s="50" t="e">
        <f>+IF(X63=0," ",+WORKDAY.INTL(+VLOOKUP(AQ$1,POSTE!$B:$G,3,FALSE),+CUM!AH62/+VLOOKUP(AQ$1,POSTE!$B:$H,7,FALSE),,CONGÉ!$C$2:$C$80))</f>
        <v>#N/A</v>
      </c>
      <c r="AR63" s="71" t="e">
        <f>+IF(Y63=0," ",+WORKDAY.INTL(+VLOOKUP(AR$1,POSTE!$B:$G,3,FALSE),+CUM!AI62/+VLOOKUP(AR$1,POSTE!$B:$H,7,FALSE),,CONGÉ!$C$2:$C$80))</f>
        <v>#N/A</v>
      </c>
      <c r="AS63" s="72" t="e">
        <f>+IF(Q63=0," ",+WORKDAY.INTL(+VLOOKUP(AS$1,POSTE!$B:$G,3,FALSE),+CUM!AA63/+VLOOKUP(AS$1,POSTE!$B:$H,7,FALSE),,CONGÉ!$C$2:$C$80))</f>
        <v>#N/A</v>
      </c>
      <c r="AT63" s="73" t="e">
        <f>+IF(R63=0," ",+WORKDAY.INTL(+VLOOKUP(AT$1,POSTE!$B:$G,3,FALSE),+CUM!AB63/+VLOOKUP(AT$1,POSTE!$B:$H,7,FALSE),,CONGÉ!$C$2:$C$80))</f>
        <v>#N/A</v>
      </c>
      <c r="AU63" s="73" t="e">
        <f>+IF(AND(S63=0,T63=0)," ",+WORKDAY.INTL(+VLOOKUP($AS$1,POSTE!B:J,3,FALSE),+(((AC63*POSTE!$H$5)+(CUM!AD63*POSTE!$H$4))/(POSTE!$H$4*POSTE!$H$5*2)),,CONGÉ!$C$2:$C$80))</f>
        <v>#N/A</v>
      </c>
      <c r="AV63" s="73" t="e">
        <f>+IF(U63=0," ",+WORKDAY.INTL(+VLOOKUP(AV$1,POSTE!$B:$G,3,FALSE),+CUM!AE63/+VLOOKUP(AV$1,POSTE!$B:$H,7,FALSE),,CONGÉ!$C$2:$C$80))</f>
        <v>#N/A</v>
      </c>
      <c r="AW63" s="73" t="e">
        <f>+IF(V63=0," ",+WORKDAY.INTL(+VLOOKUP(AW$1,POSTE!$B:$G,3,FALSE),+CUM!AF63/+VLOOKUP(AW$1,POSTE!$B:$H,7,FALSE),,CONGÉ!$C$2:$C$80))</f>
        <v>#N/A</v>
      </c>
      <c r="AX63" s="73" t="e">
        <f>+IF(W63=0," ",+WORKDAY.INTL(+VLOOKUP(AX$1,POSTE!$B:$G,3,FALSE),+CUM!AG63/+VLOOKUP(AX$1,POSTE!$B:$H,7,FALSE),,CONGÉ!$C$2:$C$80))</f>
        <v>#N/A</v>
      </c>
      <c r="AY63" s="73" t="e">
        <f>+IF(X63=0," ",+WORKDAY.INTL(+VLOOKUP(AY$1,POSTE!$B:$G,3,FALSE),+CUM!AH63/+VLOOKUP(AY$1,POSTE!$B:$H,7,FALSE),,CONGÉ!$C$2:$C$80))</f>
        <v>#N/A</v>
      </c>
      <c r="AZ63" s="73" t="e">
        <f>+IF(Y63=0," ",+WORKDAY.INTL(+VLOOKUP(AZ$1,POSTE!$B:$G,3,FALSE),+CUM!AI63/+VLOOKUP(AZ$1,POSTE!$B:$H,7,FALSE),,CONGÉ!$C$2:$C$80))</f>
        <v>#N/A</v>
      </c>
      <c r="BA63" s="73" t="e">
        <f>+IF(S63=0," ",+WORKDAY.INTL(+VLOOKUP(BA$1,POSTE!$B:$G,3,FALSE),+CUM!AC63/+VLOOKUP(BA$1,POSTE!$B:$H,7,FALSE),,CONGÉ!$C$2:$C$80))</f>
        <v>#N/A</v>
      </c>
      <c r="BB63" s="73" t="e">
        <f>+IF(T63=0," ",+WORKDAY.INTL(+VLOOKUP(BB$1,POSTE!$B:$G,3,FALSE),+CUM!AD63/+VLOOKUP(BB$1,POSTE!$B:$H,7,FALSE),,CONGÉ!$C$2:$C$80))</f>
        <v>#N/A</v>
      </c>
      <c r="BC63" s="70" t="e">
        <f t="shared" si="13"/>
        <v>#N/A</v>
      </c>
      <c r="BD63" s="70" t="e">
        <f t="shared" si="14"/>
        <v>#N/A</v>
      </c>
      <c r="BE63" s="129" t="e">
        <f>+IF($F63="oui",+VLOOKUP($A63,DATA!$A:$AH,DATA!$AH$3,FALSE),0)</f>
        <v>#N/A</v>
      </c>
      <c r="BF63" s="129" t="e">
        <f t="shared" si="15"/>
        <v>#N/A</v>
      </c>
      <c r="BG63" s="136" t="e">
        <f>+IF(BE63&gt;0,+MAX((BH$4:BH62),BD63),"")</f>
        <v>#N/A</v>
      </c>
      <c r="BH63" s="136" t="e">
        <f>+IF(BE63&gt;0,+MAX((BH$4:BH62),+WORKDAY.INTL(BG63,+BE63/8,,CONGÉ!$C$2:$C$73)),"")</f>
        <v>#N/A</v>
      </c>
      <c r="BI63" s="136" t="e">
        <f t="shared" si="16"/>
        <v>#N/A</v>
      </c>
      <c r="BJ63" s="43" t="e">
        <f t="shared" si="30"/>
        <v>#N/A</v>
      </c>
      <c r="BK63" s="77">
        <f t="shared" ca="1" si="17"/>
        <v>45754</v>
      </c>
      <c r="BL63" s="78" t="e">
        <f>+(((AC63*POSTE!$H$5)+(CUM!AD63*POSTE!$H$4))/(POSTE!$H$4*POSTE!$H$5*2))</f>
        <v>#N/A</v>
      </c>
      <c r="BM63" s="90" t="e">
        <f ca="1">+WORKDAY.INTL(BK63,BL63,,CONGÉ!C$4:C$72)</f>
        <v>#N/A</v>
      </c>
      <c r="BN63" s="78" t="e">
        <f t="shared" ca="1" si="18"/>
        <v>#N/A</v>
      </c>
    </row>
    <row r="64" spans="1:66" x14ac:dyDescent="0.25">
      <c r="A64" s="49">
        <f t="shared" si="19"/>
        <v>60</v>
      </c>
      <c r="B64" s="185" cm="1">
        <f t="array" ref="B64">_xlfn.LET(_xlpm.CORR,IF(DATA!$B$4:$B$104="",IF(DATA!$A$4:$A$104="","--",DATA!$A$4:$A$104),DATA!$B$4:$B$104),_xlpm.Rx,SMALL(_xlpm.CORR,A64),IFERROR(MATCH(_xlpm.Rx,_xlpm.CORR,0),0))</f>
        <v>0</v>
      </c>
      <c r="C64" s="18" t="e">
        <f>+VLOOKUP($A64,DATA!$A:$AG,DATA!$E$3,FALSE)</f>
        <v>#N/A</v>
      </c>
      <c r="D64" s="18" t="e">
        <f>+VLOOKUP($A64,DATA!$A:$AG,DATA!$D$3,FALSE)</f>
        <v>#N/A</v>
      </c>
      <c r="E64" s="186" t="e">
        <f>+VLOOKUP($A64,DATA!$A:$AG,DATA!$G$3,FALSE)</f>
        <v>#N/A</v>
      </c>
      <c r="F64" s="19" t="e">
        <f>+VLOOKUP($A64,DATA!$A:$AG,DATA!$O$3,FALSE)</f>
        <v>#N/A</v>
      </c>
      <c r="G64" s="43" t="e">
        <f>+IF($F64="oui",+VLOOKUP($A64,DATA!$A:$AG,DATA!$P$3,FALSE),0)</f>
        <v>#N/A</v>
      </c>
      <c r="H64" s="44" t="e">
        <f>+IF($F64="oui",+VLOOKUP($A64,DATA!$A:$AG,DATA!$R$3,FALSE),0)</f>
        <v>#N/A</v>
      </c>
      <c r="I64" s="44" t="e">
        <f>+IF($F64="oui",+VLOOKUP($A64,DATA!$A:$AG,DATA!$T$3,FALSE),0)</f>
        <v>#N/A</v>
      </c>
      <c r="J64" s="44" t="e">
        <f>+IF($F64="oui",+VLOOKUP($A64,DATA!$A:$AG,DATA!$V$3,FALSE),0)</f>
        <v>#N/A</v>
      </c>
      <c r="K64" s="44" t="e">
        <f>+IF($F64="oui",+VLOOKUP($A64,DATA!$A:$AG,DATA!$X$3,FALSE),0)</f>
        <v>#N/A</v>
      </c>
      <c r="L64" s="44" t="e">
        <f>+IF($F64="oui",+VLOOKUP($A64,DATA!$A:$AG,DATA!$Z$3,FALSE),0)</f>
        <v>#N/A</v>
      </c>
      <c r="M64" s="44" t="e">
        <f>+IF($F64="oui",+VLOOKUP($A64,DATA!$A:$AG,DATA!$AB$3,FALSE),0)</f>
        <v>#N/A</v>
      </c>
      <c r="N64" s="44" t="e">
        <f>+IF($F64="oui",+VLOOKUP($A64,DATA!$A:$AG,DATA!$AD$3,FALSE),0)</f>
        <v>#N/A</v>
      </c>
      <c r="O64" s="45" t="e">
        <f>+IF($F64="oui",+VLOOKUP($A64,DATA!$A:$AG,DATA!$AF$3,FALSE),0)</f>
        <v>#N/A</v>
      </c>
      <c r="P64" s="116" t="e">
        <f t="shared" si="12"/>
        <v>#N/A</v>
      </c>
      <c r="Q64" s="21" t="e">
        <f>+IF($F64="oui",+VLOOKUP($A64,DATA!$A:$AG,DATA!$Q$3,FALSE),0)</f>
        <v>#N/A</v>
      </c>
      <c r="R64" s="22" t="e">
        <f>+IF($F64="oui",+VLOOKUP($A64,DATA!$A:$AG,DATA!$S$3,FALSE),0)</f>
        <v>#N/A</v>
      </c>
      <c r="S64" s="22" t="e">
        <f>+IF($F64="oui",+VLOOKUP($A64,DATA!$A:$AG,DATA!$U$3,FALSE),0)</f>
        <v>#N/A</v>
      </c>
      <c r="T64" s="22" t="e">
        <f>+IF($F64="oui",+VLOOKUP($A64,DATA!$A:$AG,DATA!$W$3,FALSE),0)</f>
        <v>#N/A</v>
      </c>
      <c r="U64" s="22" t="e">
        <f>+IF($F64="oui",+VLOOKUP($A64,DATA!$A:$AG,DATA!$Y$3,FALSE),0)</f>
        <v>#N/A</v>
      </c>
      <c r="V64" s="22" t="e">
        <f>+IF($F64="oui",+VLOOKUP($A64,DATA!$A:$AG,DATA!$AA$3,FALSE),0)</f>
        <v>#N/A</v>
      </c>
      <c r="W64" s="22" t="e">
        <f>+IF($F64="oui",+VLOOKUP($A64,DATA!$A:$AG,DATA!$AC$3,FALSE),0)</f>
        <v>#N/A</v>
      </c>
      <c r="X64" s="22" t="e">
        <f>+IF($F64="oui",+VLOOKUP($A64,DATA!$A:$AG,DATA!$AE$3,FALSE),0)</f>
        <v>#N/A</v>
      </c>
      <c r="Y64" s="23" t="e">
        <f>+IF($F64="oui",+VLOOKUP($A64,DATA!$A:$AG,DATA!$AG$3,FALSE),0)</f>
        <v>#N/A</v>
      </c>
      <c r="Z64" s="118" t="e">
        <f t="shared" si="20"/>
        <v>#N/A</v>
      </c>
      <c r="AA64" s="43" t="e">
        <f t="shared" si="21"/>
        <v>#N/A</v>
      </c>
      <c r="AB64" s="44" t="e">
        <f t="shared" si="22"/>
        <v>#N/A</v>
      </c>
      <c r="AC64" s="44" t="e">
        <f t="shared" si="23"/>
        <v>#N/A</v>
      </c>
      <c r="AD64" s="44" t="e">
        <f t="shared" si="24"/>
        <v>#N/A</v>
      </c>
      <c r="AE64" s="44" t="e">
        <f t="shared" si="25"/>
        <v>#N/A</v>
      </c>
      <c r="AF64" s="44" t="e">
        <f t="shared" si="26"/>
        <v>#N/A</v>
      </c>
      <c r="AG64" s="44" t="e">
        <f t="shared" si="27"/>
        <v>#N/A</v>
      </c>
      <c r="AH64" s="44" t="e">
        <f t="shared" si="28"/>
        <v>#N/A</v>
      </c>
      <c r="AI64" s="45" t="e">
        <f t="shared" si="29"/>
        <v>#N/A</v>
      </c>
      <c r="AJ64" s="70" t="e">
        <f>+IF(Q64=0," ",+WORKDAY.INTL(+VLOOKUP(AJ$1,POSTE!$B:$G,3,FALSE),+CUM!AA63/+VLOOKUP(AJ$1,POSTE!$B:$H,7,FALSE),,CONGÉ!$C$2:$C$80))</f>
        <v>#N/A</v>
      </c>
      <c r="AK64" s="50" t="e">
        <f>+IF(R64=0," ",+WORKDAY.INTL(+VLOOKUP(AK$1,POSTE!$B:$G,3,FALSE),+CUM!AB63/+VLOOKUP(AK$1,POSTE!$B:$H,7,FALSE),,CONGÉ!$C$2:$C$80))</f>
        <v>#N/A</v>
      </c>
      <c r="AL64" s="50" t="e">
        <f>+IF(S64=0," ",+WORKDAY.INTL(+VLOOKUP(AL$1,POSTE!$B:$G,3,FALSE),+CUM!AC63/+VLOOKUP(AL$1,POSTE!$B:$H,7,FALSE),,CONGÉ!$C$2:$C$80))</f>
        <v>#N/A</v>
      </c>
      <c r="AM64" s="50" t="e">
        <f>+IF(T64=0," ",+WORKDAY.INTL(+VLOOKUP(AM$1,POSTE!$B:$G,3,FALSE),+CUM!AD63/+VLOOKUP(AM$1,POSTE!$B:$H,7,FALSE),,CONGÉ!$C$2:$C$80))</f>
        <v>#N/A</v>
      </c>
      <c r="AN64" s="50" t="e">
        <f>+IF(U64=0," ",+WORKDAY.INTL(+VLOOKUP(AN$1,POSTE!$B:$G,3,FALSE),+CUM!AE63/+VLOOKUP(AN$1,POSTE!$B:$H,7,FALSE),,CONGÉ!$C$2:$C$80))</f>
        <v>#N/A</v>
      </c>
      <c r="AO64" s="50" t="e">
        <f>+IF(V64=0," ",+WORKDAY.INTL(+VLOOKUP(AO$1,POSTE!$B:$G,3,FALSE),+CUM!AF63/+VLOOKUP(AO$1,POSTE!$B:$H,7,FALSE),,CONGÉ!$C$2:$C$80))</f>
        <v>#N/A</v>
      </c>
      <c r="AP64" s="50" t="e">
        <f>+IF(W64=0," ",+WORKDAY.INTL(+VLOOKUP(AP$1,POSTE!$B:$G,3,FALSE),+CUM!AG63/+VLOOKUP(AP$1,POSTE!$B:$H,7,FALSE),,CONGÉ!$C$2:$C$80))</f>
        <v>#N/A</v>
      </c>
      <c r="AQ64" s="50" t="e">
        <f>+IF(X64=0," ",+WORKDAY.INTL(+VLOOKUP(AQ$1,POSTE!$B:$G,3,FALSE),+CUM!AH63/+VLOOKUP(AQ$1,POSTE!$B:$H,7,FALSE),,CONGÉ!$C$2:$C$80))</f>
        <v>#N/A</v>
      </c>
      <c r="AR64" s="71" t="e">
        <f>+IF(Y64=0," ",+WORKDAY.INTL(+VLOOKUP(AR$1,POSTE!$B:$G,3,FALSE),+CUM!AI63/+VLOOKUP(AR$1,POSTE!$B:$H,7,FALSE),,CONGÉ!$C$2:$C$80))</f>
        <v>#N/A</v>
      </c>
      <c r="AS64" s="72" t="e">
        <f>+IF(Q64=0," ",+WORKDAY.INTL(+VLOOKUP(AS$1,POSTE!$B:$G,3,FALSE),+CUM!AA64/+VLOOKUP(AS$1,POSTE!$B:$H,7,FALSE),,CONGÉ!$C$2:$C$80))</f>
        <v>#N/A</v>
      </c>
      <c r="AT64" s="73" t="e">
        <f>+IF(R64=0," ",+WORKDAY.INTL(+VLOOKUP(AT$1,POSTE!$B:$G,3,FALSE),+CUM!AB64/+VLOOKUP(AT$1,POSTE!$B:$H,7,FALSE),,CONGÉ!$C$2:$C$80))</f>
        <v>#N/A</v>
      </c>
      <c r="AU64" s="73" t="e">
        <f>+IF(AND(S64=0,T64=0)," ",+WORKDAY.INTL(+VLOOKUP($AS$1,POSTE!B:J,3,FALSE),+(((AC64*POSTE!$H$5)+(CUM!AD64*POSTE!$H$4))/(POSTE!$H$4*POSTE!$H$5*2)),,CONGÉ!$C$2:$C$80))</f>
        <v>#N/A</v>
      </c>
      <c r="AV64" s="73" t="e">
        <f>+IF(U64=0," ",+WORKDAY.INTL(+VLOOKUP(AV$1,POSTE!$B:$G,3,FALSE),+CUM!AE64/+VLOOKUP(AV$1,POSTE!$B:$H,7,FALSE),,CONGÉ!$C$2:$C$80))</f>
        <v>#N/A</v>
      </c>
      <c r="AW64" s="73" t="e">
        <f>+IF(V64=0," ",+WORKDAY.INTL(+VLOOKUP(AW$1,POSTE!$B:$G,3,FALSE),+CUM!AF64/+VLOOKUP(AW$1,POSTE!$B:$H,7,FALSE),,CONGÉ!$C$2:$C$80))</f>
        <v>#N/A</v>
      </c>
      <c r="AX64" s="73" t="e">
        <f>+IF(W64=0," ",+WORKDAY.INTL(+VLOOKUP(AX$1,POSTE!$B:$G,3,FALSE),+CUM!AG64/+VLOOKUP(AX$1,POSTE!$B:$H,7,FALSE),,CONGÉ!$C$2:$C$80))</f>
        <v>#N/A</v>
      </c>
      <c r="AY64" s="73" t="e">
        <f>+IF(X64=0," ",+WORKDAY.INTL(+VLOOKUP(AY$1,POSTE!$B:$G,3,FALSE),+CUM!AH64/+VLOOKUP(AY$1,POSTE!$B:$H,7,FALSE),,CONGÉ!$C$2:$C$80))</f>
        <v>#N/A</v>
      </c>
      <c r="AZ64" s="73" t="e">
        <f>+IF(Y64=0," ",+WORKDAY.INTL(+VLOOKUP(AZ$1,POSTE!$B:$G,3,FALSE),+CUM!AI64/+VLOOKUP(AZ$1,POSTE!$B:$H,7,FALSE),,CONGÉ!$C$2:$C$80))</f>
        <v>#N/A</v>
      </c>
      <c r="BA64" s="73" t="e">
        <f>+IF(S64=0," ",+WORKDAY.INTL(+VLOOKUP(BA$1,POSTE!$B:$G,3,FALSE),+CUM!AC64/+VLOOKUP(BA$1,POSTE!$B:$H,7,FALSE),,CONGÉ!$C$2:$C$80))</f>
        <v>#N/A</v>
      </c>
      <c r="BB64" s="73" t="e">
        <f>+IF(T64=0," ",+WORKDAY.INTL(+VLOOKUP(BB$1,POSTE!$B:$G,3,FALSE),+CUM!AD64/+VLOOKUP(BB$1,POSTE!$B:$H,7,FALSE),,CONGÉ!$C$2:$C$80))</f>
        <v>#N/A</v>
      </c>
      <c r="BC64" s="70" t="e">
        <f t="shared" si="13"/>
        <v>#N/A</v>
      </c>
      <c r="BD64" s="70" t="e">
        <f t="shared" si="14"/>
        <v>#N/A</v>
      </c>
      <c r="BE64" s="129" t="e">
        <f>+IF($F64="oui",+VLOOKUP($A64,DATA!$A:$AH,DATA!$AH$3,FALSE),0)</f>
        <v>#N/A</v>
      </c>
      <c r="BF64" s="129" t="e">
        <f t="shared" si="15"/>
        <v>#N/A</v>
      </c>
      <c r="BG64" s="136" t="e">
        <f>+IF(BE64&gt;0,+MAX((BH$4:BH63),BD64),"")</f>
        <v>#N/A</v>
      </c>
      <c r="BH64" s="136" t="e">
        <f>+IF(BE64&gt;0,+MAX((BH$4:BH63),+WORKDAY.INTL(BG64,+BE64/8,,CONGÉ!$C$2:$C$73)),"")</f>
        <v>#N/A</v>
      </c>
      <c r="BI64" s="136" t="e">
        <f t="shared" si="16"/>
        <v>#N/A</v>
      </c>
      <c r="BJ64" s="43" t="e">
        <f t="shared" si="30"/>
        <v>#N/A</v>
      </c>
      <c r="BK64" s="77">
        <f t="shared" ca="1" si="17"/>
        <v>45754</v>
      </c>
      <c r="BL64" s="78" t="e">
        <f>+(((AC64*POSTE!$H$5)+(CUM!AD64*POSTE!$H$4))/(POSTE!$H$4*POSTE!$H$5*2))</f>
        <v>#N/A</v>
      </c>
      <c r="BM64" s="90" t="e">
        <f ca="1">+WORKDAY.INTL(BK64,BL64,,CONGÉ!C$4:C$72)</f>
        <v>#N/A</v>
      </c>
      <c r="BN64" s="78" t="e">
        <f t="shared" ca="1" si="18"/>
        <v>#N/A</v>
      </c>
    </row>
    <row r="65" spans="1:66" x14ac:dyDescent="0.25">
      <c r="A65" s="49">
        <f t="shared" si="19"/>
        <v>61</v>
      </c>
      <c r="B65" s="185" cm="1">
        <f t="array" ref="B65">_xlfn.LET(_xlpm.CORR,IF(DATA!$B$4:$B$104="",IF(DATA!$A$4:$A$104="","--",DATA!$A$4:$A$104),DATA!$B$4:$B$104),_xlpm.Rx,SMALL(_xlpm.CORR,A65),IFERROR(MATCH(_xlpm.Rx,_xlpm.CORR,0),0))</f>
        <v>0</v>
      </c>
      <c r="C65" s="18" t="e">
        <f>+VLOOKUP($A65,DATA!$A:$AG,DATA!$E$3,FALSE)</f>
        <v>#N/A</v>
      </c>
      <c r="D65" s="18" t="e">
        <f>+VLOOKUP($A65,DATA!$A:$AG,DATA!$D$3,FALSE)</f>
        <v>#N/A</v>
      </c>
      <c r="E65" s="186" t="e">
        <f>+VLOOKUP($A65,DATA!$A:$AG,DATA!$G$3,FALSE)</f>
        <v>#N/A</v>
      </c>
      <c r="F65" s="19" t="e">
        <f>+VLOOKUP($A65,DATA!$A:$AG,DATA!$O$3,FALSE)</f>
        <v>#N/A</v>
      </c>
      <c r="G65" s="43" t="e">
        <f>+IF($F65="oui",+VLOOKUP($A65,DATA!$A:$AG,DATA!$P$3,FALSE),0)</f>
        <v>#N/A</v>
      </c>
      <c r="H65" s="44" t="e">
        <f>+IF($F65="oui",+VLOOKUP($A65,DATA!$A:$AG,DATA!$R$3,FALSE),0)</f>
        <v>#N/A</v>
      </c>
      <c r="I65" s="44" t="e">
        <f>+IF($F65="oui",+VLOOKUP($A65,DATA!$A:$AG,DATA!$T$3,FALSE),0)</f>
        <v>#N/A</v>
      </c>
      <c r="J65" s="44" t="e">
        <f>+IF($F65="oui",+VLOOKUP($A65,DATA!$A:$AG,DATA!$V$3,FALSE),0)</f>
        <v>#N/A</v>
      </c>
      <c r="K65" s="44" t="e">
        <f>+IF($F65="oui",+VLOOKUP($A65,DATA!$A:$AG,DATA!$X$3,FALSE),0)</f>
        <v>#N/A</v>
      </c>
      <c r="L65" s="44" t="e">
        <f>+IF($F65="oui",+VLOOKUP($A65,DATA!$A:$AG,DATA!$Z$3,FALSE),0)</f>
        <v>#N/A</v>
      </c>
      <c r="M65" s="44" t="e">
        <f>+IF($F65="oui",+VLOOKUP($A65,DATA!$A:$AG,DATA!$AB$3,FALSE),0)</f>
        <v>#N/A</v>
      </c>
      <c r="N65" s="44" t="e">
        <f>+IF($F65="oui",+VLOOKUP($A65,DATA!$A:$AG,DATA!$AD$3,FALSE),0)</f>
        <v>#N/A</v>
      </c>
      <c r="O65" s="45" t="e">
        <f>+IF($F65="oui",+VLOOKUP($A65,DATA!$A:$AG,DATA!$AF$3,FALSE),0)</f>
        <v>#N/A</v>
      </c>
      <c r="P65" s="116" t="e">
        <f t="shared" si="12"/>
        <v>#N/A</v>
      </c>
      <c r="Q65" s="21" t="e">
        <f>+IF($F65="oui",+VLOOKUP($A65,DATA!$A:$AG,DATA!$Q$3,FALSE),0)</f>
        <v>#N/A</v>
      </c>
      <c r="R65" s="22" t="e">
        <f>+IF($F65="oui",+VLOOKUP($A65,DATA!$A:$AG,DATA!$S$3,FALSE),0)</f>
        <v>#N/A</v>
      </c>
      <c r="S65" s="22" t="e">
        <f>+IF($F65="oui",+VLOOKUP($A65,DATA!$A:$AG,DATA!$U$3,FALSE),0)</f>
        <v>#N/A</v>
      </c>
      <c r="T65" s="22" t="e">
        <f>+IF($F65="oui",+VLOOKUP($A65,DATA!$A:$AG,DATA!$W$3,FALSE),0)</f>
        <v>#N/A</v>
      </c>
      <c r="U65" s="22" t="e">
        <f>+IF($F65="oui",+VLOOKUP($A65,DATA!$A:$AG,DATA!$Y$3,FALSE),0)</f>
        <v>#N/A</v>
      </c>
      <c r="V65" s="22" t="e">
        <f>+IF($F65="oui",+VLOOKUP($A65,DATA!$A:$AG,DATA!$AA$3,FALSE),0)</f>
        <v>#N/A</v>
      </c>
      <c r="W65" s="22" t="e">
        <f>+IF($F65="oui",+VLOOKUP($A65,DATA!$A:$AG,DATA!$AC$3,FALSE),0)</f>
        <v>#N/A</v>
      </c>
      <c r="X65" s="22" t="e">
        <f>+IF($F65="oui",+VLOOKUP($A65,DATA!$A:$AG,DATA!$AE$3,FALSE),0)</f>
        <v>#N/A</v>
      </c>
      <c r="Y65" s="23" t="e">
        <f>+IF($F65="oui",+VLOOKUP($A65,DATA!$A:$AG,DATA!$AG$3,FALSE),0)</f>
        <v>#N/A</v>
      </c>
      <c r="Z65" s="118" t="e">
        <f t="shared" si="20"/>
        <v>#N/A</v>
      </c>
      <c r="AA65" s="43" t="e">
        <f t="shared" si="21"/>
        <v>#N/A</v>
      </c>
      <c r="AB65" s="44" t="e">
        <f t="shared" si="22"/>
        <v>#N/A</v>
      </c>
      <c r="AC65" s="44" t="e">
        <f t="shared" si="23"/>
        <v>#N/A</v>
      </c>
      <c r="AD65" s="44" t="e">
        <f t="shared" si="24"/>
        <v>#N/A</v>
      </c>
      <c r="AE65" s="44" t="e">
        <f t="shared" si="25"/>
        <v>#N/A</v>
      </c>
      <c r="AF65" s="44" t="e">
        <f t="shared" si="26"/>
        <v>#N/A</v>
      </c>
      <c r="AG65" s="44" t="e">
        <f t="shared" si="27"/>
        <v>#N/A</v>
      </c>
      <c r="AH65" s="44" t="e">
        <f t="shared" si="28"/>
        <v>#N/A</v>
      </c>
      <c r="AI65" s="45" t="e">
        <f t="shared" si="29"/>
        <v>#N/A</v>
      </c>
      <c r="AJ65" s="70" t="e">
        <f>+IF(Q65=0," ",+WORKDAY.INTL(+VLOOKUP(AJ$1,POSTE!$B:$G,3,FALSE),+CUM!AA64/+VLOOKUP(AJ$1,POSTE!$B:$H,7,FALSE),,CONGÉ!$C$2:$C$80))</f>
        <v>#N/A</v>
      </c>
      <c r="AK65" s="50" t="e">
        <f>+IF(R65=0," ",+WORKDAY.INTL(+VLOOKUP(AK$1,POSTE!$B:$G,3,FALSE),+CUM!AB64/+VLOOKUP(AK$1,POSTE!$B:$H,7,FALSE),,CONGÉ!$C$2:$C$80))</f>
        <v>#N/A</v>
      </c>
      <c r="AL65" s="50" t="e">
        <f>+IF(S65=0," ",+WORKDAY.INTL(+VLOOKUP(AL$1,POSTE!$B:$G,3,FALSE),+CUM!AC64/+VLOOKUP(AL$1,POSTE!$B:$H,7,FALSE),,CONGÉ!$C$2:$C$80))</f>
        <v>#N/A</v>
      </c>
      <c r="AM65" s="50" t="e">
        <f>+IF(T65=0," ",+WORKDAY.INTL(+VLOOKUP(AM$1,POSTE!$B:$G,3,FALSE),+CUM!AD64/+VLOOKUP(AM$1,POSTE!$B:$H,7,FALSE),,CONGÉ!$C$2:$C$80))</f>
        <v>#N/A</v>
      </c>
      <c r="AN65" s="50" t="e">
        <f>+IF(U65=0," ",+WORKDAY.INTL(+VLOOKUP(AN$1,POSTE!$B:$G,3,FALSE),+CUM!AE64/+VLOOKUP(AN$1,POSTE!$B:$H,7,FALSE),,CONGÉ!$C$2:$C$80))</f>
        <v>#N/A</v>
      </c>
      <c r="AO65" s="50" t="e">
        <f>+IF(V65=0," ",+WORKDAY.INTL(+VLOOKUP(AO$1,POSTE!$B:$G,3,FALSE),+CUM!AF64/+VLOOKUP(AO$1,POSTE!$B:$H,7,FALSE),,CONGÉ!$C$2:$C$80))</f>
        <v>#N/A</v>
      </c>
      <c r="AP65" s="50" t="e">
        <f>+IF(W65=0," ",+WORKDAY.INTL(+VLOOKUP(AP$1,POSTE!$B:$G,3,FALSE),+CUM!AG64/+VLOOKUP(AP$1,POSTE!$B:$H,7,FALSE),,CONGÉ!$C$2:$C$80))</f>
        <v>#N/A</v>
      </c>
      <c r="AQ65" s="50" t="e">
        <f>+IF(X65=0," ",+WORKDAY.INTL(+VLOOKUP(AQ$1,POSTE!$B:$G,3,FALSE),+CUM!AH64/+VLOOKUP(AQ$1,POSTE!$B:$H,7,FALSE),,CONGÉ!$C$2:$C$80))</f>
        <v>#N/A</v>
      </c>
      <c r="AR65" s="71" t="e">
        <f>+IF(Y65=0," ",+WORKDAY.INTL(+VLOOKUP(AR$1,POSTE!$B:$G,3,FALSE),+CUM!AI64/+VLOOKUP(AR$1,POSTE!$B:$H,7,FALSE),,CONGÉ!$C$2:$C$80))</f>
        <v>#N/A</v>
      </c>
      <c r="AS65" s="72" t="e">
        <f>+IF(Q65=0," ",+WORKDAY.INTL(+VLOOKUP(AS$1,POSTE!$B:$G,3,FALSE),+CUM!AA65/+VLOOKUP(AS$1,POSTE!$B:$H,7,FALSE),,CONGÉ!$C$2:$C$80))</f>
        <v>#N/A</v>
      </c>
      <c r="AT65" s="73" t="e">
        <f>+IF(R65=0," ",+WORKDAY.INTL(+VLOOKUP(AT$1,POSTE!$B:$G,3,FALSE),+CUM!AB65/+VLOOKUP(AT$1,POSTE!$B:$H,7,FALSE),,CONGÉ!$C$2:$C$80))</f>
        <v>#N/A</v>
      </c>
      <c r="AU65" s="73" t="e">
        <f>+IF(AND(S65=0,T65=0)," ",+WORKDAY.INTL(+VLOOKUP($AS$1,POSTE!B:J,3,FALSE),+(((AC65*POSTE!$H$5)+(CUM!AD65*POSTE!$H$4))/(POSTE!$H$4*POSTE!$H$5*2)),,CONGÉ!$C$2:$C$80))</f>
        <v>#N/A</v>
      </c>
      <c r="AV65" s="73" t="e">
        <f>+IF(U65=0," ",+WORKDAY.INTL(+VLOOKUP(AV$1,POSTE!$B:$G,3,FALSE),+CUM!AE65/+VLOOKUP(AV$1,POSTE!$B:$H,7,FALSE),,CONGÉ!$C$2:$C$80))</f>
        <v>#N/A</v>
      </c>
      <c r="AW65" s="73" t="e">
        <f>+IF(V65=0," ",+WORKDAY.INTL(+VLOOKUP(AW$1,POSTE!$B:$G,3,FALSE),+CUM!AF65/+VLOOKUP(AW$1,POSTE!$B:$H,7,FALSE),,CONGÉ!$C$2:$C$80))</f>
        <v>#N/A</v>
      </c>
      <c r="AX65" s="73" t="e">
        <f>+IF(W65=0," ",+WORKDAY.INTL(+VLOOKUP(AX$1,POSTE!$B:$G,3,FALSE),+CUM!AG65/+VLOOKUP(AX$1,POSTE!$B:$H,7,FALSE),,CONGÉ!$C$2:$C$80))</f>
        <v>#N/A</v>
      </c>
      <c r="AY65" s="73" t="e">
        <f>+IF(X65=0," ",+WORKDAY.INTL(+VLOOKUP(AY$1,POSTE!$B:$G,3,FALSE),+CUM!AH65/+VLOOKUP(AY$1,POSTE!$B:$H,7,FALSE),,CONGÉ!$C$2:$C$80))</f>
        <v>#N/A</v>
      </c>
      <c r="AZ65" s="73" t="e">
        <f>+IF(Y65=0," ",+WORKDAY.INTL(+VLOOKUP(AZ$1,POSTE!$B:$G,3,FALSE),+CUM!AI65/+VLOOKUP(AZ$1,POSTE!$B:$H,7,FALSE),,CONGÉ!$C$2:$C$80))</f>
        <v>#N/A</v>
      </c>
      <c r="BA65" s="73" t="e">
        <f>+IF(S65=0," ",+WORKDAY.INTL(+VLOOKUP(BA$1,POSTE!$B:$G,3,FALSE),+CUM!AC65/+VLOOKUP(BA$1,POSTE!$B:$H,7,FALSE),,CONGÉ!$C$2:$C$80))</f>
        <v>#N/A</v>
      </c>
      <c r="BB65" s="73" t="e">
        <f>+IF(T65=0," ",+WORKDAY.INTL(+VLOOKUP(BB$1,POSTE!$B:$G,3,FALSE),+CUM!AD65/+VLOOKUP(BB$1,POSTE!$B:$H,7,FALSE),,CONGÉ!$C$2:$C$80))</f>
        <v>#N/A</v>
      </c>
      <c r="BC65" s="70" t="e">
        <f t="shared" si="13"/>
        <v>#N/A</v>
      </c>
      <c r="BD65" s="70" t="e">
        <f t="shared" si="14"/>
        <v>#N/A</v>
      </c>
      <c r="BE65" s="129" t="e">
        <f>+IF($F65="oui",+VLOOKUP($A65,DATA!$A:$AH,DATA!$AH$3,FALSE),0)</f>
        <v>#N/A</v>
      </c>
      <c r="BF65" s="129" t="e">
        <f t="shared" si="15"/>
        <v>#N/A</v>
      </c>
      <c r="BG65" s="136" t="e">
        <f>+IF(BE65&gt;0,+MAX((BH$4:BH64),BD65),"")</f>
        <v>#N/A</v>
      </c>
      <c r="BH65" s="136" t="e">
        <f>+IF(BE65&gt;0,+MAX((BH$4:BH64),+WORKDAY.INTL(BG65,+BE65/8,,CONGÉ!$C$2:$C$73)),"")</f>
        <v>#N/A</v>
      </c>
      <c r="BI65" s="136" t="e">
        <f t="shared" si="16"/>
        <v>#N/A</v>
      </c>
      <c r="BJ65" s="43" t="e">
        <f t="shared" si="30"/>
        <v>#N/A</v>
      </c>
      <c r="BK65" s="77">
        <f t="shared" ca="1" si="17"/>
        <v>45754</v>
      </c>
      <c r="BL65" s="78" t="e">
        <f>+(((AC65*POSTE!$H$5)+(CUM!AD65*POSTE!$H$4))/(POSTE!$H$4*POSTE!$H$5*2))</f>
        <v>#N/A</v>
      </c>
      <c r="BM65" s="90" t="e">
        <f ca="1">+WORKDAY.INTL(BK65,BL65,,CONGÉ!C$4:C$72)</f>
        <v>#N/A</v>
      </c>
      <c r="BN65" s="78" t="e">
        <f t="shared" ca="1" si="18"/>
        <v>#N/A</v>
      </c>
    </row>
    <row r="66" spans="1:66" x14ac:dyDescent="0.25">
      <c r="A66" s="49">
        <f t="shared" si="19"/>
        <v>62</v>
      </c>
      <c r="B66" s="185" cm="1">
        <f t="array" ref="B66">_xlfn.LET(_xlpm.CORR,IF(DATA!$B$4:$B$104="",IF(DATA!$A$4:$A$104="","--",DATA!$A$4:$A$104),DATA!$B$4:$B$104),_xlpm.Rx,SMALL(_xlpm.CORR,A66),IFERROR(MATCH(_xlpm.Rx,_xlpm.CORR,0),0))</f>
        <v>0</v>
      </c>
      <c r="C66" s="18" t="e">
        <f>+VLOOKUP($A66,DATA!$A:$AG,DATA!$E$3,FALSE)</f>
        <v>#N/A</v>
      </c>
      <c r="D66" s="18" t="e">
        <f>+VLOOKUP($A66,DATA!$A:$AG,DATA!$D$3,FALSE)</f>
        <v>#N/A</v>
      </c>
      <c r="E66" s="186" t="e">
        <f>+VLOOKUP($A66,DATA!$A:$AG,DATA!$G$3,FALSE)</f>
        <v>#N/A</v>
      </c>
      <c r="F66" s="19" t="e">
        <f>+VLOOKUP($A66,DATA!$A:$AG,DATA!$O$3,FALSE)</f>
        <v>#N/A</v>
      </c>
      <c r="G66" s="43" t="e">
        <f>+IF($F66="oui",+VLOOKUP($A66,DATA!$A:$AG,DATA!$P$3,FALSE),0)</f>
        <v>#N/A</v>
      </c>
      <c r="H66" s="44" t="e">
        <f>+IF($F66="oui",+VLOOKUP($A66,DATA!$A:$AG,DATA!$R$3,FALSE),0)</f>
        <v>#N/A</v>
      </c>
      <c r="I66" s="44" t="e">
        <f>+IF($F66="oui",+VLOOKUP($A66,DATA!$A:$AG,DATA!$T$3,FALSE),0)</f>
        <v>#N/A</v>
      </c>
      <c r="J66" s="44" t="e">
        <f>+IF($F66="oui",+VLOOKUP($A66,DATA!$A:$AG,DATA!$V$3,FALSE),0)</f>
        <v>#N/A</v>
      </c>
      <c r="K66" s="44" t="e">
        <f>+IF($F66="oui",+VLOOKUP($A66,DATA!$A:$AG,DATA!$X$3,FALSE),0)</f>
        <v>#N/A</v>
      </c>
      <c r="L66" s="44" t="e">
        <f>+IF($F66="oui",+VLOOKUP($A66,DATA!$A:$AG,DATA!$Z$3,FALSE),0)</f>
        <v>#N/A</v>
      </c>
      <c r="M66" s="44" t="e">
        <f>+IF($F66="oui",+VLOOKUP($A66,DATA!$A:$AG,DATA!$AB$3,FALSE),0)</f>
        <v>#N/A</v>
      </c>
      <c r="N66" s="44" t="e">
        <f>+IF($F66="oui",+VLOOKUP($A66,DATA!$A:$AG,DATA!$AD$3,FALSE),0)</f>
        <v>#N/A</v>
      </c>
      <c r="O66" s="45" t="e">
        <f>+IF($F66="oui",+VLOOKUP($A66,DATA!$A:$AG,DATA!$AF$3,FALSE),0)</f>
        <v>#N/A</v>
      </c>
      <c r="P66" s="116" t="e">
        <f t="shared" si="12"/>
        <v>#N/A</v>
      </c>
      <c r="Q66" s="21" t="e">
        <f>+IF($F66="oui",+VLOOKUP($A66,DATA!$A:$AG,DATA!$Q$3,FALSE),0)</f>
        <v>#N/A</v>
      </c>
      <c r="R66" s="22" t="e">
        <f>+IF($F66="oui",+VLOOKUP($A66,DATA!$A:$AG,DATA!$S$3,FALSE),0)</f>
        <v>#N/A</v>
      </c>
      <c r="S66" s="22" t="e">
        <f>+IF($F66="oui",+VLOOKUP($A66,DATA!$A:$AG,DATA!$U$3,FALSE),0)</f>
        <v>#N/A</v>
      </c>
      <c r="T66" s="22" t="e">
        <f>+IF($F66="oui",+VLOOKUP($A66,DATA!$A:$AG,DATA!$W$3,FALSE),0)</f>
        <v>#N/A</v>
      </c>
      <c r="U66" s="22" t="e">
        <f>+IF($F66="oui",+VLOOKUP($A66,DATA!$A:$AG,DATA!$Y$3,FALSE),0)</f>
        <v>#N/A</v>
      </c>
      <c r="V66" s="22" t="e">
        <f>+IF($F66="oui",+VLOOKUP($A66,DATA!$A:$AG,DATA!$AA$3,FALSE),0)</f>
        <v>#N/A</v>
      </c>
      <c r="W66" s="22" t="e">
        <f>+IF($F66="oui",+VLOOKUP($A66,DATA!$A:$AG,DATA!$AC$3,FALSE),0)</f>
        <v>#N/A</v>
      </c>
      <c r="X66" s="22" t="e">
        <f>+IF($F66="oui",+VLOOKUP($A66,DATA!$A:$AG,DATA!$AE$3,FALSE),0)</f>
        <v>#N/A</v>
      </c>
      <c r="Y66" s="23" t="e">
        <f>+IF($F66="oui",+VLOOKUP($A66,DATA!$A:$AG,DATA!$AG$3,FALSE),0)</f>
        <v>#N/A</v>
      </c>
      <c r="Z66" s="118" t="e">
        <f t="shared" si="20"/>
        <v>#N/A</v>
      </c>
      <c r="AA66" s="43" t="e">
        <f t="shared" si="21"/>
        <v>#N/A</v>
      </c>
      <c r="AB66" s="44" t="e">
        <f t="shared" si="22"/>
        <v>#N/A</v>
      </c>
      <c r="AC66" s="44" t="e">
        <f t="shared" si="23"/>
        <v>#N/A</v>
      </c>
      <c r="AD66" s="44" t="e">
        <f t="shared" si="24"/>
        <v>#N/A</v>
      </c>
      <c r="AE66" s="44" t="e">
        <f t="shared" si="25"/>
        <v>#N/A</v>
      </c>
      <c r="AF66" s="44" t="e">
        <f t="shared" si="26"/>
        <v>#N/A</v>
      </c>
      <c r="AG66" s="44" t="e">
        <f t="shared" si="27"/>
        <v>#N/A</v>
      </c>
      <c r="AH66" s="44" t="e">
        <f t="shared" si="28"/>
        <v>#N/A</v>
      </c>
      <c r="AI66" s="45" t="e">
        <f t="shared" si="29"/>
        <v>#N/A</v>
      </c>
      <c r="AJ66" s="70" t="e">
        <f>+IF(Q66=0," ",+WORKDAY.INTL(+VLOOKUP(AJ$1,POSTE!$B:$G,3,FALSE),+CUM!AA65/+VLOOKUP(AJ$1,POSTE!$B:$H,7,FALSE),,CONGÉ!$C$2:$C$80))</f>
        <v>#N/A</v>
      </c>
      <c r="AK66" s="50" t="e">
        <f>+IF(R66=0," ",+WORKDAY.INTL(+VLOOKUP(AK$1,POSTE!$B:$G,3,FALSE),+CUM!AB65/+VLOOKUP(AK$1,POSTE!$B:$H,7,FALSE),,CONGÉ!$C$2:$C$80))</f>
        <v>#N/A</v>
      </c>
      <c r="AL66" s="50" t="e">
        <f>+IF(S66=0," ",+WORKDAY.INTL(+VLOOKUP(AL$1,POSTE!$B:$G,3,FALSE),+CUM!AC65/+VLOOKUP(AL$1,POSTE!$B:$H,7,FALSE),,CONGÉ!$C$2:$C$80))</f>
        <v>#N/A</v>
      </c>
      <c r="AM66" s="50" t="e">
        <f>+IF(T66=0," ",+WORKDAY.INTL(+VLOOKUP(AM$1,POSTE!$B:$G,3,FALSE),+CUM!AD65/+VLOOKUP(AM$1,POSTE!$B:$H,7,FALSE),,CONGÉ!$C$2:$C$80))</f>
        <v>#N/A</v>
      </c>
      <c r="AN66" s="50" t="e">
        <f>+IF(U66=0," ",+WORKDAY.INTL(+VLOOKUP(AN$1,POSTE!$B:$G,3,FALSE),+CUM!AE65/+VLOOKUP(AN$1,POSTE!$B:$H,7,FALSE),,CONGÉ!$C$2:$C$80))</f>
        <v>#N/A</v>
      </c>
      <c r="AO66" s="50" t="e">
        <f>+IF(V66=0," ",+WORKDAY.INTL(+VLOOKUP(AO$1,POSTE!$B:$G,3,FALSE),+CUM!AF65/+VLOOKUP(AO$1,POSTE!$B:$H,7,FALSE),,CONGÉ!$C$2:$C$80))</f>
        <v>#N/A</v>
      </c>
      <c r="AP66" s="50" t="e">
        <f>+IF(W66=0," ",+WORKDAY.INTL(+VLOOKUP(AP$1,POSTE!$B:$G,3,FALSE),+CUM!AG65/+VLOOKUP(AP$1,POSTE!$B:$H,7,FALSE),,CONGÉ!$C$2:$C$80))</f>
        <v>#N/A</v>
      </c>
      <c r="AQ66" s="50" t="e">
        <f>+IF(X66=0," ",+WORKDAY.INTL(+VLOOKUP(AQ$1,POSTE!$B:$G,3,FALSE),+CUM!AH65/+VLOOKUP(AQ$1,POSTE!$B:$H,7,FALSE),,CONGÉ!$C$2:$C$80))</f>
        <v>#N/A</v>
      </c>
      <c r="AR66" s="71" t="e">
        <f>+IF(Y66=0," ",+WORKDAY.INTL(+VLOOKUP(AR$1,POSTE!$B:$G,3,FALSE),+CUM!AI65/+VLOOKUP(AR$1,POSTE!$B:$H,7,FALSE),,CONGÉ!$C$2:$C$80))</f>
        <v>#N/A</v>
      </c>
      <c r="AS66" s="72" t="e">
        <f>+IF(Q66=0," ",+WORKDAY.INTL(+VLOOKUP(AS$1,POSTE!$B:$G,3,FALSE),+CUM!AA66/+VLOOKUP(AS$1,POSTE!$B:$H,7,FALSE),,CONGÉ!$C$2:$C$80))</f>
        <v>#N/A</v>
      </c>
      <c r="AT66" s="73" t="e">
        <f>+IF(R66=0," ",+WORKDAY.INTL(+VLOOKUP(AT$1,POSTE!$B:$G,3,FALSE),+CUM!AB66/+VLOOKUP(AT$1,POSTE!$B:$H,7,FALSE),,CONGÉ!$C$2:$C$80))</f>
        <v>#N/A</v>
      </c>
      <c r="AU66" s="73" t="e">
        <f>+IF(AND(S66=0,T66=0)," ",+WORKDAY.INTL(+VLOOKUP($AS$1,POSTE!B:J,3,FALSE),+(((AC66*POSTE!$H$5)+(CUM!AD66*POSTE!$H$4))/(POSTE!$H$4*POSTE!$H$5*2)),,CONGÉ!$C$2:$C$80))</f>
        <v>#N/A</v>
      </c>
      <c r="AV66" s="73" t="e">
        <f>+IF(U66=0," ",+WORKDAY.INTL(+VLOOKUP(AV$1,POSTE!$B:$G,3,FALSE),+CUM!AE66/+VLOOKUP(AV$1,POSTE!$B:$H,7,FALSE),,CONGÉ!$C$2:$C$80))</f>
        <v>#N/A</v>
      </c>
      <c r="AW66" s="73" t="e">
        <f>+IF(V66=0," ",+WORKDAY.INTL(+VLOOKUP(AW$1,POSTE!$B:$G,3,FALSE),+CUM!AF66/+VLOOKUP(AW$1,POSTE!$B:$H,7,FALSE),,CONGÉ!$C$2:$C$80))</f>
        <v>#N/A</v>
      </c>
      <c r="AX66" s="73" t="e">
        <f>+IF(W66=0," ",+WORKDAY.INTL(+VLOOKUP(AX$1,POSTE!$B:$G,3,FALSE),+CUM!AG66/+VLOOKUP(AX$1,POSTE!$B:$H,7,FALSE),,CONGÉ!$C$2:$C$80))</f>
        <v>#N/A</v>
      </c>
      <c r="AY66" s="73" t="e">
        <f>+IF(X66=0," ",+WORKDAY.INTL(+VLOOKUP(AY$1,POSTE!$B:$G,3,FALSE),+CUM!AH66/+VLOOKUP(AY$1,POSTE!$B:$H,7,FALSE),,CONGÉ!$C$2:$C$80))</f>
        <v>#N/A</v>
      </c>
      <c r="AZ66" s="73" t="e">
        <f>+IF(Y66=0," ",+WORKDAY.INTL(+VLOOKUP(AZ$1,POSTE!$B:$G,3,FALSE),+CUM!AI66/+VLOOKUP(AZ$1,POSTE!$B:$H,7,FALSE),,CONGÉ!$C$2:$C$80))</f>
        <v>#N/A</v>
      </c>
      <c r="BA66" s="73" t="e">
        <f>+IF(S66=0," ",+WORKDAY.INTL(+VLOOKUP(BA$1,POSTE!$B:$G,3,FALSE),+CUM!AC66/+VLOOKUP(BA$1,POSTE!$B:$H,7,FALSE),,CONGÉ!$C$2:$C$80))</f>
        <v>#N/A</v>
      </c>
      <c r="BB66" s="73" t="e">
        <f>+IF(T66=0," ",+WORKDAY.INTL(+VLOOKUP(BB$1,POSTE!$B:$G,3,FALSE),+CUM!AD66/+VLOOKUP(BB$1,POSTE!$B:$H,7,FALSE),,CONGÉ!$C$2:$C$80))</f>
        <v>#N/A</v>
      </c>
      <c r="BC66" s="70" t="e">
        <f t="shared" si="13"/>
        <v>#N/A</v>
      </c>
      <c r="BD66" s="70" t="e">
        <f t="shared" si="14"/>
        <v>#N/A</v>
      </c>
      <c r="BE66" s="129" t="e">
        <f>+IF($F66="oui",+VLOOKUP($A66,DATA!$A:$AH,DATA!$AH$3,FALSE),0)</f>
        <v>#N/A</v>
      </c>
      <c r="BF66" s="129" t="e">
        <f t="shared" si="15"/>
        <v>#N/A</v>
      </c>
      <c r="BG66" s="136" t="e">
        <f>+IF(BE66&gt;0,+MAX((BH$4:BH65),BD66),"")</f>
        <v>#N/A</v>
      </c>
      <c r="BH66" s="136" t="e">
        <f>+IF(BE66&gt;0,+MAX((BH$4:BH65),+WORKDAY.INTL(BG66,+BE66/8,,CONGÉ!$C$2:$C$73)),"")</f>
        <v>#N/A</v>
      </c>
      <c r="BI66" s="136" t="e">
        <f t="shared" si="16"/>
        <v>#N/A</v>
      </c>
      <c r="BJ66" s="43" t="e">
        <f t="shared" si="30"/>
        <v>#N/A</v>
      </c>
      <c r="BK66" s="77">
        <f t="shared" ca="1" si="17"/>
        <v>45754</v>
      </c>
      <c r="BL66" s="78" t="e">
        <f>+(((AC66*POSTE!$H$5)+(CUM!AD66*POSTE!$H$4))/(POSTE!$H$4*POSTE!$H$5*2))</f>
        <v>#N/A</v>
      </c>
      <c r="BM66" s="90" t="e">
        <f ca="1">+WORKDAY.INTL(BK66,BL66,,CONGÉ!C$4:C$72)</f>
        <v>#N/A</v>
      </c>
      <c r="BN66" s="78" t="e">
        <f t="shared" ca="1" si="18"/>
        <v>#N/A</v>
      </c>
    </row>
    <row r="67" spans="1:66" x14ac:dyDescent="0.25">
      <c r="A67" s="49">
        <f t="shared" si="19"/>
        <v>63</v>
      </c>
      <c r="B67" s="185" cm="1">
        <f t="array" ref="B67">_xlfn.LET(_xlpm.CORR,IF(DATA!$B$4:$B$104="",IF(DATA!$A$4:$A$104="","--",DATA!$A$4:$A$104),DATA!$B$4:$B$104),_xlpm.Rx,SMALL(_xlpm.CORR,A67),IFERROR(MATCH(_xlpm.Rx,_xlpm.CORR,0),0))</f>
        <v>0</v>
      </c>
      <c r="C67" s="18" t="e">
        <f>+VLOOKUP($A67,DATA!$A:$AG,DATA!$E$3,FALSE)</f>
        <v>#N/A</v>
      </c>
      <c r="D67" s="18" t="e">
        <f>+VLOOKUP($A67,DATA!$A:$AG,DATA!$D$3,FALSE)</f>
        <v>#N/A</v>
      </c>
      <c r="E67" s="186" t="e">
        <f>+VLOOKUP($A67,DATA!$A:$AG,DATA!$G$3,FALSE)</f>
        <v>#N/A</v>
      </c>
      <c r="F67" s="19" t="e">
        <f>+VLOOKUP($A67,DATA!$A:$AG,DATA!$O$3,FALSE)</f>
        <v>#N/A</v>
      </c>
      <c r="G67" s="43" t="e">
        <f>+IF($F67="oui",+VLOOKUP($A67,DATA!$A:$AG,DATA!$P$3,FALSE),0)</f>
        <v>#N/A</v>
      </c>
      <c r="H67" s="44" t="e">
        <f>+IF($F67="oui",+VLOOKUP($A67,DATA!$A:$AG,DATA!$R$3,FALSE),0)</f>
        <v>#N/A</v>
      </c>
      <c r="I67" s="44" t="e">
        <f>+IF($F67="oui",+VLOOKUP($A67,DATA!$A:$AG,DATA!$T$3,FALSE),0)</f>
        <v>#N/A</v>
      </c>
      <c r="J67" s="44" t="e">
        <f>+IF($F67="oui",+VLOOKUP($A67,DATA!$A:$AG,DATA!$V$3,FALSE),0)</f>
        <v>#N/A</v>
      </c>
      <c r="K67" s="44" t="e">
        <f>+IF($F67="oui",+VLOOKUP($A67,DATA!$A:$AG,DATA!$X$3,FALSE),0)</f>
        <v>#N/A</v>
      </c>
      <c r="L67" s="44" t="e">
        <f>+IF($F67="oui",+VLOOKUP($A67,DATA!$A:$AG,DATA!$Z$3,FALSE),0)</f>
        <v>#N/A</v>
      </c>
      <c r="M67" s="44" t="e">
        <f>+IF($F67="oui",+VLOOKUP($A67,DATA!$A:$AG,DATA!$AB$3,FALSE),0)</f>
        <v>#N/A</v>
      </c>
      <c r="N67" s="44" t="e">
        <f>+IF($F67="oui",+VLOOKUP($A67,DATA!$A:$AG,DATA!$AD$3,FALSE),0)</f>
        <v>#N/A</v>
      </c>
      <c r="O67" s="45" t="e">
        <f>+IF($F67="oui",+VLOOKUP($A67,DATA!$A:$AG,DATA!$AF$3,FALSE),0)</f>
        <v>#N/A</v>
      </c>
      <c r="P67" s="116" t="e">
        <f t="shared" si="12"/>
        <v>#N/A</v>
      </c>
      <c r="Q67" s="21" t="e">
        <f>+IF($F67="oui",+VLOOKUP($A67,DATA!$A:$AG,DATA!$Q$3,FALSE),0)</f>
        <v>#N/A</v>
      </c>
      <c r="R67" s="22" t="e">
        <f>+IF($F67="oui",+VLOOKUP($A67,DATA!$A:$AG,DATA!$S$3,FALSE),0)</f>
        <v>#N/A</v>
      </c>
      <c r="S67" s="22" t="e">
        <f>+IF($F67="oui",+VLOOKUP($A67,DATA!$A:$AG,DATA!$U$3,FALSE),0)</f>
        <v>#N/A</v>
      </c>
      <c r="T67" s="22" t="e">
        <f>+IF($F67="oui",+VLOOKUP($A67,DATA!$A:$AG,DATA!$W$3,FALSE),0)</f>
        <v>#N/A</v>
      </c>
      <c r="U67" s="22" t="e">
        <f>+IF($F67="oui",+VLOOKUP($A67,DATA!$A:$AG,DATA!$Y$3,FALSE),0)</f>
        <v>#N/A</v>
      </c>
      <c r="V67" s="22" t="e">
        <f>+IF($F67="oui",+VLOOKUP($A67,DATA!$A:$AG,DATA!$AA$3,FALSE),0)</f>
        <v>#N/A</v>
      </c>
      <c r="W67" s="22" t="e">
        <f>+IF($F67="oui",+VLOOKUP($A67,DATA!$A:$AG,DATA!$AC$3,FALSE),0)</f>
        <v>#N/A</v>
      </c>
      <c r="X67" s="22" t="e">
        <f>+IF($F67="oui",+VLOOKUP($A67,DATA!$A:$AG,DATA!$AE$3,FALSE),0)</f>
        <v>#N/A</v>
      </c>
      <c r="Y67" s="23" t="e">
        <f>+IF($F67="oui",+VLOOKUP($A67,DATA!$A:$AG,DATA!$AG$3,FALSE),0)</f>
        <v>#N/A</v>
      </c>
      <c r="Z67" s="118" t="e">
        <f t="shared" si="20"/>
        <v>#N/A</v>
      </c>
      <c r="AA67" s="43" t="e">
        <f t="shared" si="21"/>
        <v>#N/A</v>
      </c>
      <c r="AB67" s="44" t="e">
        <f t="shared" si="22"/>
        <v>#N/A</v>
      </c>
      <c r="AC67" s="44" t="e">
        <f t="shared" si="23"/>
        <v>#N/A</v>
      </c>
      <c r="AD67" s="44" t="e">
        <f t="shared" si="24"/>
        <v>#N/A</v>
      </c>
      <c r="AE67" s="44" t="e">
        <f t="shared" si="25"/>
        <v>#N/A</v>
      </c>
      <c r="AF67" s="44" t="e">
        <f t="shared" si="26"/>
        <v>#N/A</v>
      </c>
      <c r="AG67" s="44" t="e">
        <f t="shared" si="27"/>
        <v>#N/A</v>
      </c>
      <c r="AH67" s="44" t="e">
        <f t="shared" si="28"/>
        <v>#N/A</v>
      </c>
      <c r="AI67" s="45" t="e">
        <f t="shared" si="29"/>
        <v>#N/A</v>
      </c>
      <c r="AJ67" s="70" t="e">
        <f>+IF(Q67=0," ",+WORKDAY.INTL(+VLOOKUP(AJ$1,POSTE!$B:$G,3,FALSE),+CUM!AA66/+VLOOKUP(AJ$1,POSTE!$B:$H,7,FALSE),,CONGÉ!$C$2:$C$80))</f>
        <v>#N/A</v>
      </c>
      <c r="AK67" s="50" t="e">
        <f>+IF(R67=0," ",+WORKDAY.INTL(+VLOOKUP(AK$1,POSTE!$B:$G,3,FALSE),+CUM!AB66/+VLOOKUP(AK$1,POSTE!$B:$H,7,FALSE),,CONGÉ!$C$2:$C$80))</f>
        <v>#N/A</v>
      </c>
      <c r="AL67" s="50" t="e">
        <f>+IF(S67=0," ",+WORKDAY.INTL(+VLOOKUP(AL$1,POSTE!$B:$G,3,FALSE),+CUM!AC66/+VLOOKUP(AL$1,POSTE!$B:$H,7,FALSE),,CONGÉ!$C$2:$C$80))</f>
        <v>#N/A</v>
      </c>
      <c r="AM67" s="50" t="e">
        <f>+IF(T67=0," ",+WORKDAY.INTL(+VLOOKUP(AM$1,POSTE!$B:$G,3,FALSE),+CUM!AD66/+VLOOKUP(AM$1,POSTE!$B:$H,7,FALSE),,CONGÉ!$C$2:$C$80))</f>
        <v>#N/A</v>
      </c>
      <c r="AN67" s="50" t="e">
        <f>+IF(U67=0," ",+WORKDAY.INTL(+VLOOKUP(AN$1,POSTE!$B:$G,3,FALSE),+CUM!AE66/+VLOOKUP(AN$1,POSTE!$B:$H,7,FALSE),,CONGÉ!$C$2:$C$80))</f>
        <v>#N/A</v>
      </c>
      <c r="AO67" s="50" t="e">
        <f>+IF(V67=0," ",+WORKDAY.INTL(+VLOOKUP(AO$1,POSTE!$B:$G,3,FALSE),+CUM!AF66/+VLOOKUP(AO$1,POSTE!$B:$H,7,FALSE),,CONGÉ!$C$2:$C$80))</f>
        <v>#N/A</v>
      </c>
      <c r="AP67" s="50" t="e">
        <f>+IF(W67=0," ",+WORKDAY.INTL(+VLOOKUP(AP$1,POSTE!$B:$G,3,FALSE),+CUM!AG66/+VLOOKUP(AP$1,POSTE!$B:$H,7,FALSE),,CONGÉ!$C$2:$C$80))</f>
        <v>#N/A</v>
      </c>
      <c r="AQ67" s="50" t="e">
        <f>+IF(X67=0," ",+WORKDAY.INTL(+VLOOKUP(AQ$1,POSTE!$B:$G,3,FALSE),+CUM!AH66/+VLOOKUP(AQ$1,POSTE!$B:$H,7,FALSE),,CONGÉ!$C$2:$C$80))</f>
        <v>#N/A</v>
      </c>
      <c r="AR67" s="71" t="e">
        <f>+IF(Y67=0," ",+WORKDAY.INTL(+VLOOKUP(AR$1,POSTE!$B:$G,3,FALSE),+CUM!AI66/+VLOOKUP(AR$1,POSTE!$B:$H,7,FALSE),,CONGÉ!$C$2:$C$80))</f>
        <v>#N/A</v>
      </c>
      <c r="AS67" s="72" t="e">
        <f>+IF(Q67=0," ",+WORKDAY.INTL(+VLOOKUP(AS$1,POSTE!$B:$G,3,FALSE),+CUM!AA67/+VLOOKUP(AS$1,POSTE!$B:$H,7,FALSE),,CONGÉ!$C$2:$C$80))</f>
        <v>#N/A</v>
      </c>
      <c r="AT67" s="73" t="e">
        <f>+IF(R67=0," ",+WORKDAY.INTL(+VLOOKUP(AT$1,POSTE!$B:$G,3,FALSE),+CUM!AB67/+VLOOKUP(AT$1,POSTE!$B:$H,7,FALSE),,CONGÉ!$C$2:$C$80))</f>
        <v>#N/A</v>
      </c>
      <c r="AU67" s="73" t="e">
        <f>+IF(AND(S67=0,T67=0)," ",+WORKDAY.INTL(+VLOOKUP($AS$1,POSTE!B:J,3,FALSE),+(((AC67*POSTE!$H$5)+(CUM!AD67*POSTE!$H$4))/(POSTE!$H$4*POSTE!$H$5*2)),,CONGÉ!$C$2:$C$80))</f>
        <v>#N/A</v>
      </c>
      <c r="AV67" s="73" t="e">
        <f>+IF(U67=0," ",+WORKDAY.INTL(+VLOOKUP(AV$1,POSTE!$B:$G,3,FALSE),+CUM!AE67/+VLOOKUP(AV$1,POSTE!$B:$H,7,FALSE),,CONGÉ!$C$2:$C$80))</f>
        <v>#N/A</v>
      </c>
      <c r="AW67" s="73" t="e">
        <f>+IF(V67=0," ",+WORKDAY.INTL(+VLOOKUP(AW$1,POSTE!$B:$G,3,FALSE),+CUM!AF67/+VLOOKUP(AW$1,POSTE!$B:$H,7,FALSE),,CONGÉ!$C$2:$C$80))</f>
        <v>#N/A</v>
      </c>
      <c r="AX67" s="73" t="e">
        <f>+IF(W67=0," ",+WORKDAY.INTL(+VLOOKUP(AX$1,POSTE!$B:$G,3,FALSE),+CUM!AG67/+VLOOKUP(AX$1,POSTE!$B:$H,7,FALSE),,CONGÉ!$C$2:$C$80))</f>
        <v>#N/A</v>
      </c>
      <c r="AY67" s="73" t="e">
        <f>+IF(X67=0," ",+WORKDAY.INTL(+VLOOKUP(AY$1,POSTE!$B:$G,3,FALSE),+CUM!AH67/+VLOOKUP(AY$1,POSTE!$B:$H,7,FALSE),,CONGÉ!$C$2:$C$80))</f>
        <v>#N/A</v>
      </c>
      <c r="AZ67" s="73" t="e">
        <f>+IF(Y67=0," ",+WORKDAY.INTL(+VLOOKUP(AZ$1,POSTE!$B:$G,3,FALSE),+CUM!AI67/+VLOOKUP(AZ$1,POSTE!$B:$H,7,FALSE),,CONGÉ!$C$2:$C$80))</f>
        <v>#N/A</v>
      </c>
      <c r="BA67" s="73" t="e">
        <f>+IF(S67=0," ",+WORKDAY.INTL(+VLOOKUP(BA$1,POSTE!$B:$G,3,FALSE),+CUM!AC67/+VLOOKUP(BA$1,POSTE!$B:$H,7,FALSE),,CONGÉ!$C$2:$C$80))</f>
        <v>#N/A</v>
      </c>
      <c r="BB67" s="73" t="e">
        <f>+IF(T67=0," ",+WORKDAY.INTL(+VLOOKUP(BB$1,POSTE!$B:$G,3,FALSE),+CUM!AD67/+VLOOKUP(BB$1,POSTE!$B:$H,7,FALSE),,CONGÉ!$C$2:$C$80))</f>
        <v>#N/A</v>
      </c>
      <c r="BC67" s="70" t="e">
        <f t="shared" si="13"/>
        <v>#N/A</v>
      </c>
      <c r="BD67" s="70" t="e">
        <f t="shared" si="14"/>
        <v>#N/A</v>
      </c>
      <c r="BE67" s="129" t="e">
        <f>+IF($F67="oui",+VLOOKUP($A67,DATA!$A:$AH,DATA!$AH$3,FALSE),0)</f>
        <v>#N/A</v>
      </c>
      <c r="BF67" s="129" t="e">
        <f t="shared" si="15"/>
        <v>#N/A</v>
      </c>
      <c r="BG67" s="136" t="e">
        <f>+IF(BE67&gt;0,+MAX((BH$4:BH66),BD67),"")</f>
        <v>#N/A</v>
      </c>
      <c r="BH67" s="136" t="e">
        <f>+IF(BE67&gt;0,+MAX((BH$4:BH66),+WORKDAY.INTL(BG67,+BE67/8,,CONGÉ!$C$2:$C$73)),"")</f>
        <v>#N/A</v>
      </c>
      <c r="BI67" s="136" t="e">
        <f t="shared" si="16"/>
        <v>#N/A</v>
      </c>
      <c r="BJ67" s="43" t="e">
        <f t="shared" si="30"/>
        <v>#N/A</v>
      </c>
      <c r="BK67" s="77">
        <f t="shared" ca="1" si="17"/>
        <v>45754</v>
      </c>
      <c r="BL67" s="78" t="e">
        <f>+(((AC67*POSTE!$H$5)+(CUM!AD67*POSTE!$H$4))/(POSTE!$H$4*POSTE!$H$5*2))</f>
        <v>#N/A</v>
      </c>
      <c r="BM67" s="90" t="e">
        <f ca="1">+WORKDAY.INTL(BK67,BL67,,CONGÉ!C$4:C$72)</f>
        <v>#N/A</v>
      </c>
      <c r="BN67" s="78" t="e">
        <f t="shared" ca="1" si="18"/>
        <v>#N/A</v>
      </c>
    </row>
    <row r="68" spans="1:66" x14ac:dyDescent="0.25">
      <c r="A68" s="49">
        <f t="shared" si="19"/>
        <v>64</v>
      </c>
      <c r="B68" s="185" cm="1">
        <f t="array" ref="B68">_xlfn.LET(_xlpm.CORR,IF(DATA!$B$4:$B$104="",IF(DATA!$A$4:$A$104="","--",DATA!$A$4:$A$104),DATA!$B$4:$B$104),_xlpm.Rx,SMALL(_xlpm.CORR,A68),IFERROR(MATCH(_xlpm.Rx,_xlpm.CORR,0),0))</f>
        <v>0</v>
      </c>
      <c r="C68" s="18" t="e">
        <f>+VLOOKUP($A68,DATA!$A:$AG,DATA!$E$3,FALSE)</f>
        <v>#N/A</v>
      </c>
      <c r="D68" s="18" t="e">
        <f>+VLOOKUP($A68,DATA!$A:$AG,DATA!$D$3,FALSE)</f>
        <v>#N/A</v>
      </c>
      <c r="E68" s="186" t="e">
        <f>+VLOOKUP($A68,DATA!$A:$AG,DATA!$G$3,FALSE)</f>
        <v>#N/A</v>
      </c>
      <c r="F68" s="19" t="e">
        <f>+VLOOKUP($A68,DATA!$A:$AG,DATA!$O$3,FALSE)</f>
        <v>#N/A</v>
      </c>
      <c r="G68" s="43" t="e">
        <f>+IF($F68="oui",+VLOOKUP($A68,DATA!$A:$AG,DATA!$P$3,FALSE),0)</f>
        <v>#N/A</v>
      </c>
      <c r="H68" s="44" t="e">
        <f>+IF($F68="oui",+VLOOKUP($A68,DATA!$A:$AG,DATA!$R$3,FALSE),0)</f>
        <v>#N/A</v>
      </c>
      <c r="I68" s="44" t="e">
        <f>+IF($F68="oui",+VLOOKUP($A68,DATA!$A:$AG,DATA!$T$3,FALSE),0)</f>
        <v>#N/A</v>
      </c>
      <c r="J68" s="44" t="e">
        <f>+IF($F68="oui",+VLOOKUP($A68,DATA!$A:$AG,DATA!$V$3,FALSE),0)</f>
        <v>#N/A</v>
      </c>
      <c r="K68" s="44" t="e">
        <f>+IF($F68="oui",+VLOOKUP($A68,DATA!$A:$AG,DATA!$X$3,FALSE),0)</f>
        <v>#N/A</v>
      </c>
      <c r="L68" s="44" t="e">
        <f>+IF($F68="oui",+VLOOKUP($A68,DATA!$A:$AG,DATA!$Z$3,FALSE),0)</f>
        <v>#N/A</v>
      </c>
      <c r="M68" s="44" t="e">
        <f>+IF($F68="oui",+VLOOKUP($A68,DATA!$A:$AG,DATA!$AB$3,FALSE),0)</f>
        <v>#N/A</v>
      </c>
      <c r="N68" s="44" t="e">
        <f>+IF($F68="oui",+VLOOKUP($A68,DATA!$A:$AG,DATA!$AD$3,FALSE),0)</f>
        <v>#N/A</v>
      </c>
      <c r="O68" s="45" t="e">
        <f>+IF($F68="oui",+VLOOKUP($A68,DATA!$A:$AG,DATA!$AF$3,FALSE),0)</f>
        <v>#N/A</v>
      </c>
      <c r="P68" s="116" t="e">
        <f t="shared" si="12"/>
        <v>#N/A</v>
      </c>
      <c r="Q68" s="21" t="e">
        <f>+IF($F68="oui",+VLOOKUP($A68,DATA!$A:$AG,DATA!$Q$3,FALSE),0)</f>
        <v>#N/A</v>
      </c>
      <c r="R68" s="22" t="e">
        <f>+IF($F68="oui",+VLOOKUP($A68,DATA!$A:$AG,DATA!$S$3,FALSE),0)</f>
        <v>#N/A</v>
      </c>
      <c r="S68" s="22" t="e">
        <f>+IF($F68="oui",+VLOOKUP($A68,DATA!$A:$AG,DATA!$U$3,FALSE),0)</f>
        <v>#N/A</v>
      </c>
      <c r="T68" s="22" t="e">
        <f>+IF($F68="oui",+VLOOKUP($A68,DATA!$A:$AG,DATA!$W$3,FALSE),0)</f>
        <v>#N/A</v>
      </c>
      <c r="U68" s="22" t="e">
        <f>+IF($F68="oui",+VLOOKUP($A68,DATA!$A:$AG,DATA!$Y$3,FALSE),0)</f>
        <v>#N/A</v>
      </c>
      <c r="V68" s="22" t="e">
        <f>+IF($F68="oui",+VLOOKUP($A68,DATA!$A:$AG,DATA!$AA$3,FALSE),0)</f>
        <v>#N/A</v>
      </c>
      <c r="W68" s="22" t="e">
        <f>+IF($F68="oui",+VLOOKUP($A68,DATA!$A:$AG,DATA!$AC$3,FALSE),0)</f>
        <v>#N/A</v>
      </c>
      <c r="X68" s="22" t="e">
        <f>+IF($F68="oui",+VLOOKUP($A68,DATA!$A:$AG,DATA!$AE$3,FALSE),0)</f>
        <v>#N/A</v>
      </c>
      <c r="Y68" s="23" t="e">
        <f>+IF($F68="oui",+VLOOKUP($A68,DATA!$A:$AG,DATA!$AG$3,FALSE),0)</f>
        <v>#N/A</v>
      </c>
      <c r="Z68" s="118" t="e">
        <f t="shared" si="20"/>
        <v>#N/A</v>
      </c>
      <c r="AA68" s="43" t="e">
        <f t="shared" si="21"/>
        <v>#N/A</v>
      </c>
      <c r="AB68" s="44" t="e">
        <f t="shared" si="22"/>
        <v>#N/A</v>
      </c>
      <c r="AC68" s="44" t="e">
        <f t="shared" si="23"/>
        <v>#N/A</v>
      </c>
      <c r="AD68" s="44" t="e">
        <f t="shared" si="24"/>
        <v>#N/A</v>
      </c>
      <c r="AE68" s="44" t="e">
        <f t="shared" si="25"/>
        <v>#N/A</v>
      </c>
      <c r="AF68" s="44" t="e">
        <f t="shared" si="26"/>
        <v>#N/A</v>
      </c>
      <c r="AG68" s="44" t="e">
        <f t="shared" si="27"/>
        <v>#N/A</v>
      </c>
      <c r="AH68" s="44" t="e">
        <f t="shared" si="28"/>
        <v>#N/A</v>
      </c>
      <c r="AI68" s="45" t="e">
        <f t="shared" si="29"/>
        <v>#N/A</v>
      </c>
      <c r="AJ68" s="70" t="e">
        <f>+IF(Q68=0," ",+WORKDAY.INTL(+VLOOKUP(AJ$1,POSTE!$B:$G,3,FALSE),+CUM!AA67/+VLOOKUP(AJ$1,POSTE!$B:$H,7,FALSE),,CONGÉ!$C$2:$C$80))</f>
        <v>#N/A</v>
      </c>
      <c r="AK68" s="50" t="e">
        <f>+IF(R68=0," ",+WORKDAY.INTL(+VLOOKUP(AK$1,POSTE!$B:$G,3,FALSE),+CUM!AB67/+VLOOKUP(AK$1,POSTE!$B:$H,7,FALSE),,CONGÉ!$C$2:$C$80))</f>
        <v>#N/A</v>
      </c>
      <c r="AL68" s="50" t="e">
        <f>+IF(S68=0," ",+WORKDAY.INTL(+VLOOKUP(AL$1,POSTE!$B:$G,3,FALSE),+CUM!AC67/+VLOOKUP(AL$1,POSTE!$B:$H,7,FALSE),,CONGÉ!$C$2:$C$80))</f>
        <v>#N/A</v>
      </c>
      <c r="AM68" s="50" t="e">
        <f>+IF(T68=0," ",+WORKDAY.INTL(+VLOOKUP(AM$1,POSTE!$B:$G,3,FALSE),+CUM!AD67/+VLOOKUP(AM$1,POSTE!$B:$H,7,FALSE),,CONGÉ!$C$2:$C$80))</f>
        <v>#N/A</v>
      </c>
      <c r="AN68" s="50" t="e">
        <f>+IF(U68=0," ",+WORKDAY.INTL(+VLOOKUP(AN$1,POSTE!$B:$G,3,FALSE),+CUM!AE67/+VLOOKUP(AN$1,POSTE!$B:$H,7,FALSE),,CONGÉ!$C$2:$C$80))</f>
        <v>#N/A</v>
      </c>
      <c r="AO68" s="50" t="e">
        <f>+IF(V68=0," ",+WORKDAY.INTL(+VLOOKUP(AO$1,POSTE!$B:$G,3,FALSE),+CUM!AF67/+VLOOKUP(AO$1,POSTE!$B:$H,7,FALSE),,CONGÉ!$C$2:$C$80))</f>
        <v>#N/A</v>
      </c>
      <c r="AP68" s="50" t="e">
        <f>+IF(W68=0," ",+WORKDAY.INTL(+VLOOKUP(AP$1,POSTE!$B:$G,3,FALSE),+CUM!AG67/+VLOOKUP(AP$1,POSTE!$B:$H,7,FALSE),,CONGÉ!$C$2:$C$80))</f>
        <v>#N/A</v>
      </c>
      <c r="AQ68" s="50" t="e">
        <f>+IF(X68=0," ",+WORKDAY.INTL(+VLOOKUP(AQ$1,POSTE!$B:$G,3,FALSE),+CUM!AH67/+VLOOKUP(AQ$1,POSTE!$B:$H,7,FALSE),,CONGÉ!$C$2:$C$80))</f>
        <v>#N/A</v>
      </c>
      <c r="AR68" s="71" t="e">
        <f>+IF(Y68=0," ",+WORKDAY.INTL(+VLOOKUP(AR$1,POSTE!$B:$G,3,FALSE),+CUM!AI67/+VLOOKUP(AR$1,POSTE!$B:$H,7,FALSE),,CONGÉ!$C$2:$C$80))</f>
        <v>#N/A</v>
      </c>
      <c r="AS68" s="72" t="e">
        <f>+IF(Q68=0," ",+WORKDAY.INTL(+VLOOKUP(AS$1,POSTE!$B:$G,3,FALSE),+CUM!AA68/+VLOOKUP(AS$1,POSTE!$B:$H,7,FALSE),,CONGÉ!$C$2:$C$80))</f>
        <v>#N/A</v>
      </c>
      <c r="AT68" s="73" t="e">
        <f>+IF(R68=0," ",+WORKDAY.INTL(+VLOOKUP(AT$1,POSTE!$B:$G,3,FALSE),+CUM!AB68/+VLOOKUP(AT$1,POSTE!$B:$H,7,FALSE),,CONGÉ!$C$2:$C$80))</f>
        <v>#N/A</v>
      </c>
      <c r="AU68" s="73" t="e">
        <f>+IF(AND(S68=0,T68=0)," ",+WORKDAY.INTL(+VLOOKUP($AS$1,POSTE!B:J,3,FALSE),+(((AC68*POSTE!$H$5)+(CUM!AD68*POSTE!$H$4))/(POSTE!$H$4*POSTE!$H$5*2)),,CONGÉ!$C$2:$C$80))</f>
        <v>#N/A</v>
      </c>
      <c r="AV68" s="73" t="e">
        <f>+IF(U68=0," ",+WORKDAY.INTL(+VLOOKUP(AV$1,POSTE!$B:$G,3,FALSE),+CUM!AE68/+VLOOKUP(AV$1,POSTE!$B:$H,7,FALSE),,CONGÉ!$C$2:$C$80))</f>
        <v>#N/A</v>
      </c>
      <c r="AW68" s="73" t="e">
        <f>+IF(V68=0," ",+WORKDAY.INTL(+VLOOKUP(AW$1,POSTE!$B:$G,3,FALSE),+CUM!AF68/+VLOOKUP(AW$1,POSTE!$B:$H,7,FALSE),,CONGÉ!$C$2:$C$80))</f>
        <v>#N/A</v>
      </c>
      <c r="AX68" s="73" t="e">
        <f>+IF(W68=0," ",+WORKDAY.INTL(+VLOOKUP(AX$1,POSTE!$B:$G,3,FALSE),+CUM!AG68/+VLOOKUP(AX$1,POSTE!$B:$H,7,FALSE),,CONGÉ!$C$2:$C$80))</f>
        <v>#N/A</v>
      </c>
      <c r="AY68" s="73" t="e">
        <f>+IF(X68=0," ",+WORKDAY.INTL(+VLOOKUP(AY$1,POSTE!$B:$G,3,FALSE),+CUM!AH68/+VLOOKUP(AY$1,POSTE!$B:$H,7,FALSE),,CONGÉ!$C$2:$C$80))</f>
        <v>#N/A</v>
      </c>
      <c r="AZ68" s="73" t="e">
        <f>+IF(Y68=0," ",+WORKDAY.INTL(+VLOOKUP(AZ$1,POSTE!$B:$G,3,FALSE),+CUM!AI68/+VLOOKUP(AZ$1,POSTE!$B:$H,7,FALSE),,CONGÉ!$C$2:$C$80))</f>
        <v>#N/A</v>
      </c>
      <c r="BA68" s="73" t="e">
        <f>+IF(S68=0," ",+WORKDAY.INTL(+VLOOKUP(BA$1,POSTE!$B:$G,3,FALSE),+CUM!AC68/+VLOOKUP(BA$1,POSTE!$B:$H,7,FALSE),,CONGÉ!$C$2:$C$80))</f>
        <v>#N/A</v>
      </c>
      <c r="BB68" s="73" t="e">
        <f>+IF(T68=0," ",+WORKDAY.INTL(+VLOOKUP(BB$1,POSTE!$B:$G,3,FALSE),+CUM!AD68/+VLOOKUP(BB$1,POSTE!$B:$H,7,FALSE),,CONGÉ!$C$2:$C$80))</f>
        <v>#N/A</v>
      </c>
      <c r="BC68" s="70" t="e">
        <f t="shared" si="13"/>
        <v>#N/A</v>
      </c>
      <c r="BD68" s="70" t="e">
        <f t="shared" si="14"/>
        <v>#N/A</v>
      </c>
      <c r="BE68" s="129" t="e">
        <f>+IF($F68="oui",+VLOOKUP($A68,DATA!$A:$AH,DATA!$AH$3,FALSE),0)</f>
        <v>#N/A</v>
      </c>
      <c r="BF68" s="129" t="e">
        <f t="shared" si="15"/>
        <v>#N/A</v>
      </c>
      <c r="BG68" s="136" t="e">
        <f>+IF(BE68&gt;0,+MAX((BH$4:BH67),BD68),"")</f>
        <v>#N/A</v>
      </c>
      <c r="BH68" s="136" t="e">
        <f>+IF(BE68&gt;0,+MAX((BH$4:BH67),+WORKDAY.INTL(BG68,+BE68/8,,CONGÉ!$C$2:$C$73)),"")</f>
        <v>#N/A</v>
      </c>
      <c r="BI68" s="136" t="e">
        <f t="shared" si="16"/>
        <v>#N/A</v>
      </c>
      <c r="BJ68" s="43" t="e">
        <f t="shared" si="30"/>
        <v>#N/A</v>
      </c>
      <c r="BK68" s="77">
        <f t="shared" ca="1" si="17"/>
        <v>45754</v>
      </c>
      <c r="BL68" s="78" t="e">
        <f>+(((AC68*POSTE!$H$5)+(CUM!AD68*POSTE!$H$4))/(POSTE!$H$4*POSTE!$H$5*2))</f>
        <v>#N/A</v>
      </c>
      <c r="BM68" s="90" t="e">
        <f ca="1">+WORKDAY.INTL(BK68,BL68,,CONGÉ!C$4:C$72)</f>
        <v>#N/A</v>
      </c>
      <c r="BN68" s="78" t="e">
        <f t="shared" ca="1" si="18"/>
        <v>#N/A</v>
      </c>
    </row>
    <row r="69" spans="1:66" x14ac:dyDescent="0.25">
      <c r="A69" s="49">
        <f t="shared" si="19"/>
        <v>65</v>
      </c>
      <c r="B69" s="185" cm="1">
        <f t="array" ref="B69">_xlfn.LET(_xlpm.CORR,IF(DATA!$B$4:$B$104="",IF(DATA!$A$4:$A$104="","--",DATA!$A$4:$A$104),DATA!$B$4:$B$104),_xlpm.Rx,SMALL(_xlpm.CORR,A69),IFERROR(MATCH(_xlpm.Rx,_xlpm.CORR,0),0))</f>
        <v>0</v>
      </c>
      <c r="C69" s="18" t="e">
        <f>+VLOOKUP($A69,DATA!$A:$AG,DATA!$E$3,FALSE)</f>
        <v>#N/A</v>
      </c>
      <c r="D69" s="18" t="e">
        <f>+VLOOKUP($A69,DATA!$A:$AG,DATA!$D$3,FALSE)</f>
        <v>#N/A</v>
      </c>
      <c r="E69" s="186" t="e">
        <f>+VLOOKUP($A69,DATA!$A:$AG,DATA!$G$3,FALSE)</f>
        <v>#N/A</v>
      </c>
      <c r="F69" s="19" t="e">
        <f>+VLOOKUP($A69,DATA!$A:$AG,DATA!$O$3,FALSE)</f>
        <v>#N/A</v>
      </c>
      <c r="G69" s="43" t="e">
        <f>+IF($F69="oui",+VLOOKUP($A69,DATA!$A:$AG,DATA!$P$3,FALSE),0)</f>
        <v>#N/A</v>
      </c>
      <c r="H69" s="44" t="e">
        <f>+IF($F69="oui",+VLOOKUP($A69,DATA!$A:$AG,DATA!$R$3,FALSE),0)</f>
        <v>#N/A</v>
      </c>
      <c r="I69" s="44" t="e">
        <f>+IF($F69="oui",+VLOOKUP($A69,DATA!$A:$AG,DATA!$T$3,FALSE),0)</f>
        <v>#N/A</v>
      </c>
      <c r="J69" s="44" t="e">
        <f>+IF($F69="oui",+VLOOKUP($A69,DATA!$A:$AG,DATA!$V$3,FALSE),0)</f>
        <v>#N/A</v>
      </c>
      <c r="K69" s="44" t="e">
        <f>+IF($F69="oui",+VLOOKUP($A69,DATA!$A:$AG,DATA!$X$3,FALSE),0)</f>
        <v>#N/A</v>
      </c>
      <c r="L69" s="44" t="e">
        <f>+IF($F69="oui",+VLOOKUP($A69,DATA!$A:$AG,DATA!$Z$3,FALSE),0)</f>
        <v>#N/A</v>
      </c>
      <c r="M69" s="44" t="e">
        <f>+IF($F69="oui",+VLOOKUP($A69,DATA!$A:$AG,DATA!$AB$3,FALSE),0)</f>
        <v>#N/A</v>
      </c>
      <c r="N69" s="44" t="e">
        <f>+IF($F69="oui",+VLOOKUP($A69,DATA!$A:$AG,DATA!$AD$3,FALSE),0)</f>
        <v>#N/A</v>
      </c>
      <c r="O69" s="45" t="e">
        <f>+IF($F69="oui",+VLOOKUP($A69,DATA!$A:$AG,DATA!$AF$3,FALSE),0)</f>
        <v>#N/A</v>
      </c>
      <c r="P69" s="116" t="e">
        <f t="shared" si="12"/>
        <v>#N/A</v>
      </c>
      <c r="Q69" s="21" t="e">
        <f>+IF($F69="oui",+VLOOKUP($A69,DATA!$A:$AG,DATA!$Q$3,FALSE),0)</f>
        <v>#N/A</v>
      </c>
      <c r="R69" s="22" t="e">
        <f>+IF($F69="oui",+VLOOKUP($A69,DATA!$A:$AG,DATA!$S$3,FALSE),0)</f>
        <v>#N/A</v>
      </c>
      <c r="S69" s="22" t="e">
        <f>+IF($F69="oui",+VLOOKUP($A69,DATA!$A:$AG,DATA!$U$3,FALSE),0)</f>
        <v>#N/A</v>
      </c>
      <c r="T69" s="22" t="e">
        <f>+IF($F69="oui",+VLOOKUP($A69,DATA!$A:$AG,DATA!$W$3,FALSE),0)</f>
        <v>#N/A</v>
      </c>
      <c r="U69" s="22" t="e">
        <f>+IF($F69="oui",+VLOOKUP($A69,DATA!$A:$AG,DATA!$Y$3,FALSE),0)</f>
        <v>#N/A</v>
      </c>
      <c r="V69" s="22" t="e">
        <f>+IF($F69="oui",+VLOOKUP($A69,DATA!$A:$AG,DATA!$AA$3,FALSE),0)</f>
        <v>#N/A</v>
      </c>
      <c r="W69" s="22" t="e">
        <f>+IF($F69="oui",+VLOOKUP($A69,DATA!$A:$AG,DATA!$AC$3,FALSE),0)</f>
        <v>#N/A</v>
      </c>
      <c r="X69" s="22" t="e">
        <f>+IF($F69="oui",+VLOOKUP($A69,DATA!$A:$AG,DATA!$AE$3,FALSE),0)</f>
        <v>#N/A</v>
      </c>
      <c r="Y69" s="23" t="e">
        <f>+IF($F69="oui",+VLOOKUP($A69,DATA!$A:$AG,DATA!$AG$3,FALSE),0)</f>
        <v>#N/A</v>
      </c>
      <c r="Z69" s="118" t="e">
        <f t="shared" ref="Z69:Z100" si="31">SUM(Q69:Y69)</f>
        <v>#N/A</v>
      </c>
      <c r="AA69" s="43" t="e">
        <f t="shared" ref="AA69:AA103" si="32">+AA68+Q69</f>
        <v>#N/A</v>
      </c>
      <c r="AB69" s="44" t="e">
        <f t="shared" ref="AB69:AB103" si="33">+AB68+R69</f>
        <v>#N/A</v>
      </c>
      <c r="AC69" s="44" t="e">
        <f t="shared" ref="AC69:AC103" si="34">+AC68+S69</f>
        <v>#N/A</v>
      </c>
      <c r="AD69" s="44" t="e">
        <f t="shared" ref="AD69:AD103" si="35">+AD68+T69</f>
        <v>#N/A</v>
      </c>
      <c r="AE69" s="44" t="e">
        <f t="shared" ref="AE69:AE103" si="36">+AE68+U69</f>
        <v>#N/A</v>
      </c>
      <c r="AF69" s="44" t="e">
        <f t="shared" ref="AF69:AF103" si="37">+AF68+V69</f>
        <v>#N/A</v>
      </c>
      <c r="AG69" s="44" t="e">
        <f t="shared" ref="AG69:AG103" si="38">+AG68+W69</f>
        <v>#N/A</v>
      </c>
      <c r="AH69" s="44" t="e">
        <f t="shared" ref="AH69:AH103" si="39">+AH68+X69</f>
        <v>#N/A</v>
      </c>
      <c r="AI69" s="45" t="e">
        <f t="shared" ref="AI69:AI103" si="40">+AI68+Y69</f>
        <v>#N/A</v>
      </c>
      <c r="AJ69" s="70" t="e">
        <f>+IF(Q69=0," ",+WORKDAY.INTL(+VLOOKUP(AJ$1,POSTE!$B:$G,3,FALSE),+CUM!AA68/+VLOOKUP(AJ$1,POSTE!$B:$H,7,FALSE),,CONGÉ!$C$2:$C$80))</f>
        <v>#N/A</v>
      </c>
      <c r="AK69" s="50" t="e">
        <f>+IF(R69=0," ",+WORKDAY.INTL(+VLOOKUP(AK$1,POSTE!$B:$G,3,FALSE),+CUM!AB68/+VLOOKUP(AK$1,POSTE!$B:$H,7,FALSE),,CONGÉ!$C$2:$C$80))</f>
        <v>#N/A</v>
      </c>
      <c r="AL69" s="50" t="e">
        <f>+IF(S69=0," ",+WORKDAY.INTL(+VLOOKUP(AL$1,POSTE!$B:$G,3,FALSE),+CUM!AC68/+VLOOKUP(AL$1,POSTE!$B:$H,7,FALSE),,CONGÉ!$C$2:$C$80))</f>
        <v>#N/A</v>
      </c>
      <c r="AM69" s="50" t="e">
        <f>+IF(T69=0," ",+WORKDAY.INTL(+VLOOKUP(AM$1,POSTE!$B:$G,3,FALSE),+CUM!AD68/+VLOOKUP(AM$1,POSTE!$B:$H,7,FALSE),,CONGÉ!$C$2:$C$80))</f>
        <v>#N/A</v>
      </c>
      <c r="AN69" s="50" t="e">
        <f>+IF(U69=0," ",+WORKDAY.INTL(+VLOOKUP(AN$1,POSTE!$B:$G,3,FALSE),+CUM!AE68/+VLOOKUP(AN$1,POSTE!$B:$H,7,FALSE),,CONGÉ!$C$2:$C$80))</f>
        <v>#N/A</v>
      </c>
      <c r="AO69" s="50" t="e">
        <f>+IF(V69=0," ",+WORKDAY.INTL(+VLOOKUP(AO$1,POSTE!$B:$G,3,FALSE),+CUM!AF68/+VLOOKUP(AO$1,POSTE!$B:$H,7,FALSE),,CONGÉ!$C$2:$C$80))</f>
        <v>#N/A</v>
      </c>
      <c r="AP69" s="50" t="e">
        <f>+IF(W69=0," ",+WORKDAY.INTL(+VLOOKUP(AP$1,POSTE!$B:$G,3,FALSE),+CUM!AG68/+VLOOKUP(AP$1,POSTE!$B:$H,7,FALSE),,CONGÉ!$C$2:$C$80))</f>
        <v>#N/A</v>
      </c>
      <c r="AQ69" s="50" t="e">
        <f>+IF(X69=0," ",+WORKDAY.INTL(+VLOOKUP(AQ$1,POSTE!$B:$G,3,FALSE),+CUM!AH68/+VLOOKUP(AQ$1,POSTE!$B:$H,7,FALSE),,CONGÉ!$C$2:$C$80))</f>
        <v>#N/A</v>
      </c>
      <c r="AR69" s="71" t="e">
        <f>+IF(Y69=0," ",+WORKDAY.INTL(+VLOOKUP(AR$1,POSTE!$B:$G,3,FALSE),+CUM!AI68/+VLOOKUP(AR$1,POSTE!$B:$H,7,FALSE),,CONGÉ!$C$2:$C$80))</f>
        <v>#N/A</v>
      </c>
      <c r="AS69" s="72" t="e">
        <f>+IF(Q69=0," ",+WORKDAY.INTL(+VLOOKUP(AS$1,POSTE!$B:$G,3,FALSE),+CUM!AA69/+VLOOKUP(AS$1,POSTE!$B:$H,7,FALSE),,CONGÉ!$C$2:$C$80))</f>
        <v>#N/A</v>
      </c>
      <c r="AT69" s="73" t="e">
        <f>+IF(R69=0," ",+WORKDAY.INTL(+VLOOKUP(AT$1,POSTE!$B:$G,3,FALSE),+CUM!AB69/+VLOOKUP(AT$1,POSTE!$B:$H,7,FALSE),,CONGÉ!$C$2:$C$80))</f>
        <v>#N/A</v>
      </c>
      <c r="AU69" s="73" t="e">
        <f>+IF(AND(S69=0,T69=0)," ",+WORKDAY.INTL(+VLOOKUP($AS$1,POSTE!B:J,3,FALSE),+(((AC69*POSTE!$H$5)+(CUM!AD69*POSTE!$H$4))/(POSTE!$H$4*POSTE!$H$5*2)),,CONGÉ!$C$2:$C$80))</f>
        <v>#N/A</v>
      </c>
      <c r="AV69" s="73" t="e">
        <f>+IF(U69=0," ",+WORKDAY.INTL(+VLOOKUP(AV$1,POSTE!$B:$G,3,FALSE),+CUM!AE69/+VLOOKUP(AV$1,POSTE!$B:$H,7,FALSE),,CONGÉ!$C$2:$C$80))</f>
        <v>#N/A</v>
      </c>
      <c r="AW69" s="73" t="e">
        <f>+IF(V69=0," ",+WORKDAY.INTL(+VLOOKUP(AW$1,POSTE!$B:$G,3,FALSE),+CUM!AF69/+VLOOKUP(AW$1,POSTE!$B:$H,7,FALSE),,CONGÉ!$C$2:$C$80))</f>
        <v>#N/A</v>
      </c>
      <c r="AX69" s="73" t="e">
        <f>+IF(W69=0," ",+WORKDAY.INTL(+VLOOKUP(AX$1,POSTE!$B:$G,3,FALSE),+CUM!AG69/+VLOOKUP(AX$1,POSTE!$B:$H,7,FALSE),,CONGÉ!$C$2:$C$80))</f>
        <v>#N/A</v>
      </c>
      <c r="AY69" s="73" t="e">
        <f>+IF(X69=0," ",+WORKDAY.INTL(+VLOOKUP(AY$1,POSTE!$B:$G,3,FALSE),+CUM!AH69/+VLOOKUP(AY$1,POSTE!$B:$H,7,FALSE),,CONGÉ!$C$2:$C$80))</f>
        <v>#N/A</v>
      </c>
      <c r="AZ69" s="73" t="e">
        <f>+IF(Y69=0," ",+WORKDAY.INTL(+VLOOKUP(AZ$1,POSTE!$B:$G,3,FALSE),+CUM!AI69/+VLOOKUP(AZ$1,POSTE!$B:$H,7,FALSE),,CONGÉ!$C$2:$C$80))</f>
        <v>#N/A</v>
      </c>
      <c r="BA69" s="73" t="e">
        <f>+IF(S69=0," ",+WORKDAY.INTL(+VLOOKUP(BA$1,POSTE!$B:$G,3,FALSE),+CUM!AC69/+VLOOKUP(BA$1,POSTE!$B:$H,7,FALSE),,CONGÉ!$C$2:$C$80))</f>
        <v>#N/A</v>
      </c>
      <c r="BB69" s="73" t="e">
        <f>+IF(T69=0," ",+WORKDAY.INTL(+VLOOKUP(BB$1,POSTE!$B:$G,3,FALSE),+CUM!AD69/+VLOOKUP(BB$1,POSTE!$B:$H,7,FALSE),,CONGÉ!$C$2:$C$80))</f>
        <v>#N/A</v>
      </c>
      <c r="BC69" s="70" t="e">
        <f t="shared" si="13"/>
        <v>#N/A</v>
      </c>
      <c r="BD69" s="70" t="e">
        <f t="shared" si="14"/>
        <v>#N/A</v>
      </c>
      <c r="BE69" s="129" t="e">
        <f>+IF($F69="oui",+VLOOKUP($A69,DATA!$A:$AH,DATA!$AH$3,FALSE),0)</f>
        <v>#N/A</v>
      </c>
      <c r="BF69" s="129" t="e">
        <f t="shared" si="15"/>
        <v>#N/A</v>
      </c>
      <c r="BG69" s="136" t="e">
        <f>+IF(BE69&gt;0,+MAX((BH$4:BH68),BD69),"")</f>
        <v>#N/A</v>
      </c>
      <c r="BH69" s="136" t="e">
        <f>+IF(BE69&gt;0,+MAX((BH$4:BH68),+WORKDAY.INTL(BG69,+BE69/8,,CONGÉ!$C$2:$C$73)),"")</f>
        <v>#N/A</v>
      </c>
      <c r="BI69" s="136" t="e">
        <f t="shared" si="16"/>
        <v>#N/A</v>
      </c>
      <c r="BJ69" s="43" t="e">
        <f t="shared" ref="BJ69:BJ103" si="41">+AC69+AD69</f>
        <v>#N/A</v>
      </c>
      <c r="BK69" s="77">
        <f t="shared" ca="1" si="17"/>
        <v>45754</v>
      </c>
      <c r="BL69" s="78" t="e">
        <f>+(((AC69*POSTE!$H$5)+(CUM!AD69*POSTE!$H$4))/(POSTE!$H$4*POSTE!$H$5*2))</f>
        <v>#N/A</v>
      </c>
      <c r="BM69" s="90" t="e">
        <f ca="1">+WORKDAY.INTL(BK69,BL69,,CONGÉ!C$4:C$72)</f>
        <v>#N/A</v>
      </c>
      <c r="BN69" s="78" t="e">
        <f t="shared" ca="1" si="18"/>
        <v>#N/A</v>
      </c>
    </row>
    <row r="70" spans="1:66" x14ac:dyDescent="0.25">
      <c r="A70" s="49">
        <f t="shared" ref="A70:A104" si="42">+ROW()-ROW($A$4)</f>
        <v>66</v>
      </c>
      <c r="B70" s="185" cm="1">
        <f t="array" ref="B70">_xlfn.LET(_xlpm.CORR,IF(DATA!$B$4:$B$104="",IF(DATA!$A$4:$A$104="","--",DATA!$A$4:$A$104),DATA!$B$4:$B$104),_xlpm.Rx,SMALL(_xlpm.CORR,A70),IFERROR(MATCH(_xlpm.Rx,_xlpm.CORR,0),0))</f>
        <v>0</v>
      </c>
      <c r="C70" s="18" t="e">
        <f>+VLOOKUP($A70,DATA!$A:$AG,DATA!$E$3,FALSE)</f>
        <v>#N/A</v>
      </c>
      <c r="D70" s="18" t="e">
        <f>+VLOOKUP($A70,DATA!$A:$AG,DATA!$D$3,FALSE)</f>
        <v>#N/A</v>
      </c>
      <c r="E70" s="186" t="e">
        <f>+VLOOKUP($A70,DATA!$A:$AG,DATA!$G$3,FALSE)</f>
        <v>#N/A</v>
      </c>
      <c r="F70" s="19" t="e">
        <f>+VLOOKUP($A70,DATA!$A:$AG,DATA!$O$3,FALSE)</f>
        <v>#N/A</v>
      </c>
      <c r="G70" s="43" t="e">
        <f>+IF($F70="oui",+VLOOKUP($A70,DATA!$A:$AG,DATA!$P$3,FALSE),0)</f>
        <v>#N/A</v>
      </c>
      <c r="H70" s="44" t="e">
        <f>+IF($F70="oui",+VLOOKUP($A70,DATA!$A:$AG,DATA!$R$3,FALSE),0)</f>
        <v>#N/A</v>
      </c>
      <c r="I70" s="44" t="e">
        <f>+IF($F70="oui",+VLOOKUP($A70,DATA!$A:$AG,DATA!$T$3,FALSE),0)</f>
        <v>#N/A</v>
      </c>
      <c r="J70" s="44" t="e">
        <f>+IF($F70="oui",+VLOOKUP($A70,DATA!$A:$AG,DATA!$V$3,FALSE),0)</f>
        <v>#N/A</v>
      </c>
      <c r="K70" s="44" t="e">
        <f>+IF($F70="oui",+VLOOKUP($A70,DATA!$A:$AG,DATA!$X$3,FALSE),0)</f>
        <v>#N/A</v>
      </c>
      <c r="L70" s="44" t="e">
        <f>+IF($F70="oui",+VLOOKUP($A70,DATA!$A:$AG,DATA!$Z$3,FALSE),0)</f>
        <v>#N/A</v>
      </c>
      <c r="M70" s="44" t="e">
        <f>+IF($F70="oui",+VLOOKUP($A70,DATA!$A:$AG,DATA!$AB$3,FALSE),0)</f>
        <v>#N/A</v>
      </c>
      <c r="N70" s="44" t="e">
        <f>+IF($F70="oui",+VLOOKUP($A70,DATA!$A:$AG,DATA!$AD$3,FALSE),0)</f>
        <v>#N/A</v>
      </c>
      <c r="O70" s="45" t="e">
        <f>+IF($F70="oui",+VLOOKUP($A70,DATA!$A:$AG,DATA!$AF$3,FALSE),0)</f>
        <v>#N/A</v>
      </c>
      <c r="P70" s="116" t="e">
        <f t="shared" ref="P70:P103" si="43">SUM(G70:O70)</f>
        <v>#N/A</v>
      </c>
      <c r="Q70" s="21" t="e">
        <f>+IF($F70="oui",+VLOOKUP($A70,DATA!$A:$AG,DATA!$Q$3,FALSE),0)</f>
        <v>#N/A</v>
      </c>
      <c r="R70" s="22" t="e">
        <f>+IF($F70="oui",+VLOOKUP($A70,DATA!$A:$AG,DATA!$S$3,FALSE),0)</f>
        <v>#N/A</v>
      </c>
      <c r="S70" s="22" t="e">
        <f>+IF($F70="oui",+VLOOKUP($A70,DATA!$A:$AG,DATA!$U$3,FALSE),0)</f>
        <v>#N/A</v>
      </c>
      <c r="T70" s="22" t="e">
        <f>+IF($F70="oui",+VLOOKUP($A70,DATA!$A:$AG,DATA!$W$3,FALSE),0)</f>
        <v>#N/A</v>
      </c>
      <c r="U70" s="22" t="e">
        <f>+IF($F70="oui",+VLOOKUP($A70,DATA!$A:$AG,DATA!$Y$3,FALSE),0)</f>
        <v>#N/A</v>
      </c>
      <c r="V70" s="22" t="e">
        <f>+IF($F70="oui",+VLOOKUP($A70,DATA!$A:$AG,DATA!$AA$3,FALSE),0)</f>
        <v>#N/A</v>
      </c>
      <c r="W70" s="22" t="e">
        <f>+IF($F70="oui",+VLOOKUP($A70,DATA!$A:$AG,DATA!$AC$3,FALSE),0)</f>
        <v>#N/A</v>
      </c>
      <c r="X70" s="22" t="e">
        <f>+IF($F70="oui",+VLOOKUP($A70,DATA!$A:$AG,DATA!$AE$3,FALSE),0)</f>
        <v>#N/A</v>
      </c>
      <c r="Y70" s="23" t="e">
        <f>+IF($F70="oui",+VLOOKUP($A70,DATA!$A:$AG,DATA!$AG$3,FALSE),0)</f>
        <v>#N/A</v>
      </c>
      <c r="Z70" s="118" t="e">
        <f t="shared" si="31"/>
        <v>#N/A</v>
      </c>
      <c r="AA70" s="43" t="e">
        <f t="shared" si="32"/>
        <v>#N/A</v>
      </c>
      <c r="AB70" s="44" t="e">
        <f t="shared" si="33"/>
        <v>#N/A</v>
      </c>
      <c r="AC70" s="44" t="e">
        <f t="shared" si="34"/>
        <v>#N/A</v>
      </c>
      <c r="AD70" s="44" t="e">
        <f t="shared" si="35"/>
        <v>#N/A</v>
      </c>
      <c r="AE70" s="44" t="e">
        <f t="shared" si="36"/>
        <v>#N/A</v>
      </c>
      <c r="AF70" s="44" t="e">
        <f t="shared" si="37"/>
        <v>#N/A</v>
      </c>
      <c r="AG70" s="44" t="e">
        <f t="shared" si="38"/>
        <v>#N/A</v>
      </c>
      <c r="AH70" s="44" t="e">
        <f t="shared" si="39"/>
        <v>#N/A</v>
      </c>
      <c r="AI70" s="45" t="e">
        <f t="shared" si="40"/>
        <v>#N/A</v>
      </c>
      <c r="AJ70" s="70" t="e">
        <f>+IF(Q70=0," ",+WORKDAY.INTL(+VLOOKUP(AJ$1,POSTE!$B:$G,3,FALSE),+CUM!AA69/+VLOOKUP(AJ$1,POSTE!$B:$H,7,FALSE),,CONGÉ!$C$2:$C$80))</f>
        <v>#N/A</v>
      </c>
      <c r="AK70" s="50" t="e">
        <f>+IF(R70=0," ",+WORKDAY.INTL(+VLOOKUP(AK$1,POSTE!$B:$G,3,FALSE),+CUM!AB69/+VLOOKUP(AK$1,POSTE!$B:$H,7,FALSE),,CONGÉ!$C$2:$C$80))</f>
        <v>#N/A</v>
      </c>
      <c r="AL70" s="50" t="e">
        <f>+IF(S70=0," ",+WORKDAY.INTL(+VLOOKUP(AL$1,POSTE!$B:$G,3,FALSE),+CUM!AC69/+VLOOKUP(AL$1,POSTE!$B:$H,7,FALSE),,CONGÉ!$C$2:$C$80))</f>
        <v>#N/A</v>
      </c>
      <c r="AM70" s="50" t="e">
        <f>+IF(T70=0," ",+WORKDAY.INTL(+VLOOKUP(AM$1,POSTE!$B:$G,3,FALSE),+CUM!AD69/+VLOOKUP(AM$1,POSTE!$B:$H,7,FALSE),,CONGÉ!$C$2:$C$80))</f>
        <v>#N/A</v>
      </c>
      <c r="AN70" s="50" t="e">
        <f>+IF(U70=0," ",+WORKDAY.INTL(+VLOOKUP(AN$1,POSTE!$B:$G,3,FALSE),+CUM!AE69/+VLOOKUP(AN$1,POSTE!$B:$H,7,FALSE),,CONGÉ!$C$2:$C$80))</f>
        <v>#N/A</v>
      </c>
      <c r="AO70" s="50" t="e">
        <f>+IF(V70=0," ",+WORKDAY.INTL(+VLOOKUP(AO$1,POSTE!$B:$G,3,FALSE),+CUM!AF69/+VLOOKUP(AO$1,POSTE!$B:$H,7,FALSE),,CONGÉ!$C$2:$C$80))</f>
        <v>#N/A</v>
      </c>
      <c r="AP70" s="50" t="e">
        <f>+IF(W70=0," ",+WORKDAY.INTL(+VLOOKUP(AP$1,POSTE!$B:$G,3,FALSE),+CUM!AG69/+VLOOKUP(AP$1,POSTE!$B:$H,7,FALSE),,CONGÉ!$C$2:$C$80))</f>
        <v>#N/A</v>
      </c>
      <c r="AQ70" s="50" t="e">
        <f>+IF(X70=0," ",+WORKDAY.INTL(+VLOOKUP(AQ$1,POSTE!$B:$G,3,FALSE),+CUM!AH69/+VLOOKUP(AQ$1,POSTE!$B:$H,7,FALSE),,CONGÉ!$C$2:$C$80))</f>
        <v>#N/A</v>
      </c>
      <c r="AR70" s="71" t="e">
        <f>+IF(Y70=0," ",+WORKDAY.INTL(+VLOOKUP(AR$1,POSTE!$B:$G,3,FALSE),+CUM!AI69/+VLOOKUP(AR$1,POSTE!$B:$H,7,FALSE),,CONGÉ!$C$2:$C$80))</f>
        <v>#N/A</v>
      </c>
      <c r="AS70" s="72" t="e">
        <f>+IF(Q70=0," ",+WORKDAY.INTL(+VLOOKUP(AS$1,POSTE!$B:$G,3,FALSE),+CUM!AA70/+VLOOKUP(AS$1,POSTE!$B:$H,7,FALSE),,CONGÉ!$C$2:$C$80))</f>
        <v>#N/A</v>
      </c>
      <c r="AT70" s="73" t="e">
        <f>+IF(R70=0," ",+WORKDAY.INTL(+VLOOKUP(AT$1,POSTE!$B:$G,3,FALSE),+CUM!AB70/+VLOOKUP(AT$1,POSTE!$B:$H,7,FALSE),,CONGÉ!$C$2:$C$80))</f>
        <v>#N/A</v>
      </c>
      <c r="AU70" s="73" t="e">
        <f>+IF(AND(S70=0,T70=0)," ",+WORKDAY.INTL(+VLOOKUP($AS$1,POSTE!B:J,3,FALSE),+(((AC70*POSTE!$H$5)+(CUM!AD70*POSTE!$H$4))/(POSTE!$H$4*POSTE!$H$5*2)),,CONGÉ!$C$2:$C$80))</f>
        <v>#N/A</v>
      </c>
      <c r="AV70" s="73" t="e">
        <f>+IF(U70=0," ",+WORKDAY.INTL(+VLOOKUP(AV$1,POSTE!$B:$G,3,FALSE),+CUM!AE70/+VLOOKUP(AV$1,POSTE!$B:$H,7,FALSE),,CONGÉ!$C$2:$C$80))</f>
        <v>#N/A</v>
      </c>
      <c r="AW70" s="73" t="e">
        <f>+IF(V70=0," ",+WORKDAY.INTL(+VLOOKUP(AW$1,POSTE!$B:$G,3,FALSE),+CUM!AF70/+VLOOKUP(AW$1,POSTE!$B:$H,7,FALSE),,CONGÉ!$C$2:$C$80))</f>
        <v>#N/A</v>
      </c>
      <c r="AX70" s="73" t="e">
        <f>+IF(W70=0," ",+WORKDAY.INTL(+VLOOKUP(AX$1,POSTE!$B:$G,3,FALSE),+CUM!AG70/+VLOOKUP(AX$1,POSTE!$B:$H,7,FALSE),,CONGÉ!$C$2:$C$80))</f>
        <v>#N/A</v>
      </c>
      <c r="AY70" s="73" t="e">
        <f>+IF(X70=0," ",+WORKDAY.INTL(+VLOOKUP(AY$1,POSTE!$B:$G,3,FALSE),+CUM!AH70/+VLOOKUP(AY$1,POSTE!$B:$H,7,FALSE),,CONGÉ!$C$2:$C$80))</f>
        <v>#N/A</v>
      </c>
      <c r="AZ70" s="73" t="e">
        <f>+IF(Y70=0," ",+WORKDAY.INTL(+VLOOKUP(AZ$1,POSTE!$B:$G,3,FALSE),+CUM!AI70/+VLOOKUP(AZ$1,POSTE!$B:$H,7,FALSE),,CONGÉ!$C$2:$C$80))</f>
        <v>#N/A</v>
      </c>
      <c r="BA70" s="73" t="e">
        <f>+IF(S70=0," ",+WORKDAY.INTL(+VLOOKUP(BA$1,POSTE!$B:$G,3,FALSE),+CUM!AC70/+VLOOKUP(BA$1,POSTE!$B:$H,7,FALSE),,CONGÉ!$C$2:$C$80))</f>
        <v>#N/A</v>
      </c>
      <c r="BB70" s="73" t="e">
        <f>+IF(T70=0," ",+WORKDAY.INTL(+VLOOKUP(BB$1,POSTE!$B:$G,3,FALSE),+CUM!AD70/+VLOOKUP(BB$1,POSTE!$B:$H,7,FALSE),,CONGÉ!$C$2:$C$80))</f>
        <v>#N/A</v>
      </c>
      <c r="BC70" s="70" t="e">
        <f t="shared" ref="BC70:BC103" si="44">+IF(+MIN(AJ70:AZ70)&gt;0,+MIN(AJ70:AZ70)," ")</f>
        <v>#N/A</v>
      </c>
      <c r="BD70" s="70" t="e">
        <f t="shared" ref="BD70:BD103" si="45">+IF(+MAX(AS70:AZ70)&gt;0,+MAX(AS70:AZ70)," ")</f>
        <v>#N/A</v>
      </c>
      <c r="BE70" s="129" t="e">
        <f>+IF($F70="oui",+VLOOKUP($A70,DATA!$A:$AH,DATA!$AH$3,FALSE),0)</f>
        <v>#N/A</v>
      </c>
      <c r="BF70" s="129" t="e">
        <f t="shared" ref="BF70:BF103" si="46">+BF69+BE70</f>
        <v>#N/A</v>
      </c>
      <c r="BG70" s="136" t="e">
        <f>+IF(BE70&gt;0,+MAX((BH$4:BH69),BD70),"")</f>
        <v>#N/A</v>
      </c>
      <c r="BH70" s="136" t="e">
        <f>+IF(BE70&gt;0,+MAX((BH$4:BH69),+WORKDAY.INTL(BG70,+BE70/8,,CONGÉ!$C$2:$C$73)),"")</f>
        <v>#N/A</v>
      </c>
      <c r="BI70" s="136" t="e">
        <f t="shared" ref="BI70:BI103" si="47">+IF(BE70=0,+IFERROR(+EDATE(BD70,1)," "),+EDATE(BH70,1))</f>
        <v>#N/A</v>
      </c>
      <c r="BJ70" s="43" t="e">
        <f t="shared" si="41"/>
        <v>#N/A</v>
      </c>
      <c r="BK70" s="77">
        <f t="shared" ref="BK70:BK103" ca="1" si="48">+TODAY()</f>
        <v>45754</v>
      </c>
      <c r="BL70" s="78" t="e">
        <f>+(((AC70*POSTE!$H$5)+(CUM!AD70*POSTE!$H$4))/(POSTE!$H$4*POSTE!$H$5*2))</f>
        <v>#N/A</v>
      </c>
      <c r="BM70" s="90" t="e">
        <f ca="1">+WORKDAY.INTL(BK70,BL70,,CONGÉ!C$4:C$72)</f>
        <v>#N/A</v>
      </c>
      <c r="BN70" s="78" t="e">
        <f t="shared" ref="BN70:BN103" ca="1" si="49">+AU70-BM70</f>
        <v>#N/A</v>
      </c>
    </row>
    <row r="71" spans="1:66" x14ac:dyDescent="0.25">
      <c r="A71" s="49">
        <f t="shared" si="42"/>
        <v>67</v>
      </c>
      <c r="B71" s="185" cm="1">
        <f t="array" ref="B71">_xlfn.LET(_xlpm.CORR,IF(DATA!$B$4:$B$104="",IF(DATA!$A$4:$A$104="","--",DATA!$A$4:$A$104),DATA!$B$4:$B$104),_xlpm.Rx,SMALL(_xlpm.CORR,A71),IFERROR(MATCH(_xlpm.Rx,_xlpm.CORR,0),0))</f>
        <v>0</v>
      </c>
      <c r="C71" s="18" t="e">
        <f>+VLOOKUP($A71,DATA!$A:$AG,DATA!$E$3,FALSE)</f>
        <v>#N/A</v>
      </c>
      <c r="D71" s="18" t="e">
        <f>+VLOOKUP($A71,DATA!$A:$AG,DATA!$D$3,FALSE)</f>
        <v>#N/A</v>
      </c>
      <c r="E71" s="186" t="e">
        <f>+VLOOKUP($A71,DATA!$A:$AG,DATA!$G$3,FALSE)</f>
        <v>#N/A</v>
      </c>
      <c r="F71" s="19" t="e">
        <f>+VLOOKUP($A71,DATA!$A:$AG,DATA!$O$3,FALSE)</f>
        <v>#N/A</v>
      </c>
      <c r="G71" s="43" t="e">
        <f>+IF($F71="oui",+VLOOKUP($A71,DATA!$A:$AG,DATA!$P$3,FALSE),0)</f>
        <v>#N/A</v>
      </c>
      <c r="H71" s="44" t="e">
        <f>+IF($F71="oui",+VLOOKUP($A71,DATA!$A:$AG,DATA!$R$3,FALSE),0)</f>
        <v>#N/A</v>
      </c>
      <c r="I71" s="44" t="e">
        <f>+IF($F71="oui",+VLOOKUP($A71,DATA!$A:$AG,DATA!$T$3,FALSE),0)</f>
        <v>#N/A</v>
      </c>
      <c r="J71" s="44" t="e">
        <f>+IF($F71="oui",+VLOOKUP($A71,DATA!$A:$AG,DATA!$V$3,FALSE),0)</f>
        <v>#N/A</v>
      </c>
      <c r="K71" s="44" t="e">
        <f>+IF($F71="oui",+VLOOKUP($A71,DATA!$A:$AG,DATA!$X$3,FALSE),0)</f>
        <v>#N/A</v>
      </c>
      <c r="L71" s="44" t="e">
        <f>+IF($F71="oui",+VLOOKUP($A71,DATA!$A:$AG,DATA!$Z$3,FALSE),0)</f>
        <v>#N/A</v>
      </c>
      <c r="M71" s="44" t="e">
        <f>+IF($F71="oui",+VLOOKUP($A71,DATA!$A:$AG,DATA!$AB$3,FALSE),0)</f>
        <v>#N/A</v>
      </c>
      <c r="N71" s="44" t="e">
        <f>+IF($F71="oui",+VLOOKUP($A71,DATA!$A:$AG,DATA!$AD$3,FALSE),0)</f>
        <v>#N/A</v>
      </c>
      <c r="O71" s="45" t="e">
        <f>+IF($F71="oui",+VLOOKUP($A71,DATA!$A:$AG,DATA!$AF$3,FALSE),0)</f>
        <v>#N/A</v>
      </c>
      <c r="P71" s="116" t="e">
        <f t="shared" si="43"/>
        <v>#N/A</v>
      </c>
      <c r="Q71" s="21" t="e">
        <f>+IF($F71="oui",+VLOOKUP($A71,DATA!$A:$AG,DATA!$Q$3,FALSE),0)</f>
        <v>#N/A</v>
      </c>
      <c r="R71" s="22" t="e">
        <f>+IF($F71="oui",+VLOOKUP($A71,DATA!$A:$AG,DATA!$S$3,FALSE),0)</f>
        <v>#N/A</v>
      </c>
      <c r="S71" s="22" t="e">
        <f>+IF($F71="oui",+VLOOKUP($A71,DATA!$A:$AG,DATA!$U$3,FALSE),0)</f>
        <v>#N/A</v>
      </c>
      <c r="T71" s="22" t="e">
        <f>+IF($F71="oui",+VLOOKUP($A71,DATA!$A:$AG,DATA!$W$3,FALSE),0)</f>
        <v>#N/A</v>
      </c>
      <c r="U71" s="22" t="e">
        <f>+IF($F71="oui",+VLOOKUP($A71,DATA!$A:$AG,DATA!$Y$3,FALSE),0)</f>
        <v>#N/A</v>
      </c>
      <c r="V71" s="22" t="e">
        <f>+IF($F71="oui",+VLOOKUP($A71,DATA!$A:$AG,DATA!$AA$3,FALSE),0)</f>
        <v>#N/A</v>
      </c>
      <c r="W71" s="22" t="e">
        <f>+IF($F71="oui",+VLOOKUP($A71,DATA!$A:$AG,DATA!$AC$3,FALSE),0)</f>
        <v>#N/A</v>
      </c>
      <c r="X71" s="22" t="e">
        <f>+IF($F71="oui",+VLOOKUP($A71,DATA!$A:$AG,DATA!$AE$3,FALSE),0)</f>
        <v>#N/A</v>
      </c>
      <c r="Y71" s="23" t="e">
        <f>+IF($F71="oui",+VLOOKUP($A71,DATA!$A:$AG,DATA!$AG$3,FALSE),0)</f>
        <v>#N/A</v>
      </c>
      <c r="Z71" s="118" t="e">
        <f t="shared" si="31"/>
        <v>#N/A</v>
      </c>
      <c r="AA71" s="43" t="e">
        <f t="shared" si="32"/>
        <v>#N/A</v>
      </c>
      <c r="AB71" s="44" t="e">
        <f t="shared" si="33"/>
        <v>#N/A</v>
      </c>
      <c r="AC71" s="44" t="e">
        <f t="shared" si="34"/>
        <v>#N/A</v>
      </c>
      <c r="AD71" s="44" t="e">
        <f t="shared" si="35"/>
        <v>#N/A</v>
      </c>
      <c r="AE71" s="44" t="e">
        <f t="shared" si="36"/>
        <v>#N/A</v>
      </c>
      <c r="AF71" s="44" t="e">
        <f t="shared" si="37"/>
        <v>#N/A</v>
      </c>
      <c r="AG71" s="44" t="e">
        <f t="shared" si="38"/>
        <v>#N/A</v>
      </c>
      <c r="AH71" s="44" t="e">
        <f t="shared" si="39"/>
        <v>#N/A</v>
      </c>
      <c r="AI71" s="45" t="e">
        <f t="shared" si="40"/>
        <v>#N/A</v>
      </c>
      <c r="AJ71" s="70" t="e">
        <f>+IF(Q71=0," ",+WORKDAY.INTL(+VLOOKUP(AJ$1,POSTE!$B:$G,3,FALSE),+CUM!AA70/+VLOOKUP(AJ$1,POSTE!$B:$H,7,FALSE),,CONGÉ!$C$2:$C$80))</f>
        <v>#N/A</v>
      </c>
      <c r="AK71" s="50" t="e">
        <f>+IF(R71=0," ",+WORKDAY.INTL(+VLOOKUP(AK$1,POSTE!$B:$G,3,FALSE),+CUM!AB70/+VLOOKUP(AK$1,POSTE!$B:$H,7,FALSE),,CONGÉ!$C$2:$C$80))</f>
        <v>#N/A</v>
      </c>
      <c r="AL71" s="50" t="e">
        <f>+IF(S71=0," ",+WORKDAY.INTL(+VLOOKUP(AL$1,POSTE!$B:$G,3,FALSE),+CUM!AC70/+VLOOKUP(AL$1,POSTE!$B:$H,7,FALSE),,CONGÉ!$C$2:$C$80))</f>
        <v>#N/A</v>
      </c>
      <c r="AM71" s="50" t="e">
        <f>+IF(T71=0," ",+WORKDAY.INTL(+VLOOKUP(AM$1,POSTE!$B:$G,3,FALSE),+CUM!AD70/+VLOOKUP(AM$1,POSTE!$B:$H,7,FALSE),,CONGÉ!$C$2:$C$80))</f>
        <v>#N/A</v>
      </c>
      <c r="AN71" s="50" t="e">
        <f>+IF(U71=0," ",+WORKDAY.INTL(+VLOOKUP(AN$1,POSTE!$B:$G,3,FALSE),+CUM!AE70/+VLOOKUP(AN$1,POSTE!$B:$H,7,FALSE),,CONGÉ!$C$2:$C$80))</f>
        <v>#N/A</v>
      </c>
      <c r="AO71" s="50" t="e">
        <f>+IF(V71=0," ",+WORKDAY.INTL(+VLOOKUP(AO$1,POSTE!$B:$G,3,FALSE),+CUM!AF70/+VLOOKUP(AO$1,POSTE!$B:$H,7,FALSE),,CONGÉ!$C$2:$C$80))</f>
        <v>#N/A</v>
      </c>
      <c r="AP71" s="50" t="e">
        <f>+IF(W71=0," ",+WORKDAY.INTL(+VLOOKUP(AP$1,POSTE!$B:$G,3,FALSE),+CUM!AG70/+VLOOKUP(AP$1,POSTE!$B:$H,7,FALSE),,CONGÉ!$C$2:$C$80))</f>
        <v>#N/A</v>
      </c>
      <c r="AQ71" s="50" t="e">
        <f>+IF(X71=0," ",+WORKDAY.INTL(+VLOOKUP(AQ$1,POSTE!$B:$G,3,FALSE),+CUM!AH70/+VLOOKUP(AQ$1,POSTE!$B:$H,7,FALSE),,CONGÉ!$C$2:$C$80))</f>
        <v>#N/A</v>
      </c>
      <c r="AR71" s="71" t="e">
        <f>+IF(Y71=0," ",+WORKDAY.INTL(+VLOOKUP(AR$1,POSTE!$B:$G,3,FALSE),+CUM!AI70/+VLOOKUP(AR$1,POSTE!$B:$H,7,FALSE),,CONGÉ!$C$2:$C$80))</f>
        <v>#N/A</v>
      </c>
      <c r="AS71" s="72" t="e">
        <f>+IF(Q71=0," ",+WORKDAY.INTL(+VLOOKUP(AS$1,POSTE!$B:$G,3,FALSE),+CUM!AA71/+VLOOKUP(AS$1,POSTE!$B:$H,7,FALSE),,CONGÉ!$C$2:$C$80))</f>
        <v>#N/A</v>
      </c>
      <c r="AT71" s="73" t="e">
        <f>+IF(R71=0," ",+WORKDAY.INTL(+VLOOKUP(AT$1,POSTE!$B:$G,3,FALSE),+CUM!AB71/+VLOOKUP(AT$1,POSTE!$B:$H,7,FALSE),,CONGÉ!$C$2:$C$80))</f>
        <v>#N/A</v>
      </c>
      <c r="AU71" s="73" t="e">
        <f>+IF(AND(S71=0,T71=0)," ",+WORKDAY.INTL(+VLOOKUP($AS$1,POSTE!B:J,3,FALSE),+(((AC71*POSTE!$H$5)+(CUM!AD71*POSTE!$H$4))/(POSTE!$H$4*POSTE!$H$5*2)),,CONGÉ!$C$2:$C$80))</f>
        <v>#N/A</v>
      </c>
      <c r="AV71" s="73" t="e">
        <f>+IF(U71=0," ",+WORKDAY.INTL(+VLOOKUP(AV$1,POSTE!$B:$G,3,FALSE),+CUM!AE71/+VLOOKUP(AV$1,POSTE!$B:$H,7,FALSE),,CONGÉ!$C$2:$C$80))</f>
        <v>#N/A</v>
      </c>
      <c r="AW71" s="73" t="e">
        <f>+IF(V71=0," ",+WORKDAY.INTL(+VLOOKUP(AW$1,POSTE!$B:$G,3,FALSE),+CUM!AF71/+VLOOKUP(AW$1,POSTE!$B:$H,7,FALSE),,CONGÉ!$C$2:$C$80))</f>
        <v>#N/A</v>
      </c>
      <c r="AX71" s="73" t="e">
        <f>+IF(W71=0," ",+WORKDAY.INTL(+VLOOKUP(AX$1,POSTE!$B:$G,3,FALSE),+CUM!AG71/+VLOOKUP(AX$1,POSTE!$B:$H,7,FALSE),,CONGÉ!$C$2:$C$80))</f>
        <v>#N/A</v>
      </c>
      <c r="AY71" s="73" t="e">
        <f>+IF(X71=0," ",+WORKDAY.INTL(+VLOOKUP(AY$1,POSTE!$B:$G,3,FALSE),+CUM!AH71/+VLOOKUP(AY$1,POSTE!$B:$H,7,FALSE),,CONGÉ!$C$2:$C$80))</f>
        <v>#N/A</v>
      </c>
      <c r="AZ71" s="73" t="e">
        <f>+IF(Y71=0," ",+WORKDAY.INTL(+VLOOKUP(AZ$1,POSTE!$B:$G,3,FALSE),+CUM!AI71/+VLOOKUP(AZ$1,POSTE!$B:$H,7,FALSE),,CONGÉ!$C$2:$C$80))</f>
        <v>#N/A</v>
      </c>
      <c r="BA71" s="73" t="e">
        <f>+IF(S71=0," ",+WORKDAY.INTL(+VLOOKUP(BA$1,POSTE!$B:$G,3,FALSE),+CUM!AC71/+VLOOKUP(BA$1,POSTE!$B:$H,7,FALSE),,CONGÉ!$C$2:$C$80))</f>
        <v>#N/A</v>
      </c>
      <c r="BB71" s="73" t="e">
        <f>+IF(T71=0," ",+WORKDAY.INTL(+VLOOKUP(BB$1,POSTE!$B:$G,3,FALSE),+CUM!AD71/+VLOOKUP(BB$1,POSTE!$B:$H,7,FALSE),,CONGÉ!$C$2:$C$80))</f>
        <v>#N/A</v>
      </c>
      <c r="BC71" s="70" t="e">
        <f t="shared" si="44"/>
        <v>#N/A</v>
      </c>
      <c r="BD71" s="70" t="e">
        <f t="shared" si="45"/>
        <v>#N/A</v>
      </c>
      <c r="BE71" s="129" t="e">
        <f>+IF($F71="oui",+VLOOKUP($A71,DATA!$A:$AH,DATA!$AH$3,FALSE),0)</f>
        <v>#N/A</v>
      </c>
      <c r="BF71" s="129" t="e">
        <f t="shared" si="46"/>
        <v>#N/A</v>
      </c>
      <c r="BG71" s="136" t="e">
        <f>+IF(BE71&gt;0,+MAX((BH$4:BH70),BD71),"")</f>
        <v>#N/A</v>
      </c>
      <c r="BH71" s="136" t="e">
        <f>+IF(BE71&gt;0,+MAX((BH$4:BH70),+WORKDAY.INTL(BG71,+BE71/8,,CONGÉ!$C$2:$C$73)),"")</f>
        <v>#N/A</v>
      </c>
      <c r="BI71" s="136" t="e">
        <f t="shared" si="47"/>
        <v>#N/A</v>
      </c>
      <c r="BJ71" s="43" t="e">
        <f t="shared" si="41"/>
        <v>#N/A</v>
      </c>
      <c r="BK71" s="77">
        <f t="shared" ca="1" si="48"/>
        <v>45754</v>
      </c>
      <c r="BL71" s="78" t="e">
        <f>+(((AC71*POSTE!$H$5)+(CUM!AD71*POSTE!$H$4))/(POSTE!$H$4*POSTE!$H$5*2))</f>
        <v>#N/A</v>
      </c>
      <c r="BM71" s="90" t="e">
        <f ca="1">+WORKDAY.INTL(BK71,BL71,,CONGÉ!C$4:C$72)</f>
        <v>#N/A</v>
      </c>
      <c r="BN71" s="78" t="e">
        <f t="shared" ca="1" si="49"/>
        <v>#N/A</v>
      </c>
    </row>
    <row r="72" spans="1:66" x14ac:dyDescent="0.25">
      <c r="A72" s="49">
        <f t="shared" si="42"/>
        <v>68</v>
      </c>
      <c r="B72" s="185" cm="1">
        <f t="array" ref="B72">_xlfn.LET(_xlpm.CORR,IF(DATA!$B$4:$B$104="",IF(DATA!$A$4:$A$104="","--",DATA!$A$4:$A$104),DATA!$B$4:$B$104),_xlpm.Rx,SMALL(_xlpm.CORR,A72),IFERROR(MATCH(_xlpm.Rx,_xlpm.CORR,0),0))</f>
        <v>0</v>
      </c>
      <c r="C72" s="18" t="e">
        <f>+VLOOKUP($A72,DATA!$A:$AG,DATA!$E$3,FALSE)</f>
        <v>#N/A</v>
      </c>
      <c r="D72" s="18" t="e">
        <f>+VLOOKUP($A72,DATA!$A:$AG,DATA!$D$3,FALSE)</f>
        <v>#N/A</v>
      </c>
      <c r="E72" s="186" t="e">
        <f>+VLOOKUP($A72,DATA!$A:$AG,DATA!$G$3,FALSE)</f>
        <v>#N/A</v>
      </c>
      <c r="F72" s="19" t="e">
        <f>+VLOOKUP($A72,DATA!$A:$AG,DATA!$O$3,FALSE)</f>
        <v>#N/A</v>
      </c>
      <c r="G72" s="43" t="e">
        <f>+IF($F72="oui",+VLOOKUP($A72,DATA!$A:$AG,DATA!$P$3,FALSE),0)</f>
        <v>#N/A</v>
      </c>
      <c r="H72" s="44" t="e">
        <f>+IF($F72="oui",+VLOOKUP($A72,DATA!$A:$AG,DATA!$R$3,FALSE),0)</f>
        <v>#N/A</v>
      </c>
      <c r="I72" s="44" t="e">
        <f>+IF($F72="oui",+VLOOKUP($A72,DATA!$A:$AG,DATA!$T$3,FALSE),0)</f>
        <v>#N/A</v>
      </c>
      <c r="J72" s="44" t="e">
        <f>+IF($F72="oui",+VLOOKUP($A72,DATA!$A:$AG,DATA!$V$3,FALSE),0)</f>
        <v>#N/A</v>
      </c>
      <c r="K72" s="44" t="e">
        <f>+IF($F72="oui",+VLOOKUP($A72,DATA!$A:$AG,DATA!$X$3,FALSE),0)</f>
        <v>#N/A</v>
      </c>
      <c r="L72" s="44" t="e">
        <f>+IF($F72="oui",+VLOOKUP($A72,DATA!$A:$AG,DATA!$Z$3,FALSE),0)</f>
        <v>#N/A</v>
      </c>
      <c r="M72" s="44" t="e">
        <f>+IF($F72="oui",+VLOOKUP($A72,DATA!$A:$AG,DATA!$AB$3,FALSE),0)</f>
        <v>#N/A</v>
      </c>
      <c r="N72" s="44" t="e">
        <f>+IF($F72="oui",+VLOOKUP($A72,DATA!$A:$AG,DATA!$AD$3,FALSE),0)</f>
        <v>#N/A</v>
      </c>
      <c r="O72" s="45" t="e">
        <f>+IF($F72="oui",+VLOOKUP($A72,DATA!$A:$AG,DATA!$AF$3,FALSE),0)</f>
        <v>#N/A</v>
      </c>
      <c r="P72" s="116" t="e">
        <f t="shared" si="43"/>
        <v>#N/A</v>
      </c>
      <c r="Q72" s="21" t="e">
        <f>+IF($F72="oui",+VLOOKUP($A72,DATA!$A:$AG,DATA!$Q$3,FALSE),0)</f>
        <v>#N/A</v>
      </c>
      <c r="R72" s="22" t="e">
        <f>+IF($F72="oui",+VLOOKUP($A72,DATA!$A:$AG,DATA!$S$3,FALSE),0)</f>
        <v>#N/A</v>
      </c>
      <c r="S72" s="22" t="e">
        <f>+IF($F72="oui",+VLOOKUP($A72,DATA!$A:$AG,DATA!$U$3,FALSE),0)</f>
        <v>#N/A</v>
      </c>
      <c r="T72" s="22" t="e">
        <f>+IF($F72="oui",+VLOOKUP($A72,DATA!$A:$AG,DATA!$W$3,FALSE),0)</f>
        <v>#N/A</v>
      </c>
      <c r="U72" s="22" t="e">
        <f>+IF($F72="oui",+VLOOKUP($A72,DATA!$A:$AG,DATA!$Y$3,FALSE),0)</f>
        <v>#N/A</v>
      </c>
      <c r="V72" s="22" t="e">
        <f>+IF($F72="oui",+VLOOKUP($A72,DATA!$A:$AG,DATA!$AA$3,FALSE),0)</f>
        <v>#N/A</v>
      </c>
      <c r="W72" s="22" t="e">
        <f>+IF($F72="oui",+VLOOKUP($A72,DATA!$A:$AG,DATA!$AC$3,FALSE),0)</f>
        <v>#N/A</v>
      </c>
      <c r="X72" s="22" t="e">
        <f>+IF($F72="oui",+VLOOKUP($A72,DATA!$A:$AG,DATA!$AE$3,FALSE),0)</f>
        <v>#N/A</v>
      </c>
      <c r="Y72" s="23" t="e">
        <f>+IF($F72="oui",+VLOOKUP($A72,DATA!$A:$AG,DATA!$AG$3,FALSE),0)</f>
        <v>#N/A</v>
      </c>
      <c r="Z72" s="118" t="e">
        <f t="shared" si="31"/>
        <v>#N/A</v>
      </c>
      <c r="AA72" s="43" t="e">
        <f t="shared" si="32"/>
        <v>#N/A</v>
      </c>
      <c r="AB72" s="44" t="e">
        <f t="shared" si="33"/>
        <v>#N/A</v>
      </c>
      <c r="AC72" s="44" t="e">
        <f t="shared" si="34"/>
        <v>#N/A</v>
      </c>
      <c r="AD72" s="44" t="e">
        <f t="shared" si="35"/>
        <v>#N/A</v>
      </c>
      <c r="AE72" s="44" t="e">
        <f t="shared" si="36"/>
        <v>#N/A</v>
      </c>
      <c r="AF72" s="44" t="e">
        <f t="shared" si="37"/>
        <v>#N/A</v>
      </c>
      <c r="AG72" s="44" t="e">
        <f t="shared" si="38"/>
        <v>#N/A</v>
      </c>
      <c r="AH72" s="44" t="e">
        <f t="shared" si="39"/>
        <v>#N/A</v>
      </c>
      <c r="AI72" s="45" t="e">
        <f t="shared" si="40"/>
        <v>#N/A</v>
      </c>
      <c r="AJ72" s="70" t="e">
        <f>+IF(Q72=0," ",+WORKDAY.INTL(+VLOOKUP(AJ$1,POSTE!$B:$G,3,FALSE),+CUM!AA71/+VLOOKUP(AJ$1,POSTE!$B:$H,7,FALSE),,CONGÉ!$C$2:$C$80))</f>
        <v>#N/A</v>
      </c>
      <c r="AK72" s="50" t="e">
        <f>+IF(R72=0," ",+WORKDAY.INTL(+VLOOKUP(AK$1,POSTE!$B:$G,3,FALSE),+CUM!AB71/+VLOOKUP(AK$1,POSTE!$B:$H,7,FALSE),,CONGÉ!$C$2:$C$80))</f>
        <v>#N/A</v>
      </c>
      <c r="AL72" s="50" t="e">
        <f>+IF(S72=0," ",+WORKDAY.INTL(+VLOOKUP(AL$1,POSTE!$B:$G,3,FALSE),+CUM!AC71/+VLOOKUP(AL$1,POSTE!$B:$H,7,FALSE),,CONGÉ!$C$2:$C$80))</f>
        <v>#N/A</v>
      </c>
      <c r="AM72" s="50" t="e">
        <f>+IF(T72=0," ",+WORKDAY.INTL(+VLOOKUP(AM$1,POSTE!$B:$G,3,FALSE),+CUM!AD71/+VLOOKUP(AM$1,POSTE!$B:$H,7,FALSE),,CONGÉ!$C$2:$C$80))</f>
        <v>#N/A</v>
      </c>
      <c r="AN72" s="50" t="e">
        <f>+IF(U72=0," ",+WORKDAY.INTL(+VLOOKUP(AN$1,POSTE!$B:$G,3,FALSE),+CUM!AE71/+VLOOKUP(AN$1,POSTE!$B:$H,7,FALSE),,CONGÉ!$C$2:$C$80))</f>
        <v>#N/A</v>
      </c>
      <c r="AO72" s="50" t="e">
        <f>+IF(V72=0," ",+WORKDAY.INTL(+VLOOKUP(AO$1,POSTE!$B:$G,3,FALSE),+CUM!AF71/+VLOOKUP(AO$1,POSTE!$B:$H,7,FALSE),,CONGÉ!$C$2:$C$80))</f>
        <v>#N/A</v>
      </c>
      <c r="AP72" s="50" t="e">
        <f>+IF(W72=0," ",+WORKDAY.INTL(+VLOOKUP(AP$1,POSTE!$B:$G,3,FALSE),+CUM!AG71/+VLOOKUP(AP$1,POSTE!$B:$H,7,FALSE),,CONGÉ!$C$2:$C$80))</f>
        <v>#N/A</v>
      </c>
      <c r="AQ72" s="50" t="e">
        <f>+IF(X72=0," ",+WORKDAY.INTL(+VLOOKUP(AQ$1,POSTE!$B:$G,3,FALSE),+CUM!AH71/+VLOOKUP(AQ$1,POSTE!$B:$H,7,FALSE),,CONGÉ!$C$2:$C$80))</f>
        <v>#N/A</v>
      </c>
      <c r="AR72" s="71" t="e">
        <f>+IF(Y72=0," ",+WORKDAY.INTL(+VLOOKUP(AR$1,POSTE!$B:$G,3,FALSE),+CUM!AI71/+VLOOKUP(AR$1,POSTE!$B:$H,7,FALSE),,CONGÉ!$C$2:$C$80))</f>
        <v>#N/A</v>
      </c>
      <c r="AS72" s="72" t="e">
        <f>+IF(Q72=0," ",+WORKDAY.INTL(+VLOOKUP(AS$1,POSTE!$B:$G,3,FALSE),+CUM!AA72/+VLOOKUP(AS$1,POSTE!$B:$H,7,FALSE),,CONGÉ!$C$2:$C$80))</f>
        <v>#N/A</v>
      </c>
      <c r="AT72" s="73" t="e">
        <f>+IF(R72=0," ",+WORKDAY.INTL(+VLOOKUP(AT$1,POSTE!$B:$G,3,FALSE),+CUM!AB72/+VLOOKUP(AT$1,POSTE!$B:$H,7,FALSE),,CONGÉ!$C$2:$C$80))</f>
        <v>#N/A</v>
      </c>
      <c r="AU72" s="73" t="e">
        <f>+IF(AND(S72=0,T72=0)," ",+WORKDAY.INTL(+VLOOKUP($AS$1,POSTE!B:J,3,FALSE),+(((AC72*POSTE!$H$5)+(CUM!AD72*POSTE!$H$4))/(POSTE!$H$4*POSTE!$H$5*2)),,CONGÉ!$C$2:$C$80))</f>
        <v>#N/A</v>
      </c>
      <c r="AV72" s="73" t="e">
        <f>+IF(U72=0," ",+WORKDAY.INTL(+VLOOKUP(AV$1,POSTE!$B:$G,3,FALSE),+CUM!AE72/+VLOOKUP(AV$1,POSTE!$B:$H,7,FALSE),,CONGÉ!$C$2:$C$80))</f>
        <v>#N/A</v>
      </c>
      <c r="AW72" s="73" t="e">
        <f>+IF(V72=0," ",+WORKDAY.INTL(+VLOOKUP(AW$1,POSTE!$B:$G,3,FALSE),+CUM!AF72/+VLOOKUP(AW$1,POSTE!$B:$H,7,FALSE),,CONGÉ!$C$2:$C$80))</f>
        <v>#N/A</v>
      </c>
      <c r="AX72" s="73" t="e">
        <f>+IF(W72=0," ",+WORKDAY.INTL(+VLOOKUP(AX$1,POSTE!$B:$G,3,FALSE),+CUM!AG72/+VLOOKUP(AX$1,POSTE!$B:$H,7,FALSE),,CONGÉ!$C$2:$C$80))</f>
        <v>#N/A</v>
      </c>
      <c r="AY72" s="73" t="e">
        <f>+IF(X72=0," ",+WORKDAY.INTL(+VLOOKUP(AY$1,POSTE!$B:$G,3,FALSE),+CUM!AH72/+VLOOKUP(AY$1,POSTE!$B:$H,7,FALSE),,CONGÉ!$C$2:$C$80))</f>
        <v>#N/A</v>
      </c>
      <c r="AZ72" s="73" t="e">
        <f>+IF(Y72=0," ",+WORKDAY.INTL(+VLOOKUP(AZ$1,POSTE!$B:$G,3,FALSE),+CUM!AI72/+VLOOKUP(AZ$1,POSTE!$B:$H,7,FALSE),,CONGÉ!$C$2:$C$80))</f>
        <v>#N/A</v>
      </c>
      <c r="BA72" s="73" t="e">
        <f>+IF(S72=0," ",+WORKDAY.INTL(+VLOOKUP(BA$1,POSTE!$B:$G,3,FALSE),+CUM!AC72/+VLOOKUP(BA$1,POSTE!$B:$H,7,FALSE),,CONGÉ!$C$2:$C$80))</f>
        <v>#N/A</v>
      </c>
      <c r="BB72" s="73" t="e">
        <f>+IF(T72=0," ",+WORKDAY.INTL(+VLOOKUP(BB$1,POSTE!$B:$G,3,FALSE),+CUM!AD72/+VLOOKUP(BB$1,POSTE!$B:$H,7,FALSE),,CONGÉ!$C$2:$C$80))</f>
        <v>#N/A</v>
      </c>
      <c r="BC72" s="70" t="e">
        <f t="shared" si="44"/>
        <v>#N/A</v>
      </c>
      <c r="BD72" s="70" t="e">
        <f t="shared" si="45"/>
        <v>#N/A</v>
      </c>
      <c r="BE72" s="129" t="e">
        <f>+IF($F72="oui",+VLOOKUP($A72,DATA!$A:$AH,DATA!$AH$3,FALSE),0)</f>
        <v>#N/A</v>
      </c>
      <c r="BF72" s="129" t="e">
        <f t="shared" si="46"/>
        <v>#N/A</v>
      </c>
      <c r="BG72" s="136" t="e">
        <f>+IF(BE72&gt;0,+MAX((BH$4:BH71),BD72),"")</f>
        <v>#N/A</v>
      </c>
      <c r="BH72" s="136" t="e">
        <f>+IF(BE72&gt;0,+MAX((BH$4:BH71),+WORKDAY.INTL(BG72,+BE72/8,,CONGÉ!$C$2:$C$73)),"")</f>
        <v>#N/A</v>
      </c>
      <c r="BI72" s="136" t="e">
        <f t="shared" si="47"/>
        <v>#N/A</v>
      </c>
      <c r="BJ72" s="43" t="e">
        <f t="shared" si="41"/>
        <v>#N/A</v>
      </c>
      <c r="BK72" s="77">
        <f t="shared" ca="1" si="48"/>
        <v>45754</v>
      </c>
      <c r="BL72" s="78" t="e">
        <f>+(((AC72*POSTE!$H$5)+(CUM!AD72*POSTE!$H$4))/(POSTE!$H$4*POSTE!$H$5*2))</f>
        <v>#N/A</v>
      </c>
      <c r="BM72" s="90" t="e">
        <f ca="1">+WORKDAY.INTL(BK72,BL72,,CONGÉ!C$4:C$72)</f>
        <v>#N/A</v>
      </c>
      <c r="BN72" s="78" t="e">
        <f t="shared" ca="1" si="49"/>
        <v>#N/A</v>
      </c>
    </row>
    <row r="73" spans="1:66" x14ac:dyDescent="0.25">
      <c r="A73" s="49">
        <f t="shared" si="42"/>
        <v>69</v>
      </c>
      <c r="B73" s="185" cm="1">
        <f t="array" ref="B73">_xlfn.LET(_xlpm.CORR,IF(DATA!$B$4:$B$104="",IF(DATA!$A$4:$A$104="","--",DATA!$A$4:$A$104),DATA!$B$4:$B$104),_xlpm.Rx,SMALL(_xlpm.CORR,A73),IFERROR(MATCH(_xlpm.Rx,_xlpm.CORR,0),0))</f>
        <v>0</v>
      </c>
      <c r="C73" s="18" t="e">
        <f>+VLOOKUP($A73,DATA!$A:$AG,DATA!$E$3,FALSE)</f>
        <v>#N/A</v>
      </c>
      <c r="D73" s="18" t="e">
        <f>+VLOOKUP($A73,DATA!$A:$AG,DATA!$D$3,FALSE)</f>
        <v>#N/A</v>
      </c>
      <c r="E73" s="186" t="e">
        <f>+VLOOKUP($A73,DATA!$A:$AG,DATA!$G$3,FALSE)</f>
        <v>#N/A</v>
      </c>
      <c r="F73" s="19" t="e">
        <f>+VLOOKUP($A73,DATA!$A:$AG,DATA!$O$3,FALSE)</f>
        <v>#N/A</v>
      </c>
      <c r="G73" s="43" t="e">
        <f>+IF($F73="oui",+VLOOKUP($A73,DATA!$A:$AG,DATA!$P$3,FALSE),0)</f>
        <v>#N/A</v>
      </c>
      <c r="H73" s="44" t="e">
        <f>+IF($F73="oui",+VLOOKUP($A73,DATA!$A:$AG,DATA!$R$3,FALSE),0)</f>
        <v>#N/A</v>
      </c>
      <c r="I73" s="44" t="e">
        <f>+IF($F73="oui",+VLOOKUP($A73,DATA!$A:$AG,DATA!$T$3,FALSE),0)</f>
        <v>#N/A</v>
      </c>
      <c r="J73" s="44" t="e">
        <f>+IF($F73="oui",+VLOOKUP($A73,DATA!$A:$AG,DATA!$V$3,FALSE),0)</f>
        <v>#N/A</v>
      </c>
      <c r="K73" s="44" t="e">
        <f>+IF($F73="oui",+VLOOKUP($A73,DATA!$A:$AG,DATA!$X$3,FALSE),0)</f>
        <v>#N/A</v>
      </c>
      <c r="L73" s="44" t="e">
        <f>+IF($F73="oui",+VLOOKUP($A73,DATA!$A:$AG,DATA!$Z$3,FALSE),0)</f>
        <v>#N/A</v>
      </c>
      <c r="M73" s="44" t="e">
        <f>+IF($F73="oui",+VLOOKUP($A73,DATA!$A:$AG,DATA!$AB$3,FALSE),0)</f>
        <v>#N/A</v>
      </c>
      <c r="N73" s="44" t="e">
        <f>+IF($F73="oui",+VLOOKUP($A73,DATA!$A:$AG,DATA!$AD$3,FALSE),0)</f>
        <v>#N/A</v>
      </c>
      <c r="O73" s="45" t="e">
        <f>+IF($F73="oui",+VLOOKUP($A73,DATA!$A:$AG,DATA!$AF$3,FALSE),0)</f>
        <v>#N/A</v>
      </c>
      <c r="P73" s="116" t="e">
        <f t="shared" si="43"/>
        <v>#N/A</v>
      </c>
      <c r="Q73" s="21" t="e">
        <f>+IF($F73="oui",+VLOOKUP($A73,DATA!$A:$AG,DATA!$Q$3,FALSE),0)</f>
        <v>#N/A</v>
      </c>
      <c r="R73" s="22" t="e">
        <f>+IF($F73="oui",+VLOOKUP($A73,DATA!$A:$AG,DATA!$S$3,FALSE),0)</f>
        <v>#N/A</v>
      </c>
      <c r="S73" s="22" t="e">
        <f>+IF($F73="oui",+VLOOKUP($A73,DATA!$A:$AG,DATA!$U$3,FALSE),0)</f>
        <v>#N/A</v>
      </c>
      <c r="T73" s="22" t="e">
        <f>+IF($F73="oui",+VLOOKUP($A73,DATA!$A:$AG,DATA!$W$3,FALSE),0)</f>
        <v>#N/A</v>
      </c>
      <c r="U73" s="22" t="e">
        <f>+IF($F73="oui",+VLOOKUP($A73,DATA!$A:$AG,DATA!$Y$3,FALSE),0)</f>
        <v>#N/A</v>
      </c>
      <c r="V73" s="22" t="e">
        <f>+IF($F73="oui",+VLOOKUP($A73,DATA!$A:$AG,DATA!$AA$3,FALSE),0)</f>
        <v>#N/A</v>
      </c>
      <c r="W73" s="22" t="e">
        <f>+IF($F73="oui",+VLOOKUP($A73,DATA!$A:$AG,DATA!$AC$3,FALSE),0)</f>
        <v>#N/A</v>
      </c>
      <c r="X73" s="22" t="e">
        <f>+IF($F73="oui",+VLOOKUP($A73,DATA!$A:$AG,DATA!$AE$3,FALSE),0)</f>
        <v>#N/A</v>
      </c>
      <c r="Y73" s="23" t="e">
        <f>+IF($F73="oui",+VLOOKUP($A73,DATA!$A:$AG,DATA!$AG$3,FALSE),0)</f>
        <v>#N/A</v>
      </c>
      <c r="Z73" s="118" t="e">
        <f t="shared" si="31"/>
        <v>#N/A</v>
      </c>
      <c r="AA73" s="43" t="e">
        <f t="shared" si="32"/>
        <v>#N/A</v>
      </c>
      <c r="AB73" s="44" t="e">
        <f t="shared" si="33"/>
        <v>#N/A</v>
      </c>
      <c r="AC73" s="44" t="e">
        <f t="shared" si="34"/>
        <v>#N/A</v>
      </c>
      <c r="AD73" s="44" t="e">
        <f t="shared" si="35"/>
        <v>#N/A</v>
      </c>
      <c r="AE73" s="44" t="e">
        <f t="shared" si="36"/>
        <v>#N/A</v>
      </c>
      <c r="AF73" s="44" t="e">
        <f t="shared" si="37"/>
        <v>#N/A</v>
      </c>
      <c r="AG73" s="44" t="e">
        <f t="shared" si="38"/>
        <v>#N/A</v>
      </c>
      <c r="AH73" s="44" t="e">
        <f t="shared" si="39"/>
        <v>#N/A</v>
      </c>
      <c r="AI73" s="45" t="e">
        <f t="shared" si="40"/>
        <v>#N/A</v>
      </c>
      <c r="AJ73" s="70" t="e">
        <f>+IF(Q73=0," ",+WORKDAY.INTL(+VLOOKUP(AJ$1,POSTE!$B:$G,3,FALSE),+CUM!AA72/+VLOOKUP(AJ$1,POSTE!$B:$H,7,FALSE),,CONGÉ!$C$2:$C$80))</f>
        <v>#N/A</v>
      </c>
      <c r="AK73" s="50" t="e">
        <f>+IF(R73=0," ",+WORKDAY.INTL(+VLOOKUP(AK$1,POSTE!$B:$G,3,FALSE),+CUM!AB72/+VLOOKUP(AK$1,POSTE!$B:$H,7,FALSE),,CONGÉ!$C$2:$C$80))</f>
        <v>#N/A</v>
      </c>
      <c r="AL73" s="50" t="e">
        <f>+IF(S73=0," ",+WORKDAY.INTL(+VLOOKUP(AL$1,POSTE!$B:$G,3,FALSE),+CUM!AC72/+VLOOKUP(AL$1,POSTE!$B:$H,7,FALSE),,CONGÉ!$C$2:$C$80))</f>
        <v>#N/A</v>
      </c>
      <c r="AM73" s="50" t="e">
        <f>+IF(T73=0," ",+WORKDAY.INTL(+VLOOKUP(AM$1,POSTE!$B:$G,3,FALSE),+CUM!AD72/+VLOOKUP(AM$1,POSTE!$B:$H,7,FALSE),,CONGÉ!$C$2:$C$80))</f>
        <v>#N/A</v>
      </c>
      <c r="AN73" s="50" t="e">
        <f>+IF(U73=0," ",+WORKDAY.INTL(+VLOOKUP(AN$1,POSTE!$B:$G,3,FALSE),+CUM!AE72/+VLOOKUP(AN$1,POSTE!$B:$H,7,FALSE),,CONGÉ!$C$2:$C$80))</f>
        <v>#N/A</v>
      </c>
      <c r="AO73" s="50" t="e">
        <f>+IF(V73=0," ",+WORKDAY.INTL(+VLOOKUP(AO$1,POSTE!$B:$G,3,FALSE),+CUM!AF72/+VLOOKUP(AO$1,POSTE!$B:$H,7,FALSE),,CONGÉ!$C$2:$C$80))</f>
        <v>#N/A</v>
      </c>
      <c r="AP73" s="50" t="e">
        <f>+IF(W73=0," ",+WORKDAY.INTL(+VLOOKUP(AP$1,POSTE!$B:$G,3,FALSE),+CUM!AG72/+VLOOKUP(AP$1,POSTE!$B:$H,7,FALSE),,CONGÉ!$C$2:$C$80))</f>
        <v>#N/A</v>
      </c>
      <c r="AQ73" s="50" t="e">
        <f>+IF(X73=0," ",+WORKDAY.INTL(+VLOOKUP(AQ$1,POSTE!$B:$G,3,FALSE),+CUM!AH72/+VLOOKUP(AQ$1,POSTE!$B:$H,7,FALSE),,CONGÉ!$C$2:$C$80))</f>
        <v>#N/A</v>
      </c>
      <c r="AR73" s="71" t="e">
        <f>+IF(Y73=0," ",+WORKDAY.INTL(+VLOOKUP(AR$1,POSTE!$B:$G,3,FALSE),+CUM!AI72/+VLOOKUP(AR$1,POSTE!$B:$H,7,FALSE),,CONGÉ!$C$2:$C$80))</f>
        <v>#N/A</v>
      </c>
      <c r="AS73" s="72" t="e">
        <f>+IF(Q73=0," ",+WORKDAY.INTL(+VLOOKUP(AS$1,POSTE!$B:$G,3,FALSE),+CUM!AA73/+VLOOKUP(AS$1,POSTE!$B:$H,7,FALSE),,CONGÉ!$C$2:$C$80))</f>
        <v>#N/A</v>
      </c>
      <c r="AT73" s="73" t="e">
        <f>+IF(R73=0," ",+WORKDAY.INTL(+VLOOKUP(AT$1,POSTE!$B:$G,3,FALSE),+CUM!AB73/+VLOOKUP(AT$1,POSTE!$B:$H,7,FALSE),,CONGÉ!$C$2:$C$80))</f>
        <v>#N/A</v>
      </c>
      <c r="AU73" s="73" t="e">
        <f>+IF(AND(S73=0,T73=0)," ",+WORKDAY.INTL(+VLOOKUP($AS$1,POSTE!B:J,3,FALSE),+(((AC73*POSTE!$H$5)+(CUM!AD73*POSTE!$H$4))/(POSTE!$H$4*POSTE!$H$5*2)),,CONGÉ!$C$2:$C$80))</f>
        <v>#N/A</v>
      </c>
      <c r="AV73" s="73" t="e">
        <f>+IF(U73=0," ",+WORKDAY.INTL(+VLOOKUP(AV$1,POSTE!$B:$G,3,FALSE),+CUM!AE73/+VLOOKUP(AV$1,POSTE!$B:$H,7,FALSE),,CONGÉ!$C$2:$C$80))</f>
        <v>#N/A</v>
      </c>
      <c r="AW73" s="73" t="e">
        <f>+IF(V73=0," ",+WORKDAY.INTL(+VLOOKUP(AW$1,POSTE!$B:$G,3,FALSE),+CUM!AF73/+VLOOKUP(AW$1,POSTE!$B:$H,7,FALSE),,CONGÉ!$C$2:$C$80))</f>
        <v>#N/A</v>
      </c>
      <c r="AX73" s="73" t="e">
        <f>+IF(W73=0," ",+WORKDAY.INTL(+VLOOKUP(AX$1,POSTE!$B:$G,3,FALSE),+CUM!AG73/+VLOOKUP(AX$1,POSTE!$B:$H,7,FALSE),,CONGÉ!$C$2:$C$80))</f>
        <v>#N/A</v>
      </c>
      <c r="AY73" s="73" t="e">
        <f>+IF(X73=0," ",+WORKDAY.INTL(+VLOOKUP(AY$1,POSTE!$B:$G,3,FALSE),+CUM!AH73/+VLOOKUP(AY$1,POSTE!$B:$H,7,FALSE),,CONGÉ!$C$2:$C$80))</f>
        <v>#N/A</v>
      </c>
      <c r="AZ73" s="73" t="e">
        <f>+IF(Y73=0," ",+WORKDAY.INTL(+VLOOKUP(AZ$1,POSTE!$B:$G,3,FALSE),+CUM!AI73/+VLOOKUP(AZ$1,POSTE!$B:$H,7,FALSE),,CONGÉ!$C$2:$C$80))</f>
        <v>#N/A</v>
      </c>
      <c r="BA73" s="73" t="e">
        <f>+IF(S73=0," ",+WORKDAY.INTL(+VLOOKUP(BA$1,POSTE!$B:$G,3,FALSE),+CUM!AC73/+VLOOKUP(BA$1,POSTE!$B:$H,7,FALSE),,CONGÉ!$C$2:$C$80))</f>
        <v>#N/A</v>
      </c>
      <c r="BB73" s="73" t="e">
        <f>+IF(T73=0," ",+WORKDAY.INTL(+VLOOKUP(BB$1,POSTE!$B:$G,3,FALSE),+CUM!AD73/+VLOOKUP(BB$1,POSTE!$B:$H,7,FALSE),,CONGÉ!$C$2:$C$80))</f>
        <v>#N/A</v>
      </c>
      <c r="BC73" s="70" t="e">
        <f t="shared" si="44"/>
        <v>#N/A</v>
      </c>
      <c r="BD73" s="70" t="e">
        <f t="shared" si="45"/>
        <v>#N/A</v>
      </c>
      <c r="BE73" s="129" t="e">
        <f>+IF($F73="oui",+VLOOKUP($A73,DATA!$A:$AH,DATA!$AH$3,FALSE),0)</f>
        <v>#N/A</v>
      </c>
      <c r="BF73" s="129" t="e">
        <f t="shared" si="46"/>
        <v>#N/A</v>
      </c>
      <c r="BG73" s="136" t="e">
        <f>+IF(BE73&gt;0,+MAX((BH$4:BH72),BD73),"")</f>
        <v>#N/A</v>
      </c>
      <c r="BH73" s="136" t="e">
        <f>+IF(BE73&gt;0,+MAX((BH$4:BH72),+WORKDAY.INTL(BG73,+BE73/8,,CONGÉ!$C$2:$C$73)),"")</f>
        <v>#N/A</v>
      </c>
      <c r="BI73" s="136" t="e">
        <f t="shared" si="47"/>
        <v>#N/A</v>
      </c>
      <c r="BJ73" s="43" t="e">
        <f t="shared" si="41"/>
        <v>#N/A</v>
      </c>
      <c r="BK73" s="77">
        <f t="shared" ca="1" si="48"/>
        <v>45754</v>
      </c>
      <c r="BL73" s="78" t="e">
        <f>+(((AC73*POSTE!$H$5)+(CUM!AD73*POSTE!$H$4))/(POSTE!$H$4*POSTE!$H$5*2))</f>
        <v>#N/A</v>
      </c>
      <c r="BM73" s="90" t="e">
        <f ca="1">+WORKDAY.INTL(BK73,BL73,,CONGÉ!C$4:C$72)</f>
        <v>#N/A</v>
      </c>
      <c r="BN73" s="78" t="e">
        <f t="shared" ca="1" si="49"/>
        <v>#N/A</v>
      </c>
    </row>
    <row r="74" spans="1:66" x14ac:dyDescent="0.25">
      <c r="A74" s="49">
        <f t="shared" si="42"/>
        <v>70</v>
      </c>
      <c r="B74" s="185" cm="1">
        <f t="array" ref="B74">_xlfn.LET(_xlpm.CORR,IF(DATA!$B$4:$B$104="",IF(DATA!$A$4:$A$104="","--",DATA!$A$4:$A$104),DATA!$B$4:$B$104),_xlpm.Rx,SMALL(_xlpm.CORR,A74),IFERROR(MATCH(_xlpm.Rx,_xlpm.CORR,0),0))</f>
        <v>0</v>
      </c>
      <c r="C74" s="18" t="e">
        <f>+VLOOKUP($A74,DATA!$A:$AG,DATA!$E$3,FALSE)</f>
        <v>#N/A</v>
      </c>
      <c r="D74" s="18" t="e">
        <f>+VLOOKUP($A74,DATA!$A:$AG,DATA!$D$3,FALSE)</f>
        <v>#N/A</v>
      </c>
      <c r="E74" s="186" t="e">
        <f>+VLOOKUP($A74,DATA!$A:$AG,DATA!$G$3,FALSE)</f>
        <v>#N/A</v>
      </c>
      <c r="F74" s="19" t="e">
        <f>+VLOOKUP($A74,DATA!$A:$AG,DATA!$O$3,FALSE)</f>
        <v>#N/A</v>
      </c>
      <c r="G74" s="43" t="e">
        <f>+IF($F74="oui",+VLOOKUP($A74,DATA!$A:$AG,DATA!$P$3,FALSE),0)</f>
        <v>#N/A</v>
      </c>
      <c r="H74" s="44" t="e">
        <f>+IF($F74="oui",+VLOOKUP($A74,DATA!$A:$AG,DATA!$R$3,FALSE),0)</f>
        <v>#N/A</v>
      </c>
      <c r="I74" s="44" t="e">
        <f>+IF($F74="oui",+VLOOKUP($A74,DATA!$A:$AG,DATA!$T$3,FALSE),0)</f>
        <v>#N/A</v>
      </c>
      <c r="J74" s="44" t="e">
        <f>+IF($F74="oui",+VLOOKUP($A74,DATA!$A:$AG,DATA!$V$3,FALSE),0)</f>
        <v>#N/A</v>
      </c>
      <c r="K74" s="44" t="e">
        <f>+IF($F74="oui",+VLOOKUP($A74,DATA!$A:$AG,DATA!$X$3,FALSE),0)</f>
        <v>#N/A</v>
      </c>
      <c r="L74" s="44" t="e">
        <f>+IF($F74="oui",+VLOOKUP($A74,DATA!$A:$AG,DATA!$Z$3,FALSE),0)</f>
        <v>#N/A</v>
      </c>
      <c r="M74" s="44" t="e">
        <f>+IF($F74="oui",+VLOOKUP($A74,DATA!$A:$AG,DATA!$AB$3,FALSE),0)</f>
        <v>#N/A</v>
      </c>
      <c r="N74" s="44" t="e">
        <f>+IF($F74="oui",+VLOOKUP($A74,DATA!$A:$AG,DATA!$AD$3,FALSE),0)</f>
        <v>#N/A</v>
      </c>
      <c r="O74" s="45" t="e">
        <f>+IF($F74="oui",+VLOOKUP($A74,DATA!$A:$AG,DATA!$AF$3,FALSE),0)</f>
        <v>#N/A</v>
      </c>
      <c r="P74" s="116" t="e">
        <f t="shared" si="43"/>
        <v>#N/A</v>
      </c>
      <c r="Q74" s="21" t="e">
        <f>+IF($F74="oui",+VLOOKUP($A74,DATA!$A:$AG,DATA!$Q$3,FALSE),0)</f>
        <v>#N/A</v>
      </c>
      <c r="R74" s="22" t="e">
        <f>+IF($F74="oui",+VLOOKUP($A74,DATA!$A:$AG,DATA!$S$3,FALSE),0)</f>
        <v>#N/A</v>
      </c>
      <c r="S74" s="22" t="e">
        <f>+IF($F74="oui",+VLOOKUP($A74,DATA!$A:$AG,DATA!$U$3,FALSE),0)</f>
        <v>#N/A</v>
      </c>
      <c r="T74" s="22" t="e">
        <f>+IF($F74="oui",+VLOOKUP($A74,DATA!$A:$AG,DATA!$W$3,FALSE),0)</f>
        <v>#N/A</v>
      </c>
      <c r="U74" s="22" t="e">
        <f>+IF($F74="oui",+VLOOKUP($A74,DATA!$A:$AG,DATA!$Y$3,FALSE),0)</f>
        <v>#N/A</v>
      </c>
      <c r="V74" s="22" t="e">
        <f>+IF($F74="oui",+VLOOKUP($A74,DATA!$A:$AG,DATA!$AA$3,FALSE),0)</f>
        <v>#N/A</v>
      </c>
      <c r="W74" s="22" t="e">
        <f>+IF($F74="oui",+VLOOKUP($A74,DATA!$A:$AG,DATA!$AC$3,FALSE),0)</f>
        <v>#N/A</v>
      </c>
      <c r="X74" s="22" t="e">
        <f>+IF($F74="oui",+VLOOKUP($A74,DATA!$A:$AG,DATA!$AE$3,FALSE),0)</f>
        <v>#N/A</v>
      </c>
      <c r="Y74" s="23" t="e">
        <f>+IF($F74="oui",+VLOOKUP($A74,DATA!$A:$AG,DATA!$AG$3,FALSE),0)</f>
        <v>#N/A</v>
      </c>
      <c r="Z74" s="118" t="e">
        <f t="shared" si="31"/>
        <v>#N/A</v>
      </c>
      <c r="AA74" s="43" t="e">
        <f t="shared" si="32"/>
        <v>#N/A</v>
      </c>
      <c r="AB74" s="44" t="e">
        <f t="shared" si="33"/>
        <v>#N/A</v>
      </c>
      <c r="AC74" s="44" t="e">
        <f t="shared" si="34"/>
        <v>#N/A</v>
      </c>
      <c r="AD74" s="44" t="e">
        <f t="shared" si="35"/>
        <v>#N/A</v>
      </c>
      <c r="AE74" s="44" t="e">
        <f t="shared" si="36"/>
        <v>#N/A</v>
      </c>
      <c r="AF74" s="44" t="e">
        <f t="shared" si="37"/>
        <v>#N/A</v>
      </c>
      <c r="AG74" s="44" t="e">
        <f t="shared" si="38"/>
        <v>#N/A</v>
      </c>
      <c r="AH74" s="44" t="e">
        <f t="shared" si="39"/>
        <v>#N/A</v>
      </c>
      <c r="AI74" s="45" t="e">
        <f t="shared" si="40"/>
        <v>#N/A</v>
      </c>
      <c r="AJ74" s="70" t="e">
        <f>+IF(Q74=0," ",+WORKDAY.INTL(+VLOOKUP(AJ$1,POSTE!$B:$G,3,FALSE),+CUM!AA73/+VLOOKUP(AJ$1,POSTE!$B:$H,7,FALSE),,CONGÉ!$C$2:$C$80))</f>
        <v>#N/A</v>
      </c>
      <c r="AK74" s="50" t="e">
        <f>+IF(R74=0," ",+WORKDAY.INTL(+VLOOKUP(AK$1,POSTE!$B:$G,3,FALSE),+CUM!AB73/+VLOOKUP(AK$1,POSTE!$B:$H,7,FALSE),,CONGÉ!$C$2:$C$80))</f>
        <v>#N/A</v>
      </c>
      <c r="AL74" s="50" t="e">
        <f>+IF(S74=0," ",+WORKDAY.INTL(+VLOOKUP(AL$1,POSTE!$B:$G,3,FALSE),+CUM!AC73/+VLOOKUP(AL$1,POSTE!$B:$H,7,FALSE),,CONGÉ!$C$2:$C$80))</f>
        <v>#N/A</v>
      </c>
      <c r="AM74" s="50" t="e">
        <f>+IF(T74=0," ",+WORKDAY.INTL(+VLOOKUP(AM$1,POSTE!$B:$G,3,FALSE),+CUM!AD73/+VLOOKUP(AM$1,POSTE!$B:$H,7,FALSE),,CONGÉ!$C$2:$C$80))</f>
        <v>#N/A</v>
      </c>
      <c r="AN74" s="50" t="e">
        <f>+IF(U74=0," ",+WORKDAY.INTL(+VLOOKUP(AN$1,POSTE!$B:$G,3,FALSE),+CUM!AE73/+VLOOKUP(AN$1,POSTE!$B:$H,7,FALSE),,CONGÉ!$C$2:$C$80))</f>
        <v>#N/A</v>
      </c>
      <c r="AO74" s="50" t="e">
        <f>+IF(V74=0," ",+WORKDAY.INTL(+VLOOKUP(AO$1,POSTE!$B:$G,3,FALSE),+CUM!AF73/+VLOOKUP(AO$1,POSTE!$B:$H,7,FALSE),,CONGÉ!$C$2:$C$80))</f>
        <v>#N/A</v>
      </c>
      <c r="AP74" s="50" t="e">
        <f>+IF(W74=0," ",+WORKDAY.INTL(+VLOOKUP(AP$1,POSTE!$B:$G,3,FALSE),+CUM!AG73/+VLOOKUP(AP$1,POSTE!$B:$H,7,FALSE),,CONGÉ!$C$2:$C$80))</f>
        <v>#N/A</v>
      </c>
      <c r="AQ74" s="50" t="e">
        <f>+IF(X74=0," ",+WORKDAY.INTL(+VLOOKUP(AQ$1,POSTE!$B:$G,3,FALSE),+CUM!AH73/+VLOOKUP(AQ$1,POSTE!$B:$H,7,FALSE),,CONGÉ!$C$2:$C$80))</f>
        <v>#N/A</v>
      </c>
      <c r="AR74" s="71" t="e">
        <f>+IF(Y74=0," ",+WORKDAY.INTL(+VLOOKUP(AR$1,POSTE!$B:$G,3,FALSE),+CUM!AI73/+VLOOKUP(AR$1,POSTE!$B:$H,7,FALSE),,CONGÉ!$C$2:$C$80))</f>
        <v>#N/A</v>
      </c>
      <c r="AS74" s="72" t="e">
        <f>+IF(Q74=0," ",+WORKDAY.INTL(+VLOOKUP(AS$1,POSTE!$B:$G,3,FALSE),+CUM!AA74/+VLOOKUP(AS$1,POSTE!$B:$H,7,FALSE),,CONGÉ!$C$2:$C$80))</f>
        <v>#N/A</v>
      </c>
      <c r="AT74" s="73" t="e">
        <f>+IF(R74=0," ",+WORKDAY.INTL(+VLOOKUP(AT$1,POSTE!$B:$G,3,FALSE),+CUM!AB74/+VLOOKUP(AT$1,POSTE!$B:$H,7,FALSE),,CONGÉ!$C$2:$C$80))</f>
        <v>#N/A</v>
      </c>
      <c r="AU74" s="73" t="e">
        <f>+IF(AND(S74=0,T74=0)," ",+WORKDAY.INTL(+VLOOKUP($AS$1,POSTE!B:J,3,FALSE),+(((AC74*POSTE!$H$5)+(CUM!AD74*POSTE!$H$4))/(POSTE!$H$4*POSTE!$H$5*2)),,CONGÉ!$C$2:$C$80))</f>
        <v>#N/A</v>
      </c>
      <c r="AV74" s="73" t="e">
        <f>+IF(U74=0," ",+WORKDAY.INTL(+VLOOKUP(AV$1,POSTE!$B:$G,3,FALSE),+CUM!AE74/+VLOOKUP(AV$1,POSTE!$B:$H,7,FALSE),,CONGÉ!$C$2:$C$80))</f>
        <v>#N/A</v>
      </c>
      <c r="AW74" s="73" t="e">
        <f>+IF(V74=0," ",+WORKDAY.INTL(+VLOOKUP(AW$1,POSTE!$B:$G,3,FALSE),+CUM!AF74/+VLOOKUP(AW$1,POSTE!$B:$H,7,FALSE),,CONGÉ!$C$2:$C$80))</f>
        <v>#N/A</v>
      </c>
      <c r="AX74" s="73" t="e">
        <f>+IF(W74=0," ",+WORKDAY.INTL(+VLOOKUP(AX$1,POSTE!$B:$G,3,FALSE),+CUM!AG74/+VLOOKUP(AX$1,POSTE!$B:$H,7,FALSE),,CONGÉ!$C$2:$C$80))</f>
        <v>#N/A</v>
      </c>
      <c r="AY74" s="73" t="e">
        <f>+IF(X74=0," ",+WORKDAY.INTL(+VLOOKUP(AY$1,POSTE!$B:$G,3,FALSE),+CUM!AH74/+VLOOKUP(AY$1,POSTE!$B:$H,7,FALSE),,CONGÉ!$C$2:$C$80))</f>
        <v>#N/A</v>
      </c>
      <c r="AZ74" s="73" t="e">
        <f>+IF(Y74=0," ",+WORKDAY.INTL(+VLOOKUP(AZ$1,POSTE!$B:$G,3,FALSE),+CUM!AI74/+VLOOKUP(AZ$1,POSTE!$B:$H,7,FALSE),,CONGÉ!$C$2:$C$80))</f>
        <v>#N/A</v>
      </c>
      <c r="BA74" s="73" t="e">
        <f>+IF(S74=0," ",+WORKDAY.INTL(+VLOOKUP(BA$1,POSTE!$B:$G,3,FALSE),+CUM!AC74/+VLOOKUP(BA$1,POSTE!$B:$H,7,FALSE),,CONGÉ!$C$2:$C$80))</f>
        <v>#N/A</v>
      </c>
      <c r="BB74" s="73" t="e">
        <f>+IF(T74=0," ",+WORKDAY.INTL(+VLOOKUP(BB$1,POSTE!$B:$G,3,FALSE),+CUM!AD74/+VLOOKUP(BB$1,POSTE!$B:$H,7,FALSE),,CONGÉ!$C$2:$C$80))</f>
        <v>#N/A</v>
      </c>
      <c r="BC74" s="70" t="e">
        <f t="shared" si="44"/>
        <v>#N/A</v>
      </c>
      <c r="BD74" s="70" t="e">
        <f t="shared" si="45"/>
        <v>#N/A</v>
      </c>
      <c r="BE74" s="129" t="e">
        <f>+IF($F74="oui",+VLOOKUP($A74,DATA!$A:$AH,DATA!$AH$3,FALSE),0)</f>
        <v>#N/A</v>
      </c>
      <c r="BF74" s="129" t="e">
        <f t="shared" si="46"/>
        <v>#N/A</v>
      </c>
      <c r="BG74" s="136" t="e">
        <f>+IF(BE74&gt;0,+MAX((BH$4:BH73),BD74),"")</f>
        <v>#N/A</v>
      </c>
      <c r="BH74" s="136" t="e">
        <f>+IF(BE74&gt;0,+MAX((BH$4:BH73),+WORKDAY.INTL(BG74,+BE74/8,,CONGÉ!$C$2:$C$73)),"")</f>
        <v>#N/A</v>
      </c>
      <c r="BI74" s="136" t="e">
        <f t="shared" si="47"/>
        <v>#N/A</v>
      </c>
      <c r="BJ74" s="43" t="e">
        <f t="shared" si="41"/>
        <v>#N/A</v>
      </c>
      <c r="BK74" s="77">
        <f t="shared" ca="1" si="48"/>
        <v>45754</v>
      </c>
      <c r="BL74" s="78" t="e">
        <f>+(((AC74*POSTE!$H$5)+(CUM!AD74*POSTE!$H$4))/(POSTE!$H$4*POSTE!$H$5*2))</f>
        <v>#N/A</v>
      </c>
      <c r="BM74" s="90" t="e">
        <f ca="1">+WORKDAY.INTL(BK74,BL74,,CONGÉ!C$4:C$72)</f>
        <v>#N/A</v>
      </c>
      <c r="BN74" s="78" t="e">
        <f t="shared" ca="1" si="49"/>
        <v>#N/A</v>
      </c>
    </row>
    <row r="75" spans="1:66" x14ac:dyDescent="0.25">
      <c r="A75" s="49">
        <f t="shared" si="42"/>
        <v>71</v>
      </c>
      <c r="B75" s="185" cm="1">
        <f t="array" ref="B75">_xlfn.LET(_xlpm.CORR,IF(DATA!$B$4:$B$104="",IF(DATA!$A$4:$A$104="","--",DATA!$A$4:$A$104),DATA!$B$4:$B$104),_xlpm.Rx,SMALL(_xlpm.CORR,A75),IFERROR(MATCH(_xlpm.Rx,_xlpm.CORR,0),0))</f>
        <v>0</v>
      </c>
      <c r="C75" s="18" t="e">
        <f>+VLOOKUP($A75,DATA!$A:$AG,DATA!$E$3,FALSE)</f>
        <v>#N/A</v>
      </c>
      <c r="D75" s="18" t="e">
        <f>+VLOOKUP($A75,DATA!$A:$AG,DATA!$D$3,FALSE)</f>
        <v>#N/A</v>
      </c>
      <c r="E75" s="186" t="e">
        <f>+VLOOKUP($A75,DATA!$A:$AG,DATA!$G$3,FALSE)</f>
        <v>#N/A</v>
      </c>
      <c r="F75" s="19" t="e">
        <f>+VLOOKUP($A75,DATA!$A:$AG,DATA!$O$3,FALSE)</f>
        <v>#N/A</v>
      </c>
      <c r="G75" s="43" t="e">
        <f>+IF($F75="oui",+VLOOKUP($A75,DATA!$A:$AG,DATA!$P$3,FALSE),0)</f>
        <v>#N/A</v>
      </c>
      <c r="H75" s="44" t="e">
        <f>+IF($F75="oui",+VLOOKUP($A75,DATA!$A:$AG,DATA!$R$3,FALSE),0)</f>
        <v>#N/A</v>
      </c>
      <c r="I75" s="44" t="e">
        <f>+IF($F75="oui",+VLOOKUP($A75,DATA!$A:$AG,DATA!$T$3,FALSE),0)</f>
        <v>#N/A</v>
      </c>
      <c r="J75" s="44" t="e">
        <f>+IF($F75="oui",+VLOOKUP($A75,DATA!$A:$AG,DATA!$V$3,FALSE),0)</f>
        <v>#N/A</v>
      </c>
      <c r="K75" s="44" t="e">
        <f>+IF($F75="oui",+VLOOKUP($A75,DATA!$A:$AG,DATA!$X$3,FALSE),0)</f>
        <v>#N/A</v>
      </c>
      <c r="L75" s="44" t="e">
        <f>+IF($F75="oui",+VLOOKUP($A75,DATA!$A:$AG,DATA!$Z$3,FALSE),0)</f>
        <v>#N/A</v>
      </c>
      <c r="M75" s="44" t="e">
        <f>+IF($F75="oui",+VLOOKUP($A75,DATA!$A:$AG,DATA!$AB$3,FALSE),0)</f>
        <v>#N/A</v>
      </c>
      <c r="N75" s="44" t="e">
        <f>+IF($F75="oui",+VLOOKUP($A75,DATA!$A:$AG,DATA!$AD$3,FALSE),0)</f>
        <v>#N/A</v>
      </c>
      <c r="O75" s="45" t="e">
        <f>+IF($F75="oui",+VLOOKUP($A75,DATA!$A:$AG,DATA!$AF$3,FALSE),0)</f>
        <v>#N/A</v>
      </c>
      <c r="P75" s="116" t="e">
        <f t="shared" si="43"/>
        <v>#N/A</v>
      </c>
      <c r="Q75" s="21" t="e">
        <f>+IF($F75="oui",+VLOOKUP($A75,DATA!$A:$AG,DATA!$Q$3,FALSE),0)</f>
        <v>#N/A</v>
      </c>
      <c r="R75" s="22" t="e">
        <f>+IF($F75="oui",+VLOOKUP($A75,DATA!$A:$AG,DATA!$S$3,FALSE),0)</f>
        <v>#N/A</v>
      </c>
      <c r="S75" s="22" t="e">
        <f>+IF($F75="oui",+VLOOKUP($A75,DATA!$A:$AG,DATA!$U$3,FALSE),0)</f>
        <v>#N/A</v>
      </c>
      <c r="T75" s="22" t="e">
        <f>+IF($F75="oui",+VLOOKUP($A75,DATA!$A:$AG,DATA!$W$3,FALSE),0)</f>
        <v>#N/A</v>
      </c>
      <c r="U75" s="22" t="e">
        <f>+IF($F75="oui",+VLOOKUP($A75,DATA!$A:$AG,DATA!$Y$3,FALSE),0)</f>
        <v>#N/A</v>
      </c>
      <c r="V75" s="22" t="e">
        <f>+IF($F75="oui",+VLOOKUP($A75,DATA!$A:$AG,DATA!$AA$3,FALSE),0)</f>
        <v>#N/A</v>
      </c>
      <c r="W75" s="22" t="e">
        <f>+IF($F75="oui",+VLOOKUP($A75,DATA!$A:$AG,DATA!$AC$3,FALSE),0)</f>
        <v>#N/A</v>
      </c>
      <c r="X75" s="22" t="e">
        <f>+IF($F75="oui",+VLOOKUP($A75,DATA!$A:$AG,DATA!$AE$3,FALSE),0)</f>
        <v>#N/A</v>
      </c>
      <c r="Y75" s="23" t="e">
        <f>+IF($F75="oui",+VLOOKUP($A75,DATA!$A:$AG,DATA!$AG$3,FALSE),0)</f>
        <v>#N/A</v>
      </c>
      <c r="Z75" s="118" t="e">
        <f t="shared" si="31"/>
        <v>#N/A</v>
      </c>
      <c r="AA75" s="43" t="e">
        <f t="shared" si="32"/>
        <v>#N/A</v>
      </c>
      <c r="AB75" s="44" t="e">
        <f t="shared" si="33"/>
        <v>#N/A</v>
      </c>
      <c r="AC75" s="44" t="e">
        <f t="shared" si="34"/>
        <v>#N/A</v>
      </c>
      <c r="AD75" s="44" t="e">
        <f t="shared" si="35"/>
        <v>#N/A</v>
      </c>
      <c r="AE75" s="44" t="e">
        <f t="shared" si="36"/>
        <v>#N/A</v>
      </c>
      <c r="AF75" s="44" t="e">
        <f t="shared" si="37"/>
        <v>#N/A</v>
      </c>
      <c r="AG75" s="44" t="e">
        <f t="shared" si="38"/>
        <v>#N/A</v>
      </c>
      <c r="AH75" s="44" t="e">
        <f t="shared" si="39"/>
        <v>#N/A</v>
      </c>
      <c r="AI75" s="45" t="e">
        <f t="shared" si="40"/>
        <v>#N/A</v>
      </c>
      <c r="AJ75" s="70" t="e">
        <f>+IF(Q75=0," ",+WORKDAY.INTL(+VLOOKUP(AJ$1,POSTE!$B:$G,3,FALSE),+CUM!AA74/+VLOOKUP(AJ$1,POSTE!$B:$H,7,FALSE),,CONGÉ!$C$2:$C$80))</f>
        <v>#N/A</v>
      </c>
      <c r="AK75" s="50" t="e">
        <f>+IF(R75=0," ",+WORKDAY.INTL(+VLOOKUP(AK$1,POSTE!$B:$G,3,FALSE),+CUM!AB74/+VLOOKUP(AK$1,POSTE!$B:$H,7,FALSE),,CONGÉ!$C$2:$C$80))</f>
        <v>#N/A</v>
      </c>
      <c r="AL75" s="50" t="e">
        <f>+IF(S75=0," ",+WORKDAY.INTL(+VLOOKUP(AL$1,POSTE!$B:$G,3,FALSE),+CUM!AC74/+VLOOKUP(AL$1,POSTE!$B:$H,7,FALSE),,CONGÉ!$C$2:$C$80))</f>
        <v>#N/A</v>
      </c>
      <c r="AM75" s="50" t="e">
        <f>+IF(T75=0," ",+WORKDAY.INTL(+VLOOKUP(AM$1,POSTE!$B:$G,3,FALSE),+CUM!AD74/+VLOOKUP(AM$1,POSTE!$B:$H,7,FALSE),,CONGÉ!$C$2:$C$80))</f>
        <v>#N/A</v>
      </c>
      <c r="AN75" s="50" t="e">
        <f>+IF(U75=0," ",+WORKDAY.INTL(+VLOOKUP(AN$1,POSTE!$B:$G,3,FALSE),+CUM!AE74/+VLOOKUP(AN$1,POSTE!$B:$H,7,FALSE),,CONGÉ!$C$2:$C$80))</f>
        <v>#N/A</v>
      </c>
      <c r="AO75" s="50" t="e">
        <f>+IF(V75=0," ",+WORKDAY.INTL(+VLOOKUP(AO$1,POSTE!$B:$G,3,FALSE),+CUM!AF74/+VLOOKUP(AO$1,POSTE!$B:$H,7,FALSE),,CONGÉ!$C$2:$C$80))</f>
        <v>#N/A</v>
      </c>
      <c r="AP75" s="50" t="e">
        <f>+IF(W75=0," ",+WORKDAY.INTL(+VLOOKUP(AP$1,POSTE!$B:$G,3,FALSE),+CUM!AG74/+VLOOKUP(AP$1,POSTE!$B:$H,7,FALSE),,CONGÉ!$C$2:$C$80))</f>
        <v>#N/A</v>
      </c>
      <c r="AQ75" s="50" t="e">
        <f>+IF(X75=0," ",+WORKDAY.INTL(+VLOOKUP(AQ$1,POSTE!$B:$G,3,FALSE),+CUM!AH74/+VLOOKUP(AQ$1,POSTE!$B:$H,7,FALSE),,CONGÉ!$C$2:$C$80))</f>
        <v>#N/A</v>
      </c>
      <c r="AR75" s="71" t="e">
        <f>+IF(Y75=0," ",+WORKDAY.INTL(+VLOOKUP(AR$1,POSTE!$B:$G,3,FALSE),+CUM!AI74/+VLOOKUP(AR$1,POSTE!$B:$H,7,FALSE),,CONGÉ!$C$2:$C$80))</f>
        <v>#N/A</v>
      </c>
      <c r="AS75" s="72" t="e">
        <f>+IF(Q75=0," ",+WORKDAY.INTL(+VLOOKUP(AS$1,POSTE!$B:$G,3,FALSE),+CUM!AA75/+VLOOKUP(AS$1,POSTE!$B:$H,7,FALSE),,CONGÉ!$C$2:$C$80))</f>
        <v>#N/A</v>
      </c>
      <c r="AT75" s="73" t="e">
        <f>+IF(R75=0," ",+WORKDAY.INTL(+VLOOKUP(AT$1,POSTE!$B:$G,3,FALSE),+CUM!AB75/+VLOOKUP(AT$1,POSTE!$B:$H,7,FALSE),,CONGÉ!$C$2:$C$80))</f>
        <v>#N/A</v>
      </c>
      <c r="AU75" s="73" t="e">
        <f>+IF(AND(S75=0,T75=0)," ",+WORKDAY.INTL(+VLOOKUP($AS$1,POSTE!B:J,3,FALSE),+(((AC75*POSTE!$H$5)+(CUM!AD75*POSTE!$H$4))/(POSTE!$H$4*POSTE!$H$5*2)),,CONGÉ!$C$2:$C$80))</f>
        <v>#N/A</v>
      </c>
      <c r="AV75" s="73" t="e">
        <f>+IF(U75=0," ",+WORKDAY.INTL(+VLOOKUP(AV$1,POSTE!$B:$G,3,FALSE),+CUM!AE75/+VLOOKUP(AV$1,POSTE!$B:$H,7,FALSE),,CONGÉ!$C$2:$C$80))</f>
        <v>#N/A</v>
      </c>
      <c r="AW75" s="73" t="e">
        <f>+IF(V75=0," ",+WORKDAY.INTL(+VLOOKUP(AW$1,POSTE!$B:$G,3,FALSE),+CUM!AF75/+VLOOKUP(AW$1,POSTE!$B:$H,7,FALSE),,CONGÉ!$C$2:$C$80))</f>
        <v>#N/A</v>
      </c>
      <c r="AX75" s="73" t="e">
        <f>+IF(W75=0," ",+WORKDAY.INTL(+VLOOKUP(AX$1,POSTE!$B:$G,3,FALSE),+CUM!AG75/+VLOOKUP(AX$1,POSTE!$B:$H,7,FALSE),,CONGÉ!$C$2:$C$80))</f>
        <v>#N/A</v>
      </c>
      <c r="AY75" s="73" t="e">
        <f>+IF(X75=0," ",+WORKDAY.INTL(+VLOOKUP(AY$1,POSTE!$B:$G,3,FALSE),+CUM!AH75/+VLOOKUP(AY$1,POSTE!$B:$H,7,FALSE),,CONGÉ!$C$2:$C$80))</f>
        <v>#N/A</v>
      </c>
      <c r="AZ75" s="73" t="e">
        <f>+IF(Y75=0," ",+WORKDAY.INTL(+VLOOKUP(AZ$1,POSTE!$B:$G,3,FALSE),+CUM!AI75/+VLOOKUP(AZ$1,POSTE!$B:$H,7,FALSE),,CONGÉ!$C$2:$C$80))</f>
        <v>#N/A</v>
      </c>
      <c r="BA75" s="73" t="e">
        <f>+IF(S75=0," ",+WORKDAY.INTL(+VLOOKUP(BA$1,POSTE!$B:$G,3,FALSE),+CUM!AC75/+VLOOKUP(BA$1,POSTE!$B:$H,7,FALSE),,CONGÉ!$C$2:$C$80))</f>
        <v>#N/A</v>
      </c>
      <c r="BB75" s="73" t="e">
        <f>+IF(T75=0," ",+WORKDAY.INTL(+VLOOKUP(BB$1,POSTE!$B:$G,3,FALSE),+CUM!AD75/+VLOOKUP(BB$1,POSTE!$B:$H,7,FALSE),,CONGÉ!$C$2:$C$80))</f>
        <v>#N/A</v>
      </c>
      <c r="BC75" s="70" t="e">
        <f t="shared" si="44"/>
        <v>#N/A</v>
      </c>
      <c r="BD75" s="70" t="e">
        <f t="shared" si="45"/>
        <v>#N/A</v>
      </c>
      <c r="BE75" s="129" t="e">
        <f>+IF($F75="oui",+VLOOKUP($A75,DATA!$A:$AH,DATA!$AH$3,FALSE),0)</f>
        <v>#N/A</v>
      </c>
      <c r="BF75" s="129" t="e">
        <f t="shared" si="46"/>
        <v>#N/A</v>
      </c>
      <c r="BG75" s="136" t="e">
        <f>+IF(BE75&gt;0,+MAX((BH$4:BH74),BD75),"")</f>
        <v>#N/A</v>
      </c>
      <c r="BH75" s="136" t="e">
        <f>+IF(BE75&gt;0,+MAX((BH$4:BH74),+WORKDAY.INTL(BG75,+BE75/8,,CONGÉ!$C$2:$C$73)),"")</f>
        <v>#N/A</v>
      </c>
      <c r="BI75" s="136" t="e">
        <f t="shared" si="47"/>
        <v>#N/A</v>
      </c>
      <c r="BJ75" s="43" t="e">
        <f t="shared" si="41"/>
        <v>#N/A</v>
      </c>
      <c r="BK75" s="77">
        <f t="shared" ca="1" si="48"/>
        <v>45754</v>
      </c>
      <c r="BL75" s="78" t="e">
        <f>+(((AC75*POSTE!$H$5)+(CUM!AD75*POSTE!$H$4))/(POSTE!$H$4*POSTE!$H$5*2))</f>
        <v>#N/A</v>
      </c>
      <c r="BM75" s="90" t="e">
        <f ca="1">+WORKDAY.INTL(BK75,BL75,,CONGÉ!C$4:C$72)</f>
        <v>#N/A</v>
      </c>
      <c r="BN75" s="78" t="e">
        <f t="shared" ca="1" si="49"/>
        <v>#N/A</v>
      </c>
    </row>
    <row r="76" spans="1:66" x14ac:dyDescent="0.25">
      <c r="A76" s="49">
        <f t="shared" si="42"/>
        <v>72</v>
      </c>
      <c r="B76" s="185" cm="1">
        <f t="array" ref="B76">_xlfn.LET(_xlpm.CORR,IF(DATA!$B$4:$B$104="",IF(DATA!$A$4:$A$104="","--",DATA!$A$4:$A$104),DATA!$B$4:$B$104),_xlpm.Rx,SMALL(_xlpm.CORR,A76),IFERROR(MATCH(_xlpm.Rx,_xlpm.CORR,0),0))</f>
        <v>0</v>
      </c>
      <c r="C76" s="18" t="e">
        <f>+VLOOKUP($A76,DATA!$A:$AG,DATA!$E$3,FALSE)</f>
        <v>#N/A</v>
      </c>
      <c r="D76" s="18" t="e">
        <f>+VLOOKUP($A76,DATA!$A:$AG,DATA!$D$3,FALSE)</f>
        <v>#N/A</v>
      </c>
      <c r="E76" s="186" t="e">
        <f>+VLOOKUP($A76,DATA!$A:$AG,DATA!$G$3,FALSE)</f>
        <v>#N/A</v>
      </c>
      <c r="F76" s="19" t="e">
        <f>+VLOOKUP($A76,DATA!$A:$AG,DATA!$O$3,FALSE)</f>
        <v>#N/A</v>
      </c>
      <c r="G76" s="43" t="e">
        <f>+IF($F76="oui",+VLOOKUP($A76,DATA!$A:$AG,DATA!$P$3,FALSE),0)</f>
        <v>#N/A</v>
      </c>
      <c r="H76" s="44" t="e">
        <f>+IF($F76="oui",+VLOOKUP($A76,DATA!$A:$AG,DATA!$R$3,FALSE),0)</f>
        <v>#N/A</v>
      </c>
      <c r="I76" s="44" t="e">
        <f>+IF($F76="oui",+VLOOKUP($A76,DATA!$A:$AG,DATA!$T$3,FALSE),0)</f>
        <v>#N/A</v>
      </c>
      <c r="J76" s="44" t="e">
        <f>+IF($F76="oui",+VLOOKUP($A76,DATA!$A:$AG,DATA!$V$3,FALSE),0)</f>
        <v>#N/A</v>
      </c>
      <c r="K76" s="44" t="e">
        <f>+IF($F76="oui",+VLOOKUP($A76,DATA!$A:$AG,DATA!$X$3,FALSE),0)</f>
        <v>#N/A</v>
      </c>
      <c r="L76" s="44" t="e">
        <f>+IF($F76="oui",+VLOOKUP($A76,DATA!$A:$AG,DATA!$Z$3,FALSE),0)</f>
        <v>#N/A</v>
      </c>
      <c r="M76" s="44" t="e">
        <f>+IF($F76="oui",+VLOOKUP($A76,DATA!$A:$AG,DATA!$AB$3,FALSE),0)</f>
        <v>#N/A</v>
      </c>
      <c r="N76" s="44" t="e">
        <f>+IF($F76="oui",+VLOOKUP($A76,DATA!$A:$AG,DATA!$AD$3,FALSE),0)</f>
        <v>#N/A</v>
      </c>
      <c r="O76" s="45" t="e">
        <f>+IF($F76="oui",+VLOOKUP($A76,DATA!$A:$AG,DATA!$AF$3,FALSE),0)</f>
        <v>#N/A</v>
      </c>
      <c r="P76" s="116" t="e">
        <f t="shared" si="43"/>
        <v>#N/A</v>
      </c>
      <c r="Q76" s="21" t="e">
        <f>+IF($F76="oui",+VLOOKUP($A76,DATA!$A:$AG,DATA!$Q$3,FALSE),0)</f>
        <v>#N/A</v>
      </c>
      <c r="R76" s="22" t="e">
        <f>+IF($F76="oui",+VLOOKUP($A76,DATA!$A:$AG,DATA!$S$3,FALSE),0)</f>
        <v>#N/A</v>
      </c>
      <c r="S76" s="22" t="e">
        <f>+IF($F76="oui",+VLOOKUP($A76,DATA!$A:$AG,DATA!$U$3,FALSE),0)</f>
        <v>#N/A</v>
      </c>
      <c r="T76" s="22" t="e">
        <f>+IF($F76="oui",+VLOOKUP($A76,DATA!$A:$AG,DATA!$W$3,FALSE),0)</f>
        <v>#N/A</v>
      </c>
      <c r="U76" s="22" t="e">
        <f>+IF($F76="oui",+VLOOKUP($A76,DATA!$A:$AG,DATA!$Y$3,FALSE),0)</f>
        <v>#N/A</v>
      </c>
      <c r="V76" s="22" t="e">
        <f>+IF($F76="oui",+VLOOKUP($A76,DATA!$A:$AG,DATA!$AA$3,FALSE),0)</f>
        <v>#N/A</v>
      </c>
      <c r="W76" s="22" t="e">
        <f>+IF($F76="oui",+VLOOKUP($A76,DATA!$A:$AG,DATA!$AC$3,FALSE),0)</f>
        <v>#N/A</v>
      </c>
      <c r="X76" s="22" t="e">
        <f>+IF($F76="oui",+VLOOKUP($A76,DATA!$A:$AG,DATA!$AE$3,FALSE),0)</f>
        <v>#N/A</v>
      </c>
      <c r="Y76" s="23" t="e">
        <f>+IF($F76="oui",+VLOOKUP($A76,DATA!$A:$AG,DATA!$AG$3,FALSE),0)</f>
        <v>#N/A</v>
      </c>
      <c r="Z76" s="118" t="e">
        <f t="shared" si="31"/>
        <v>#N/A</v>
      </c>
      <c r="AA76" s="43" t="e">
        <f t="shared" si="32"/>
        <v>#N/A</v>
      </c>
      <c r="AB76" s="44" t="e">
        <f t="shared" si="33"/>
        <v>#N/A</v>
      </c>
      <c r="AC76" s="44" t="e">
        <f t="shared" si="34"/>
        <v>#N/A</v>
      </c>
      <c r="AD76" s="44" t="e">
        <f t="shared" si="35"/>
        <v>#N/A</v>
      </c>
      <c r="AE76" s="44" t="e">
        <f t="shared" si="36"/>
        <v>#N/A</v>
      </c>
      <c r="AF76" s="44" t="e">
        <f t="shared" si="37"/>
        <v>#N/A</v>
      </c>
      <c r="AG76" s="44" t="e">
        <f t="shared" si="38"/>
        <v>#N/A</v>
      </c>
      <c r="AH76" s="44" t="e">
        <f t="shared" si="39"/>
        <v>#N/A</v>
      </c>
      <c r="AI76" s="45" t="e">
        <f t="shared" si="40"/>
        <v>#N/A</v>
      </c>
      <c r="AJ76" s="70" t="e">
        <f>+IF(Q76=0," ",+WORKDAY.INTL(+VLOOKUP(AJ$1,POSTE!$B:$G,3,FALSE),+CUM!AA75/+VLOOKUP(AJ$1,POSTE!$B:$H,7,FALSE),,CONGÉ!$C$2:$C$80))</f>
        <v>#N/A</v>
      </c>
      <c r="AK76" s="50" t="e">
        <f>+IF(R76=0," ",+WORKDAY.INTL(+VLOOKUP(AK$1,POSTE!$B:$G,3,FALSE),+CUM!AB75/+VLOOKUP(AK$1,POSTE!$B:$H,7,FALSE),,CONGÉ!$C$2:$C$80))</f>
        <v>#N/A</v>
      </c>
      <c r="AL76" s="50" t="e">
        <f>+IF(S76=0," ",+WORKDAY.INTL(+VLOOKUP(AL$1,POSTE!$B:$G,3,FALSE),+CUM!AC75/+VLOOKUP(AL$1,POSTE!$B:$H,7,FALSE),,CONGÉ!$C$2:$C$80))</f>
        <v>#N/A</v>
      </c>
      <c r="AM76" s="50" t="e">
        <f>+IF(T76=0," ",+WORKDAY.INTL(+VLOOKUP(AM$1,POSTE!$B:$G,3,FALSE),+CUM!AD75/+VLOOKUP(AM$1,POSTE!$B:$H,7,FALSE),,CONGÉ!$C$2:$C$80))</f>
        <v>#N/A</v>
      </c>
      <c r="AN76" s="50" t="e">
        <f>+IF(U76=0," ",+WORKDAY.INTL(+VLOOKUP(AN$1,POSTE!$B:$G,3,FALSE),+CUM!AE75/+VLOOKUP(AN$1,POSTE!$B:$H,7,FALSE),,CONGÉ!$C$2:$C$80))</f>
        <v>#N/A</v>
      </c>
      <c r="AO76" s="50" t="e">
        <f>+IF(V76=0," ",+WORKDAY.INTL(+VLOOKUP(AO$1,POSTE!$B:$G,3,FALSE),+CUM!AF75/+VLOOKUP(AO$1,POSTE!$B:$H,7,FALSE),,CONGÉ!$C$2:$C$80))</f>
        <v>#N/A</v>
      </c>
      <c r="AP76" s="50" t="e">
        <f>+IF(W76=0," ",+WORKDAY.INTL(+VLOOKUP(AP$1,POSTE!$B:$G,3,FALSE),+CUM!AG75/+VLOOKUP(AP$1,POSTE!$B:$H,7,FALSE),,CONGÉ!$C$2:$C$80))</f>
        <v>#N/A</v>
      </c>
      <c r="AQ76" s="50" t="e">
        <f>+IF(X76=0," ",+WORKDAY.INTL(+VLOOKUP(AQ$1,POSTE!$B:$G,3,FALSE),+CUM!AH75/+VLOOKUP(AQ$1,POSTE!$B:$H,7,FALSE),,CONGÉ!$C$2:$C$80))</f>
        <v>#N/A</v>
      </c>
      <c r="AR76" s="71" t="e">
        <f>+IF(Y76=0," ",+WORKDAY.INTL(+VLOOKUP(AR$1,POSTE!$B:$G,3,FALSE),+CUM!AI75/+VLOOKUP(AR$1,POSTE!$B:$H,7,FALSE),,CONGÉ!$C$2:$C$80))</f>
        <v>#N/A</v>
      </c>
      <c r="AS76" s="72" t="e">
        <f>+IF(Q76=0," ",+WORKDAY.INTL(+VLOOKUP(AS$1,POSTE!$B:$G,3,FALSE),+CUM!AA76/+VLOOKUP(AS$1,POSTE!$B:$H,7,FALSE),,CONGÉ!$C$2:$C$80))</f>
        <v>#N/A</v>
      </c>
      <c r="AT76" s="73" t="e">
        <f>+IF(R76=0," ",+WORKDAY.INTL(+VLOOKUP(AT$1,POSTE!$B:$G,3,FALSE),+CUM!AB76/+VLOOKUP(AT$1,POSTE!$B:$H,7,FALSE),,CONGÉ!$C$2:$C$80))</f>
        <v>#N/A</v>
      </c>
      <c r="AU76" s="73" t="e">
        <f>+IF(AND(S76=0,T76=0)," ",+WORKDAY.INTL(+VLOOKUP($AS$1,POSTE!B:J,3,FALSE),+(((AC76*POSTE!$H$5)+(CUM!AD76*POSTE!$H$4))/(POSTE!$H$4*POSTE!$H$5*2)),,CONGÉ!$C$2:$C$80))</f>
        <v>#N/A</v>
      </c>
      <c r="AV76" s="73" t="e">
        <f>+IF(U76=0," ",+WORKDAY.INTL(+VLOOKUP(AV$1,POSTE!$B:$G,3,FALSE),+CUM!AE76/+VLOOKUP(AV$1,POSTE!$B:$H,7,FALSE),,CONGÉ!$C$2:$C$80))</f>
        <v>#N/A</v>
      </c>
      <c r="AW76" s="73" t="e">
        <f>+IF(V76=0," ",+WORKDAY.INTL(+VLOOKUP(AW$1,POSTE!$B:$G,3,FALSE),+CUM!AF76/+VLOOKUP(AW$1,POSTE!$B:$H,7,FALSE),,CONGÉ!$C$2:$C$80))</f>
        <v>#N/A</v>
      </c>
      <c r="AX76" s="73" t="e">
        <f>+IF(W76=0," ",+WORKDAY.INTL(+VLOOKUP(AX$1,POSTE!$B:$G,3,FALSE),+CUM!AG76/+VLOOKUP(AX$1,POSTE!$B:$H,7,FALSE),,CONGÉ!$C$2:$C$80))</f>
        <v>#N/A</v>
      </c>
      <c r="AY76" s="73" t="e">
        <f>+IF(X76=0," ",+WORKDAY.INTL(+VLOOKUP(AY$1,POSTE!$B:$G,3,FALSE),+CUM!AH76/+VLOOKUP(AY$1,POSTE!$B:$H,7,FALSE),,CONGÉ!$C$2:$C$80))</f>
        <v>#N/A</v>
      </c>
      <c r="AZ76" s="73" t="e">
        <f>+IF(Y76=0," ",+WORKDAY.INTL(+VLOOKUP(AZ$1,POSTE!$B:$G,3,FALSE),+CUM!AI76/+VLOOKUP(AZ$1,POSTE!$B:$H,7,FALSE),,CONGÉ!$C$2:$C$80))</f>
        <v>#N/A</v>
      </c>
      <c r="BA76" s="73" t="e">
        <f>+IF(S76=0," ",+WORKDAY.INTL(+VLOOKUP(BA$1,POSTE!$B:$G,3,FALSE),+CUM!AC76/+VLOOKUP(BA$1,POSTE!$B:$H,7,FALSE),,CONGÉ!$C$2:$C$80))</f>
        <v>#N/A</v>
      </c>
      <c r="BB76" s="73" t="e">
        <f>+IF(T76=0," ",+WORKDAY.INTL(+VLOOKUP(BB$1,POSTE!$B:$G,3,FALSE),+CUM!AD76/+VLOOKUP(BB$1,POSTE!$B:$H,7,FALSE),,CONGÉ!$C$2:$C$80))</f>
        <v>#N/A</v>
      </c>
      <c r="BC76" s="70" t="e">
        <f t="shared" si="44"/>
        <v>#N/A</v>
      </c>
      <c r="BD76" s="70" t="e">
        <f t="shared" si="45"/>
        <v>#N/A</v>
      </c>
      <c r="BE76" s="129" t="e">
        <f>+IF($F76="oui",+VLOOKUP($A76,DATA!$A:$AH,DATA!$AH$3,FALSE),0)</f>
        <v>#N/A</v>
      </c>
      <c r="BF76" s="129" t="e">
        <f t="shared" si="46"/>
        <v>#N/A</v>
      </c>
      <c r="BG76" s="136" t="e">
        <f>+IF(BE76&gt;0,+MAX((BH$4:BH75),BD76),"")</f>
        <v>#N/A</v>
      </c>
      <c r="BH76" s="136" t="e">
        <f>+IF(BE76&gt;0,+MAX((BH$4:BH75),+WORKDAY.INTL(BG76,+BE76/8,,CONGÉ!$C$2:$C$73)),"")</f>
        <v>#N/A</v>
      </c>
      <c r="BI76" s="136" t="e">
        <f t="shared" si="47"/>
        <v>#N/A</v>
      </c>
      <c r="BJ76" s="43" t="e">
        <f t="shared" si="41"/>
        <v>#N/A</v>
      </c>
      <c r="BK76" s="77">
        <f t="shared" ca="1" si="48"/>
        <v>45754</v>
      </c>
      <c r="BL76" s="78" t="e">
        <f>+(((AC76*POSTE!$H$5)+(CUM!AD76*POSTE!$H$4))/(POSTE!$H$4*POSTE!$H$5*2))</f>
        <v>#N/A</v>
      </c>
      <c r="BM76" s="90" t="e">
        <f ca="1">+WORKDAY.INTL(BK76,BL76,,CONGÉ!C$4:C$72)</f>
        <v>#N/A</v>
      </c>
      <c r="BN76" s="78" t="e">
        <f t="shared" ca="1" si="49"/>
        <v>#N/A</v>
      </c>
    </row>
    <row r="77" spans="1:66" x14ac:dyDescent="0.25">
      <c r="A77" s="49">
        <f t="shared" si="42"/>
        <v>73</v>
      </c>
      <c r="B77" s="185" cm="1">
        <f t="array" ref="B77">_xlfn.LET(_xlpm.CORR,IF(DATA!$B$4:$B$104="",IF(DATA!$A$4:$A$104="","--",DATA!$A$4:$A$104),DATA!$B$4:$B$104),_xlpm.Rx,SMALL(_xlpm.CORR,A77),IFERROR(MATCH(_xlpm.Rx,_xlpm.CORR,0),0))</f>
        <v>0</v>
      </c>
      <c r="C77" s="18" t="e">
        <f>+VLOOKUP($A77,DATA!$A:$AG,DATA!$E$3,FALSE)</f>
        <v>#N/A</v>
      </c>
      <c r="D77" s="18" t="e">
        <f>+VLOOKUP($A77,DATA!$A:$AG,DATA!$D$3,FALSE)</f>
        <v>#N/A</v>
      </c>
      <c r="E77" s="186" t="e">
        <f>+VLOOKUP($A77,DATA!$A:$AG,DATA!$G$3,FALSE)</f>
        <v>#N/A</v>
      </c>
      <c r="F77" s="19" t="e">
        <f>+VLOOKUP($A77,DATA!$A:$AG,DATA!$O$3,FALSE)</f>
        <v>#N/A</v>
      </c>
      <c r="G77" s="43" t="e">
        <f>+IF($F77="oui",+VLOOKUP($A77,DATA!$A:$AG,DATA!$P$3,FALSE),0)</f>
        <v>#N/A</v>
      </c>
      <c r="H77" s="44" t="e">
        <f>+IF($F77="oui",+VLOOKUP($A77,DATA!$A:$AG,DATA!$R$3,FALSE),0)</f>
        <v>#N/A</v>
      </c>
      <c r="I77" s="44" t="e">
        <f>+IF($F77="oui",+VLOOKUP($A77,DATA!$A:$AG,DATA!$T$3,FALSE),0)</f>
        <v>#N/A</v>
      </c>
      <c r="J77" s="44" t="e">
        <f>+IF($F77="oui",+VLOOKUP($A77,DATA!$A:$AG,DATA!$V$3,FALSE),0)</f>
        <v>#N/A</v>
      </c>
      <c r="K77" s="44" t="e">
        <f>+IF($F77="oui",+VLOOKUP($A77,DATA!$A:$AG,DATA!$X$3,FALSE),0)</f>
        <v>#N/A</v>
      </c>
      <c r="L77" s="44" t="e">
        <f>+IF($F77="oui",+VLOOKUP($A77,DATA!$A:$AG,DATA!$Z$3,FALSE),0)</f>
        <v>#N/A</v>
      </c>
      <c r="M77" s="44" t="e">
        <f>+IF($F77="oui",+VLOOKUP($A77,DATA!$A:$AG,DATA!$AB$3,FALSE),0)</f>
        <v>#N/A</v>
      </c>
      <c r="N77" s="44" t="e">
        <f>+IF($F77="oui",+VLOOKUP($A77,DATA!$A:$AG,DATA!$AD$3,FALSE),0)</f>
        <v>#N/A</v>
      </c>
      <c r="O77" s="45" t="e">
        <f>+IF($F77="oui",+VLOOKUP($A77,DATA!$A:$AG,DATA!$AF$3,FALSE),0)</f>
        <v>#N/A</v>
      </c>
      <c r="P77" s="116" t="e">
        <f t="shared" si="43"/>
        <v>#N/A</v>
      </c>
      <c r="Q77" s="21" t="e">
        <f>+IF($F77="oui",+VLOOKUP($A77,DATA!$A:$AG,DATA!$Q$3,FALSE),0)</f>
        <v>#N/A</v>
      </c>
      <c r="R77" s="22" t="e">
        <f>+IF($F77="oui",+VLOOKUP($A77,DATA!$A:$AG,DATA!$S$3,FALSE),0)</f>
        <v>#N/A</v>
      </c>
      <c r="S77" s="22" t="e">
        <f>+IF($F77="oui",+VLOOKUP($A77,DATA!$A:$AG,DATA!$U$3,FALSE),0)</f>
        <v>#N/A</v>
      </c>
      <c r="T77" s="22" t="e">
        <f>+IF($F77="oui",+VLOOKUP($A77,DATA!$A:$AG,DATA!$W$3,FALSE),0)</f>
        <v>#N/A</v>
      </c>
      <c r="U77" s="22" t="e">
        <f>+IF($F77="oui",+VLOOKUP($A77,DATA!$A:$AG,DATA!$Y$3,FALSE),0)</f>
        <v>#N/A</v>
      </c>
      <c r="V77" s="22" t="e">
        <f>+IF($F77="oui",+VLOOKUP($A77,DATA!$A:$AG,DATA!$AA$3,FALSE),0)</f>
        <v>#N/A</v>
      </c>
      <c r="W77" s="22" t="e">
        <f>+IF($F77="oui",+VLOOKUP($A77,DATA!$A:$AG,DATA!$AC$3,FALSE),0)</f>
        <v>#N/A</v>
      </c>
      <c r="X77" s="22" t="e">
        <f>+IF($F77="oui",+VLOOKUP($A77,DATA!$A:$AG,DATA!$AE$3,FALSE),0)</f>
        <v>#N/A</v>
      </c>
      <c r="Y77" s="23" t="e">
        <f>+IF($F77="oui",+VLOOKUP($A77,DATA!$A:$AG,DATA!$AG$3,FALSE),0)</f>
        <v>#N/A</v>
      </c>
      <c r="Z77" s="118" t="e">
        <f t="shared" si="31"/>
        <v>#N/A</v>
      </c>
      <c r="AA77" s="43" t="e">
        <f t="shared" si="32"/>
        <v>#N/A</v>
      </c>
      <c r="AB77" s="44" t="e">
        <f t="shared" si="33"/>
        <v>#N/A</v>
      </c>
      <c r="AC77" s="44" t="e">
        <f t="shared" si="34"/>
        <v>#N/A</v>
      </c>
      <c r="AD77" s="44" t="e">
        <f t="shared" si="35"/>
        <v>#N/A</v>
      </c>
      <c r="AE77" s="44" t="e">
        <f t="shared" si="36"/>
        <v>#N/A</v>
      </c>
      <c r="AF77" s="44" t="e">
        <f t="shared" si="37"/>
        <v>#N/A</v>
      </c>
      <c r="AG77" s="44" t="e">
        <f t="shared" si="38"/>
        <v>#N/A</v>
      </c>
      <c r="AH77" s="44" t="e">
        <f t="shared" si="39"/>
        <v>#N/A</v>
      </c>
      <c r="AI77" s="45" t="e">
        <f t="shared" si="40"/>
        <v>#N/A</v>
      </c>
      <c r="AJ77" s="70" t="e">
        <f>+IF(Q77=0," ",+WORKDAY.INTL(+VLOOKUP(AJ$1,POSTE!$B:$G,3,FALSE),+CUM!AA76/+VLOOKUP(AJ$1,POSTE!$B:$H,7,FALSE),,CONGÉ!$C$2:$C$80))</f>
        <v>#N/A</v>
      </c>
      <c r="AK77" s="50" t="e">
        <f>+IF(R77=0," ",+WORKDAY.INTL(+VLOOKUP(AK$1,POSTE!$B:$G,3,FALSE),+CUM!AB76/+VLOOKUP(AK$1,POSTE!$B:$H,7,FALSE),,CONGÉ!$C$2:$C$80))</f>
        <v>#N/A</v>
      </c>
      <c r="AL77" s="50" t="e">
        <f>+IF(S77=0," ",+WORKDAY.INTL(+VLOOKUP(AL$1,POSTE!$B:$G,3,FALSE),+CUM!AC76/+VLOOKUP(AL$1,POSTE!$B:$H,7,FALSE),,CONGÉ!$C$2:$C$80))</f>
        <v>#N/A</v>
      </c>
      <c r="AM77" s="50" t="e">
        <f>+IF(T77=0," ",+WORKDAY.INTL(+VLOOKUP(AM$1,POSTE!$B:$G,3,FALSE),+CUM!AD76/+VLOOKUP(AM$1,POSTE!$B:$H,7,FALSE),,CONGÉ!$C$2:$C$80))</f>
        <v>#N/A</v>
      </c>
      <c r="AN77" s="50" t="e">
        <f>+IF(U77=0," ",+WORKDAY.INTL(+VLOOKUP(AN$1,POSTE!$B:$G,3,FALSE),+CUM!AE76/+VLOOKUP(AN$1,POSTE!$B:$H,7,FALSE),,CONGÉ!$C$2:$C$80))</f>
        <v>#N/A</v>
      </c>
      <c r="AO77" s="50" t="e">
        <f>+IF(V77=0," ",+WORKDAY.INTL(+VLOOKUP(AO$1,POSTE!$B:$G,3,FALSE),+CUM!AF76/+VLOOKUP(AO$1,POSTE!$B:$H,7,FALSE),,CONGÉ!$C$2:$C$80))</f>
        <v>#N/A</v>
      </c>
      <c r="AP77" s="50" t="e">
        <f>+IF(W77=0," ",+WORKDAY.INTL(+VLOOKUP(AP$1,POSTE!$B:$G,3,FALSE),+CUM!AG76/+VLOOKUP(AP$1,POSTE!$B:$H,7,FALSE),,CONGÉ!$C$2:$C$80))</f>
        <v>#N/A</v>
      </c>
      <c r="AQ77" s="50" t="e">
        <f>+IF(X77=0," ",+WORKDAY.INTL(+VLOOKUP(AQ$1,POSTE!$B:$G,3,FALSE),+CUM!AH76/+VLOOKUP(AQ$1,POSTE!$B:$H,7,FALSE),,CONGÉ!$C$2:$C$80))</f>
        <v>#N/A</v>
      </c>
      <c r="AR77" s="71" t="e">
        <f>+IF(Y77=0," ",+WORKDAY.INTL(+VLOOKUP(AR$1,POSTE!$B:$G,3,FALSE),+CUM!AI76/+VLOOKUP(AR$1,POSTE!$B:$H,7,FALSE),,CONGÉ!$C$2:$C$80))</f>
        <v>#N/A</v>
      </c>
      <c r="AS77" s="72" t="e">
        <f>+IF(Q77=0," ",+WORKDAY.INTL(+VLOOKUP(AS$1,POSTE!$B:$G,3,FALSE),+CUM!AA77/+VLOOKUP(AS$1,POSTE!$B:$H,7,FALSE),,CONGÉ!$C$2:$C$80))</f>
        <v>#N/A</v>
      </c>
      <c r="AT77" s="73" t="e">
        <f>+IF(R77=0," ",+WORKDAY.INTL(+VLOOKUP(AT$1,POSTE!$B:$G,3,FALSE),+CUM!AB77/+VLOOKUP(AT$1,POSTE!$B:$H,7,FALSE),,CONGÉ!$C$2:$C$80))</f>
        <v>#N/A</v>
      </c>
      <c r="AU77" s="73" t="e">
        <f>+IF(AND(S77=0,T77=0)," ",+WORKDAY.INTL(+VLOOKUP($AS$1,POSTE!B:J,3,FALSE),+(((AC77*POSTE!$H$5)+(CUM!AD77*POSTE!$H$4))/(POSTE!$H$4*POSTE!$H$5*2)),,CONGÉ!$C$2:$C$80))</f>
        <v>#N/A</v>
      </c>
      <c r="AV77" s="73" t="e">
        <f>+IF(U77=0," ",+WORKDAY.INTL(+VLOOKUP(AV$1,POSTE!$B:$G,3,FALSE),+CUM!AE77/+VLOOKUP(AV$1,POSTE!$B:$H,7,FALSE),,CONGÉ!$C$2:$C$80))</f>
        <v>#N/A</v>
      </c>
      <c r="AW77" s="73" t="e">
        <f>+IF(V77=0," ",+WORKDAY.INTL(+VLOOKUP(AW$1,POSTE!$B:$G,3,FALSE),+CUM!AF77/+VLOOKUP(AW$1,POSTE!$B:$H,7,FALSE),,CONGÉ!$C$2:$C$80))</f>
        <v>#N/A</v>
      </c>
      <c r="AX77" s="73" t="e">
        <f>+IF(W77=0," ",+WORKDAY.INTL(+VLOOKUP(AX$1,POSTE!$B:$G,3,FALSE),+CUM!AG77/+VLOOKUP(AX$1,POSTE!$B:$H,7,FALSE),,CONGÉ!$C$2:$C$80))</f>
        <v>#N/A</v>
      </c>
      <c r="AY77" s="73" t="e">
        <f>+IF(X77=0," ",+WORKDAY.INTL(+VLOOKUP(AY$1,POSTE!$B:$G,3,FALSE),+CUM!AH77/+VLOOKUP(AY$1,POSTE!$B:$H,7,FALSE),,CONGÉ!$C$2:$C$80))</f>
        <v>#N/A</v>
      </c>
      <c r="AZ77" s="73" t="e">
        <f>+IF(Y77=0," ",+WORKDAY.INTL(+VLOOKUP(AZ$1,POSTE!$B:$G,3,FALSE),+CUM!AI77/+VLOOKUP(AZ$1,POSTE!$B:$H,7,FALSE),,CONGÉ!$C$2:$C$80))</f>
        <v>#N/A</v>
      </c>
      <c r="BA77" s="73" t="e">
        <f>+IF(S77=0," ",+WORKDAY.INTL(+VLOOKUP(BA$1,POSTE!$B:$G,3,FALSE),+CUM!AC77/+VLOOKUP(BA$1,POSTE!$B:$H,7,FALSE),,CONGÉ!$C$2:$C$80))</f>
        <v>#N/A</v>
      </c>
      <c r="BB77" s="73" t="e">
        <f>+IF(T77=0," ",+WORKDAY.INTL(+VLOOKUP(BB$1,POSTE!$B:$G,3,FALSE),+CUM!AD77/+VLOOKUP(BB$1,POSTE!$B:$H,7,FALSE),,CONGÉ!$C$2:$C$80))</f>
        <v>#N/A</v>
      </c>
      <c r="BC77" s="70" t="e">
        <f t="shared" si="44"/>
        <v>#N/A</v>
      </c>
      <c r="BD77" s="70" t="e">
        <f t="shared" si="45"/>
        <v>#N/A</v>
      </c>
      <c r="BE77" s="129" t="e">
        <f>+IF($F77="oui",+VLOOKUP($A77,DATA!$A:$AH,DATA!$AH$3,FALSE),0)</f>
        <v>#N/A</v>
      </c>
      <c r="BF77" s="129" t="e">
        <f t="shared" si="46"/>
        <v>#N/A</v>
      </c>
      <c r="BG77" s="136" t="e">
        <f>+IF(BE77&gt;0,+MAX((BH$4:BH76),BD77),"")</f>
        <v>#N/A</v>
      </c>
      <c r="BH77" s="136" t="e">
        <f>+IF(BE77&gt;0,+MAX((BH$4:BH76),+WORKDAY.INTL(BG77,+BE77/8,,CONGÉ!$C$2:$C$73)),"")</f>
        <v>#N/A</v>
      </c>
      <c r="BI77" s="136" t="e">
        <f t="shared" si="47"/>
        <v>#N/A</v>
      </c>
      <c r="BJ77" s="43" t="e">
        <f t="shared" si="41"/>
        <v>#N/A</v>
      </c>
      <c r="BK77" s="77">
        <f t="shared" ca="1" si="48"/>
        <v>45754</v>
      </c>
      <c r="BL77" s="78" t="e">
        <f>+(((AC77*POSTE!$H$5)+(CUM!AD77*POSTE!$H$4))/(POSTE!$H$4*POSTE!$H$5*2))</f>
        <v>#N/A</v>
      </c>
      <c r="BM77" s="90" t="e">
        <f ca="1">+WORKDAY.INTL(BK77,BL77,,CONGÉ!C$4:C$72)</f>
        <v>#N/A</v>
      </c>
      <c r="BN77" s="78" t="e">
        <f t="shared" ca="1" si="49"/>
        <v>#N/A</v>
      </c>
    </row>
    <row r="78" spans="1:66" x14ac:dyDescent="0.25">
      <c r="A78" s="49">
        <f t="shared" si="42"/>
        <v>74</v>
      </c>
      <c r="B78" s="185" cm="1">
        <f t="array" ref="B78">_xlfn.LET(_xlpm.CORR,IF(DATA!$B$4:$B$104="",IF(DATA!$A$4:$A$104="","--",DATA!$A$4:$A$104),DATA!$B$4:$B$104),_xlpm.Rx,SMALL(_xlpm.CORR,A78),IFERROR(MATCH(_xlpm.Rx,_xlpm.CORR,0),0))</f>
        <v>0</v>
      </c>
      <c r="C78" s="18" t="e">
        <f>+VLOOKUP($A78,DATA!$A:$AG,DATA!$E$3,FALSE)</f>
        <v>#N/A</v>
      </c>
      <c r="D78" s="18" t="e">
        <f>+VLOOKUP($A78,DATA!$A:$AG,DATA!$D$3,FALSE)</f>
        <v>#N/A</v>
      </c>
      <c r="E78" s="186" t="e">
        <f>+VLOOKUP($A78,DATA!$A:$AG,DATA!$G$3,FALSE)</f>
        <v>#N/A</v>
      </c>
      <c r="F78" s="19" t="e">
        <f>+VLOOKUP($A78,DATA!$A:$AG,DATA!$O$3,FALSE)</f>
        <v>#N/A</v>
      </c>
      <c r="G78" s="43" t="e">
        <f>+IF($F78="oui",+VLOOKUP($A78,DATA!$A:$AG,DATA!$P$3,FALSE),0)</f>
        <v>#N/A</v>
      </c>
      <c r="H78" s="44" t="e">
        <f>+IF($F78="oui",+VLOOKUP($A78,DATA!$A:$AG,DATA!$R$3,FALSE),0)</f>
        <v>#N/A</v>
      </c>
      <c r="I78" s="44" t="e">
        <f>+IF($F78="oui",+VLOOKUP($A78,DATA!$A:$AG,DATA!$T$3,FALSE),0)</f>
        <v>#N/A</v>
      </c>
      <c r="J78" s="44" t="e">
        <f>+IF($F78="oui",+VLOOKUP($A78,DATA!$A:$AG,DATA!$V$3,FALSE),0)</f>
        <v>#N/A</v>
      </c>
      <c r="K78" s="44" t="e">
        <f>+IF($F78="oui",+VLOOKUP($A78,DATA!$A:$AG,DATA!$X$3,FALSE),0)</f>
        <v>#N/A</v>
      </c>
      <c r="L78" s="44" t="e">
        <f>+IF($F78="oui",+VLOOKUP($A78,DATA!$A:$AG,DATA!$Z$3,FALSE),0)</f>
        <v>#N/A</v>
      </c>
      <c r="M78" s="44" t="e">
        <f>+IF($F78="oui",+VLOOKUP($A78,DATA!$A:$AG,DATA!$AB$3,FALSE),0)</f>
        <v>#N/A</v>
      </c>
      <c r="N78" s="44" t="e">
        <f>+IF($F78="oui",+VLOOKUP($A78,DATA!$A:$AG,DATA!$AD$3,FALSE),0)</f>
        <v>#N/A</v>
      </c>
      <c r="O78" s="45" t="e">
        <f>+IF($F78="oui",+VLOOKUP($A78,DATA!$A:$AG,DATA!$AF$3,FALSE),0)</f>
        <v>#N/A</v>
      </c>
      <c r="P78" s="116" t="e">
        <f t="shared" si="43"/>
        <v>#N/A</v>
      </c>
      <c r="Q78" s="21" t="e">
        <f>+IF($F78="oui",+VLOOKUP($A78,DATA!$A:$AG,DATA!$Q$3,FALSE),0)</f>
        <v>#N/A</v>
      </c>
      <c r="R78" s="22" t="e">
        <f>+IF($F78="oui",+VLOOKUP($A78,DATA!$A:$AG,DATA!$S$3,FALSE),0)</f>
        <v>#N/A</v>
      </c>
      <c r="S78" s="22" t="e">
        <f>+IF($F78="oui",+VLOOKUP($A78,DATA!$A:$AG,DATA!$U$3,FALSE),0)</f>
        <v>#N/A</v>
      </c>
      <c r="T78" s="22" t="e">
        <f>+IF($F78="oui",+VLOOKUP($A78,DATA!$A:$AG,DATA!$W$3,FALSE),0)</f>
        <v>#N/A</v>
      </c>
      <c r="U78" s="22" t="e">
        <f>+IF($F78="oui",+VLOOKUP($A78,DATA!$A:$AG,DATA!$Y$3,FALSE),0)</f>
        <v>#N/A</v>
      </c>
      <c r="V78" s="22" t="e">
        <f>+IF($F78="oui",+VLOOKUP($A78,DATA!$A:$AG,DATA!$AA$3,FALSE),0)</f>
        <v>#N/A</v>
      </c>
      <c r="W78" s="22" t="e">
        <f>+IF($F78="oui",+VLOOKUP($A78,DATA!$A:$AG,DATA!$AC$3,FALSE),0)</f>
        <v>#N/A</v>
      </c>
      <c r="X78" s="22" t="e">
        <f>+IF($F78="oui",+VLOOKUP($A78,DATA!$A:$AG,DATA!$AE$3,FALSE),0)</f>
        <v>#N/A</v>
      </c>
      <c r="Y78" s="23" t="e">
        <f>+IF($F78="oui",+VLOOKUP($A78,DATA!$A:$AG,DATA!$AG$3,FALSE),0)</f>
        <v>#N/A</v>
      </c>
      <c r="Z78" s="118" t="e">
        <f t="shared" si="31"/>
        <v>#N/A</v>
      </c>
      <c r="AA78" s="43" t="e">
        <f t="shared" si="32"/>
        <v>#N/A</v>
      </c>
      <c r="AB78" s="44" t="e">
        <f t="shared" si="33"/>
        <v>#N/A</v>
      </c>
      <c r="AC78" s="44" t="e">
        <f t="shared" si="34"/>
        <v>#N/A</v>
      </c>
      <c r="AD78" s="44" t="e">
        <f t="shared" si="35"/>
        <v>#N/A</v>
      </c>
      <c r="AE78" s="44" t="e">
        <f t="shared" si="36"/>
        <v>#N/A</v>
      </c>
      <c r="AF78" s="44" t="e">
        <f t="shared" si="37"/>
        <v>#N/A</v>
      </c>
      <c r="AG78" s="44" t="e">
        <f t="shared" si="38"/>
        <v>#N/A</v>
      </c>
      <c r="AH78" s="44" t="e">
        <f t="shared" si="39"/>
        <v>#N/A</v>
      </c>
      <c r="AI78" s="45" t="e">
        <f t="shared" si="40"/>
        <v>#N/A</v>
      </c>
      <c r="AJ78" s="70" t="e">
        <f>+IF(Q78=0," ",+WORKDAY.INTL(+VLOOKUP(AJ$1,POSTE!$B:$G,3,FALSE),+CUM!AA77/+VLOOKUP(AJ$1,POSTE!$B:$H,7,FALSE),,CONGÉ!$C$2:$C$80))</f>
        <v>#N/A</v>
      </c>
      <c r="AK78" s="50" t="e">
        <f>+IF(R78=0," ",+WORKDAY.INTL(+VLOOKUP(AK$1,POSTE!$B:$G,3,FALSE),+CUM!AB77/+VLOOKUP(AK$1,POSTE!$B:$H,7,FALSE),,CONGÉ!$C$2:$C$80))</f>
        <v>#N/A</v>
      </c>
      <c r="AL78" s="50" t="e">
        <f>+IF(S78=0," ",+WORKDAY.INTL(+VLOOKUP(AL$1,POSTE!$B:$G,3,FALSE),+CUM!AC77/+VLOOKUP(AL$1,POSTE!$B:$H,7,FALSE),,CONGÉ!$C$2:$C$80))</f>
        <v>#N/A</v>
      </c>
      <c r="AM78" s="50" t="e">
        <f>+IF(T78=0," ",+WORKDAY.INTL(+VLOOKUP(AM$1,POSTE!$B:$G,3,FALSE),+CUM!AD77/+VLOOKUP(AM$1,POSTE!$B:$H,7,FALSE),,CONGÉ!$C$2:$C$80))</f>
        <v>#N/A</v>
      </c>
      <c r="AN78" s="50" t="e">
        <f>+IF(U78=0," ",+WORKDAY.INTL(+VLOOKUP(AN$1,POSTE!$B:$G,3,FALSE),+CUM!AE77/+VLOOKUP(AN$1,POSTE!$B:$H,7,FALSE),,CONGÉ!$C$2:$C$80))</f>
        <v>#N/A</v>
      </c>
      <c r="AO78" s="50" t="e">
        <f>+IF(V78=0," ",+WORKDAY.INTL(+VLOOKUP(AO$1,POSTE!$B:$G,3,FALSE),+CUM!AF77/+VLOOKUP(AO$1,POSTE!$B:$H,7,FALSE),,CONGÉ!$C$2:$C$80))</f>
        <v>#N/A</v>
      </c>
      <c r="AP78" s="50" t="e">
        <f>+IF(W78=0," ",+WORKDAY.INTL(+VLOOKUP(AP$1,POSTE!$B:$G,3,FALSE),+CUM!AG77/+VLOOKUP(AP$1,POSTE!$B:$H,7,FALSE),,CONGÉ!$C$2:$C$80))</f>
        <v>#N/A</v>
      </c>
      <c r="AQ78" s="50" t="e">
        <f>+IF(X78=0," ",+WORKDAY.INTL(+VLOOKUP(AQ$1,POSTE!$B:$G,3,FALSE),+CUM!AH77/+VLOOKUP(AQ$1,POSTE!$B:$H,7,FALSE),,CONGÉ!$C$2:$C$80))</f>
        <v>#N/A</v>
      </c>
      <c r="AR78" s="71" t="e">
        <f>+IF(Y78=0," ",+WORKDAY.INTL(+VLOOKUP(AR$1,POSTE!$B:$G,3,FALSE),+CUM!AI77/+VLOOKUP(AR$1,POSTE!$B:$H,7,FALSE),,CONGÉ!$C$2:$C$80))</f>
        <v>#N/A</v>
      </c>
      <c r="AS78" s="72" t="e">
        <f>+IF(Q78=0," ",+WORKDAY.INTL(+VLOOKUP(AS$1,POSTE!$B:$G,3,FALSE),+CUM!AA78/+VLOOKUP(AS$1,POSTE!$B:$H,7,FALSE),,CONGÉ!$C$2:$C$80))</f>
        <v>#N/A</v>
      </c>
      <c r="AT78" s="73" t="e">
        <f>+IF(R78=0," ",+WORKDAY.INTL(+VLOOKUP(AT$1,POSTE!$B:$G,3,FALSE),+CUM!AB78/+VLOOKUP(AT$1,POSTE!$B:$H,7,FALSE),,CONGÉ!$C$2:$C$80))</f>
        <v>#N/A</v>
      </c>
      <c r="AU78" s="73" t="e">
        <f>+IF(AND(S78=0,T78=0)," ",+WORKDAY.INTL(+VLOOKUP($AS$1,POSTE!B:J,3,FALSE),+(((AC78*POSTE!$H$5)+(CUM!AD78*POSTE!$H$4))/(POSTE!$H$4*POSTE!$H$5*2)),,CONGÉ!$C$2:$C$80))</f>
        <v>#N/A</v>
      </c>
      <c r="AV78" s="73" t="e">
        <f>+IF(U78=0," ",+WORKDAY.INTL(+VLOOKUP(AV$1,POSTE!$B:$G,3,FALSE),+CUM!AE78/+VLOOKUP(AV$1,POSTE!$B:$H,7,FALSE),,CONGÉ!$C$2:$C$80))</f>
        <v>#N/A</v>
      </c>
      <c r="AW78" s="73" t="e">
        <f>+IF(V78=0," ",+WORKDAY.INTL(+VLOOKUP(AW$1,POSTE!$B:$G,3,FALSE),+CUM!AF78/+VLOOKUP(AW$1,POSTE!$B:$H,7,FALSE),,CONGÉ!$C$2:$C$80))</f>
        <v>#N/A</v>
      </c>
      <c r="AX78" s="73" t="e">
        <f>+IF(W78=0," ",+WORKDAY.INTL(+VLOOKUP(AX$1,POSTE!$B:$G,3,FALSE),+CUM!AG78/+VLOOKUP(AX$1,POSTE!$B:$H,7,FALSE),,CONGÉ!$C$2:$C$80))</f>
        <v>#N/A</v>
      </c>
      <c r="AY78" s="73" t="e">
        <f>+IF(X78=0," ",+WORKDAY.INTL(+VLOOKUP(AY$1,POSTE!$B:$G,3,FALSE),+CUM!AH78/+VLOOKUP(AY$1,POSTE!$B:$H,7,FALSE),,CONGÉ!$C$2:$C$80))</f>
        <v>#N/A</v>
      </c>
      <c r="AZ78" s="73" t="e">
        <f>+IF(Y78=0," ",+WORKDAY.INTL(+VLOOKUP(AZ$1,POSTE!$B:$G,3,FALSE),+CUM!AI78/+VLOOKUP(AZ$1,POSTE!$B:$H,7,FALSE),,CONGÉ!$C$2:$C$80))</f>
        <v>#N/A</v>
      </c>
      <c r="BA78" s="73" t="e">
        <f>+IF(S78=0," ",+WORKDAY.INTL(+VLOOKUP(BA$1,POSTE!$B:$G,3,FALSE),+CUM!AC78/+VLOOKUP(BA$1,POSTE!$B:$H,7,FALSE),,CONGÉ!$C$2:$C$80))</f>
        <v>#N/A</v>
      </c>
      <c r="BB78" s="73" t="e">
        <f>+IF(T78=0," ",+WORKDAY.INTL(+VLOOKUP(BB$1,POSTE!$B:$G,3,FALSE),+CUM!AD78/+VLOOKUP(BB$1,POSTE!$B:$H,7,FALSE),,CONGÉ!$C$2:$C$80))</f>
        <v>#N/A</v>
      </c>
      <c r="BC78" s="70" t="e">
        <f t="shared" si="44"/>
        <v>#N/A</v>
      </c>
      <c r="BD78" s="70" t="e">
        <f t="shared" si="45"/>
        <v>#N/A</v>
      </c>
      <c r="BE78" s="129" t="e">
        <f>+IF($F78="oui",+VLOOKUP($A78,DATA!$A:$AH,DATA!$AH$3,FALSE),0)</f>
        <v>#N/A</v>
      </c>
      <c r="BF78" s="129" t="e">
        <f t="shared" si="46"/>
        <v>#N/A</v>
      </c>
      <c r="BG78" s="136" t="e">
        <f>+IF(BE78&gt;0,+MAX((BH$4:BH77),BD78),"")</f>
        <v>#N/A</v>
      </c>
      <c r="BH78" s="136" t="e">
        <f>+IF(BE78&gt;0,+MAX((BH$4:BH77),+WORKDAY.INTL(BG78,+BE78/8,,CONGÉ!$C$2:$C$73)),"")</f>
        <v>#N/A</v>
      </c>
      <c r="BI78" s="136" t="e">
        <f t="shared" si="47"/>
        <v>#N/A</v>
      </c>
      <c r="BJ78" s="43" t="e">
        <f t="shared" si="41"/>
        <v>#N/A</v>
      </c>
      <c r="BK78" s="77">
        <f t="shared" ca="1" si="48"/>
        <v>45754</v>
      </c>
      <c r="BL78" s="78" t="e">
        <f>+(((AC78*POSTE!$H$5)+(CUM!AD78*POSTE!$H$4))/(POSTE!$H$4*POSTE!$H$5*2))</f>
        <v>#N/A</v>
      </c>
      <c r="BM78" s="90" t="e">
        <f ca="1">+WORKDAY.INTL(BK78,BL78,,CONGÉ!C$4:C$72)</f>
        <v>#N/A</v>
      </c>
      <c r="BN78" s="78" t="e">
        <f t="shared" ca="1" si="49"/>
        <v>#N/A</v>
      </c>
    </row>
    <row r="79" spans="1:66" x14ac:dyDescent="0.25">
      <c r="A79" s="49">
        <f t="shared" si="42"/>
        <v>75</v>
      </c>
      <c r="B79" s="185" cm="1">
        <f t="array" ref="B79">_xlfn.LET(_xlpm.CORR,IF(DATA!$B$4:$B$104="",IF(DATA!$A$4:$A$104="","--",DATA!$A$4:$A$104),DATA!$B$4:$B$104),_xlpm.Rx,SMALL(_xlpm.CORR,A79),IFERROR(MATCH(_xlpm.Rx,_xlpm.CORR,0),0))</f>
        <v>0</v>
      </c>
      <c r="C79" s="18" t="e">
        <f>+VLOOKUP($A79,DATA!$A:$AG,DATA!$E$3,FALSE)</f>
        <v>#N/A</v>
      </c>
      <c r="D79" s="18" t="e">
        <f>+VLOOKUP($A79,DATA!$A:$AG,DATA!$D$3,FALSE)</f>
        <v>#N/A</v>
      </c>
      <c r="E79" s="186" t="e">
        <f>+VLOOKUP($A79,DATA!$A:$AG,DATA!$G$3,FALSE)</f>
        <v>#N/A</v>
      </c>
      <c r="F79" s="19" t="e">
        <f>+VLOOKUP($A79,DATA!$A:$AG,DATA!$O$3,FALSE)</f>
        <v>#N/A</v>
      </c>
      <c r="G79" s="43" t="e">
        <f>+IF($F79="oui",+VLOOKUP($A79,DATA!$A:$AG,DATA!$P$3,FALSE),0)</f>
        <v>#N/A</v>
      </c>
      <c r="H79" s="44" t="e">
        <f>+IF($F79="oui",+VLOOKUP($A79,DATA!$A:$AG,DATA!$R$3,FALSE),0)</f>
        <v>#N/A</v>
      </c>
      <c r="I79" s="44" t="e">
        <f>+IF($F79="oui",+VLOOKUP($A79,DATA!$A:$AG,DATA!$T$3,FALSE),0)</f>
        <v>#N/A</v>
      </c>
      <c r="J79" s="44" t="e">
        <f>+IF($F79="oui",+VLOOKUP($A79,DATA!$A:$AG,DATA!$V$3,FALSE),0)</f>
        <v>#N/A</v>
      </c>
      <c r="K79" s="44" t="e">
        <f>+IF($F79="oui",+VLOOKUP($A79,DATA!$A:$AG,DATA!$X$3,FALSE),0)</f>
        <v>#N/A</v>
      </c>
      <c r="L79" s="44" t="e">
        <f>+IF($F79="oui",+VLOOKUP($A79,DATA!$A:$AG,DATA!$Z$3,FALSE),0)</f>
        <v>#N/A</v>
      </c>
      <c r="M79" s="44" t="e">
        <f>+IF($F79="oui",+VLOOKUP($A79,DATA!$A:$AG,DATA!$AB$3,FALSE),0)</f>
        <v>#N/A</v>
      </c>
      <c r="N79" s="44" t="e">
        <f>+IF($F79="oui",+VLOOKUP($A79,DATA!$A:$AG,DATA!$AD$3,FALSE),0)</f>
        <v>#N/A</v>
      </c>
      <c r="O79" s="45" t="e">
        <f>+IF($F79="oui",+VLOOKUP($A79,DATA!$A:$AG,DATA!$AF$3,FALSE),0)</f>
        <v>#N/A</v>
      </c>
      <c r="P79" s="116" t="e">
        <f t="shared" si="43"/>
        <v>#N/A</v>
      </c>
      <c r="Q79" s="21" t="e">
        <f>+IF($F79="oui",+VLOOKUP($A79,DATA!$A:$AG,DATA!$Q$3,FALSE),0)</f>
        <v>#N/A</v>
      </c>
      <c r="R79" s="22" t="e">
        <f>+IF($F79="oui",+VLOOKUP($A79,DATA!$A:$AG,DATA!$S$3,FALSE),0)</f>
        <v>#N/A</v>
      </c>
      <c r="S79" s="22" t="e">
        <f>+IF($F79="oui",+VLOOKUP($A79,DATA!$A:$AG,DATA!$U$3,FALSE),0)</f>
        <v>#N/A</v>
      </c>
      <c r="T79" s="22" t="e">
        <f>+IF($F79="oui",+VLOOKUP($A79,DATA!$A:$AG,DATA!$W$3,FALSE),0)</f>
        <v>#N/A</v>
      </c>
      <c r="U79" s="22" t="e">
        <f>+IF($F79="oui",+VLOOKUP($A79,DATA!$A:$AG,DATA!$Y$3,FALSE),0)</f>
        <v>#N/A</v>
      </c>
      <c r="V79" s="22" t="e">
        <f>+IF($F79="oui",+VLOOKUP($A79,DATA!$A:$AG,DATA!$AA$3,FALSE),0)</f>
        <v>#N/A</v>
      </c>
      <c r="W79" s="22" t="e">
        <f>+IF($F79="oui",+VLOOKUP($A79,DATA!$A:$AG,DATA!$AC$3,FALSE),0)</f>
        <v>#N/A</v>
      </c>
      <c r="X79" s="22" t="e">
        <f>+IF($F79="oui",+VLOOKUP($A79,DATA!$A:$AG,DATA!$AE$3,FALSE),0)</f>
        <v>#N/A</v>
      </c>
      <c r="Y79" s="23" t="e">
        <f>+IF($F79="oui",+VLOOKUP($A79,DATA!$A:$AG,DATA!$AG$3,FALSE),0)</f>
        <v>#N/A</v>
      </c>
      <c r="Z79" s="118" t="e">
        <f t="shared" si="31"/>
        <v>#N/A</v>
      </c>
      <c r="AA79" s="43" t="e">
        <f t="shared" si="32"/>
        <v>#N/A</v>
      </c>
      <c r="AB79" s="44" t="e">
        <f t="shared" si="33"/>
        <v>#N/A</v>
      </c>
      <c r="AC79" s="44" t="e">
        <f t="shared" si="34"/>
        <v>#N/A</v>
      </c>
      <c r="AD79" s="44" t="e">
        <f t="shared" si="35"/>
        <v>#N/A</v>
      </c>
      <c r="AE79" s="44" t="e">
        <f t="shared" si="36"/>
        <v>#N/A</v>
      </c>
      <c r="AF79" s="44" t="e">
        <f t="shared" si="37"/>
        <v>#N/A</v>
      </c>
      <c r="AG79" s="44" t="e">
        <f t="shared" si="38"/>
        <v>#N/A</v>
      </c>
      <c r="AH79" s="44" t="e">
        <f t="shared" si="39"/>
        <v>#N/A</v>
      </c>
      <c r="AI79" s="45" t="e">
        <f t="shared" si="40"/>
        <v>#N/A</v>
      </c>
      <c r="AJ79" s="70" t="e">
        <f>+IF(Q79=0," ",+WORKDAY.INTL(+VLOOKUP(AJ$1,POSTE!$B:$G,3,FALSE),+CUM!AA78/+VLOOKUP(AJ$1,POSTE!$B:$H,7,FALSE),,CONGÉ!$C$2:$C$80))</f>
        <v>#N/A</v>
      </c>
      <c r="AK79" s="50" t="e">
        <f>+IF(R79=0," ",+WORKDAY.INTL(+VLOOKUP(AK$1,POSTE!$B:$G,3,FALSE),+CUM!AB78/+VLOOKUP(AK$1,POSTE!$B:$H,7,FALSE),,CONGÉ!$C$2:$C$80))</f>
        <v>#N/A</v>
      </c>
      <c r="AL79" s="50" t="e">
        <f>+IF(S79=0," ",+WORKDAY.INTL(+VLOOKUP(AL$1,POSTE!$B:$G,3,FALSE),+CUM!AC78/+VLOOKUP(AL$1,POSTE!$B:$H,7,FALSE),,CONGÉ!$C$2:$C$80))</f>
        <v>#N/A</v>
      </c>
      <c r="AM79" s="50" t="e">
        <f>+IF(T79=0," ",+WORKDAY.INTL(+VLOOKUP(AM$1,POSTE!$B:$G,3,FALSE),+CUM!AD78/+VLOOKUP(AM$1,POSTE!$B:$H,7,FALSE),,CONGÉ!$C$2:$C$80))</f>
        <v>#N/A</v>
      </c>
      <c r="AN79" s="50" t="e">
        <f>+IF(U79=0," ",+WORKDAY.INTL(+VLOOKUP(AN$1,POSTE!$B:$G,3,FALSE),+CUM!AE78/+VLOOKUP(AN$1,POSTE!$B:$H,7,FALSE),,CONGÉ!$C$2:$C$80))</f>
        <v>#N/A</v>
      </c>
      <c r="AO79" s="50" t="e">
        <f>+IF(V79=0," ",+WORKDAY.INTL(+VLOOKUP(AO$1,POSTE!$B:$G,3,FALSE),+CUM!AF78/+VLOOKUP(AO$1,POSTE!$B:$H,7,FALSE),,CONGÉ!$C$2:$C$80))</f>
        <v>#N/A</v>
      </c>
      <c r="AP79" s="50" t="e">
        <f>+IF(W79=0," ",+WORKDAY.INTL(+VLOOKUP(AP$1,POSTE!$B:$G,3,FALSE),+CUM!AG78/+VLOOKUP(AP$1,POSTE!$B:$H,7,FALSE),,CONGÉ!$C$2:$C$80))</f>
        <v>#N/A</v>
      </c>
      <c r="AQ79" s="50" t="e">
        <f>+IF(X79=0," ",+WORKDAY.INTL(+VLOOKUP(AQ$1,POSTE!$B:$G,3,FALSE),+CUM!AH78/+VLOOKUP(AQ$1,POSTE!$B:$H,7,FALSE),,CONGÉ!$C$2:$C$80))</f>
        <v>#N/A</v>
      </c>
      <c r="AR79" s="71" t="e">
        <f>+IF(Y79=0," ",+WORKDAY.INTL(+VLOOKUP(AR$1,POSTE!$B:$G,3,FALSE),+CUM!AI78/+VLOOKUP(AR$1,POSTE!$B:$H,7,FALSE),,CONGÉ!$C$2:$C$80))</f>
        <v>#N/A</v>
      </c>
      <c r="AS79" s="72" t="e">
        <f>+IF(Q79=0," ",+WORKDAY.INTL(+VLOOKUP(AS$1,POSTE!$B:$G,3,FALSE),+CUM!AA79/+VLOOKUP(AS$1,POSTE!$B:$H,7,FALSE),,CONGÉ!$C$2:$C$80))</f>
        <v>#N/A</v>
      </c>
      <c r="AT79" s="73" t="e">
        <f>+IF(R79=0," ",+WORKDAY.INTL(+VLOOKUP(AT$1,POSTE!$B:$G,3,FALSE),+CUM!AB79/+VLOOKUP(AT$1,POSTE!$B:$H,7,FALSE),,CONGÉ!$C$2:$C$80))</f>
        <v>#N/A</v>
      </c>
      <c r="AU79" s="73" t="e">
        <f>+IF(AND(S79=0,T79=0)," ",+WORKDAY.INTL(+VLOOKUP($AS$1,POSTE!B:J,3,FALSE),+(((AC79*POSTE!$H$5)+(CUM!AD79*POSTE!$H$4))/(POSTE!$H$4*POSTE!$H$5*2)),,CONGÉ!$C$2:$C$80))</f>
        <v>#N/A</v>
      </c>
      <c r="AV79" s="73" t="e">
        <f>+IF(U79=0," ",+WORKDAY.INTL(+VLOOKUP(AV$1,POSTE!$B:$G,3,FALSE),+CUM!AE79/+VLOOKUP(AV$1,POSTE!$B:$H,7,FALSE),,CONGÉ!$C$2:$C$80))</f>
        <v>#N/A</v>
      </c>
      <c r="AW79" s="73" t="e">
        <f>+IF(V79=0," ",+WORKDAY.INTL(+VLOOKUP(AW$1,POSTE!$B:$G,3,FALSE),+CUM!AF79/+VLOOKUP(AW$1,POSTE!$B:$H,7,FALSE),,CONGÉ!$C$2:$C$80))</f>
        <v>#N/A</v>
      </c>
      <c r="AX79" s="73" t="e">
        <f>+IF(W79=0," ",+WORKDAY.INTL(+VLOOKUP(AX$1,POSTE!$B:$G,3,FALSE),+CUM!AG79/+VLOOKUP(AX$1,POSTE!$B:$H,7,FALSE),,CONGÉ!$C$2:$C$80))</f>
        <v>#N/A</v>
      </c>
      <c r="AY79" s="73" t="e">
        <f>+IF(X79=0," ",+WORKDAY.INTL(+VLOOKUP(AY$1,POSTE!$B:$G,3,FALSE),+CUM!AH79/+VLOOKUP(AY$1,POSTE!$B:$H,7,FALSE),,CONGÉ!$C$2:$C$80))</f>
        <v>#N/A</v>
      </c>
      <c r="AZ79" s="73" t="e">
        <f>+IF(Y79=0," ",+WORKDAY.INTL(+VLOOKUP(AZ$1,POSTE!$B:$G,3,FALSE),+CUM!AI79/+VLOOKUP(AZ$1,POSTE!$B:$H,7,FALSE),,CONGÉ!$C$2:$C$80))</f>
        <v>#N/A</v>
      </c>
      <c r="BA79" s="73" t="e">
        <f>+IF(S79=0," ",+WORKDAY.INTL(+VLOOKUP(BA$1,POSTE!$B:$G,3,FALSE),+CUM!AC79/+VLOOKUP(BA$1,POSTE!$B:$H,7,FALSE),,CONGÉ!$C$2:$C$80))</f>
        <v>#N/A</v>
      </c>
      <c r="BB79" s="73" t="e">
        <f>+IF(T79=0," ",+WORKDAY.INTL(+VLOOKUP(BB$1,POSTE!$B:$G,3,FALSE),+CUM!AD79/+VLOOKUP(BB$1,POSTE!$B:$H,7,FALSE),,CONGÉ!$C$2:$C$80))</f>
        <v>#N/A</v>
      </c>
      <c r="BC79" s="70" t="e">
        <f t="shared" si="44"/>
        <v>#N/A</v>
      </c>
      <c r="BD79" s="70" t="e">
        <f t="shared" si="45"/>
        <v>#N/A</v>
      </c>
      <c r="BE79" s="129" t="e">
        <f>+IF($F79="oui",+VLOOKUP($A79,DATA!$A:$AH,DATA!$AH$3,FALSE),0)</f>
        <v>#N/A</v>
      </c>
      <c r="BF79" s="129" t="e">
        <f t="shared" si="46"/>
        <v>#N/A</v>
      </c>
      <c r="BG79" s="136" t="e">
        <f>+IF(BE79&gt;0,+MAX((BH$4:BH78),BD79),"")</f>
        <v>#N/A</v>
      </c>
      <c r="BH79" s="136" t="e">
        <f>+IF(BE79&gt;0,+MAX((BH$4:BH78),+WORKDAY.INTL(BG79,+BE79/8,,CONGÉ!$C$2:$C$73)),"")</f>
        <v>#N/A</v>
      </c>
      <c r="BI79" s="136" t="e">
        <f t="shared" si="47"/>
        <v>#N/A</v>
      </c>
      <c r="BJ79" s="43" t="e">
        <f t="shared" si="41"/>
        <v>#N/A</v>
      </c>
      <c r="BK79" s="77">
        <f t="shared" ca="1" si="48"/>
        <v>45754</v>
      </c>
      <c r="BL79" s="78" t="e">
        <f>+(((AC79*POSTE!$H$5)+(CUM!AD79*POSTE!$H$4))/(POSTE!$H$4*POSTE!$H$5*2))</f>
        <v>#N/A</v>
      </c>
      <c r="BM79" s="90" t="e">
        <f ca="1">+WORKDAY.INTL(BK79,BL79,,CONGÉ!C$4:C$72)</f>
        <v>#N/A</v>
      </c>
      <c r="BN79" s="78" t="e">
        <f t="shared" ca="1" si="49"/>
        <v>#N/A</v>
      </c>
    </row>
    <row r="80" spans="1:66" x14ac:dyDescent="0.25">
      <c r="A80" s="49">
        <f t="shared" si="42"/>
        <v>76</v>
      </c>
      <c r="B80" s="185" cm="1">
        <f t="array" ref="B80">_xlfn.LET(_xlpm.CORR,IF(DATA!$B$4:$B$104="",IF(DATA!$A$4:$A$104="","--",DATA!$A$4:$A$104),DATA!$B$4:$B$104),_xlpm.Rx,SMALL(_xlpm.CORR,A80),IFERROR(MATCH(_xlpm.Rx,_xlpm.CORR,0),0))</f>
        <v>0</v>
      </c>
      <c r="C80" s="18" t="e">
        <f>+VLOOKUP($A80,DATA!$A:$AG,DATA!$E$3,FALSE)</f>
        <v>#N/A</v>
      </c>
      <c r="D80" s="18" t="e">
        <f>+VLOOKUP($A80,DATA!$A:$AG,DATA!$D$3,FALSE)</f>
        <v>#N/A</v>
      </c>
      <c r="E80" s="186" t="e">
        <f>+VLOOKUP($A80,DATA!$A:$AG,DATA!$G$3,FALSE)</f>
        <v>#N/A</v>
      </c>
      <c r="F80" s="19" t="e">
        <f>+VLOOKUP($A80,DATA!$A:$AG,DATA!$O$3,FALSE)</f>
        <v>#N/A</v>
      </c>
      <c r="G80" s="43" t="e">
        <f>+IF($F80="oui",+VLOOKUP($A80,DATA!$A:$AG,DATA!$P$3,FALSE),0)</f>
        <v>#N/A</v>
      </c>
      <c r="H80" s="44" t="e">
        <f>+IF($F80="oui",+VLOOKUP($A80,DATA!$A:$AG,DATA!$R$3,FALSE),0)</f>
        <v>#N/A</v>
      </c>
      <c r="I80" s="44" t="e">
        <f>+IF($F80="oui",+VLOOKUP($A80,DATA!$A:$AG,DATA!$T$3,FALSE),0)</f>
        <v>#N/A</v>
      </c>
      <c r="J80" s="44" t="e">
        <f>+IF($F80="oui",+VLOOKUP($A80,DATA!$A:$AG,DATA!$V$3,FALSE),0)</f>
        <v>#N/A</v>
      </c>
      <c r="K80" s="44" t="e">
        <f>+IF($F80="oui",+VLOOKUP($A80,DATA!$A:$AG,DATA!$X$3,FALSE),0)</f>
        <v>#N/A</v>
      </c>
      <c r="L80" s="44" t="e">
        <f>+IF($F80="oui",+VLOOKUP($A80,DATA!$A:$AG,DATA!$Z$3,FALSE),0)</f>
        <v>#N/A</v>
      </c>
      <c r="M80" s="44" t="e">
        <f>+IF($F80="oui",+VLOOKUP($A80,DATA!$A:$AG,DATA!$AB$3,FALSE),0)</f>
        <v>#N/A</v>
      </c>
      <c r="N80" s="44" t="e">
        <f>+IF($F80="oui",+VLOOKUP($A80,DATA!$A:$AG,DATA!$AD$3,FALSE),0)</f>
        <v>#N/A</v>
      </c>
      <c r="O80" s="45" t="e">
        <f>+IF($F80="oui",+VLOOKUP($A80,DATA!$A:$AG,DATA!$AF$3,FALSE),0)</f>
        <v>#N/A</v>
      </c>
      <c r="P80" s="116" t="e">
        <f t="shared" si="43"/>
        <v>#N/A</v>
      </c>
      <c r="Q80" s="21" t="e">
        <f>+IF($F80="oui",+VLOOKUP($A80,DATA!$A:$AG,DATA!$Q$3,FALSE),0)</f>
        <v>#N/A</v>
      </c>
      <c r="R80" s="22" t="e">
        <f>+IF($F80="oui",+VLOOKUP($A80,DATA!$A:$AG,DATA!$S$3,FALSE),0)</f>
        <v>#N/A</v>
      </c>
      <c r="S80" s="22" t="e">
        <f>+IF($F80="oui",+VLOOKUP($A80,DATA!$A:$AG,DATA!$U$3,FALSE),0)</f>
        <v>#N/A</v>
      </c>
      <c r="T80" s="22" t="e">
        <f>+IF($F80="oui",+VLOOKUP($A80,DATA!$A:$AG,DATA!$W$3,FALSE),0)</f>
        <v>#N/A</v>
      </c>
      <c r="U80" s="22" t="e">
        <f>+IF($F80="oui",+VLOOKUP($A80,DATA!$A:$AG,DATA!$Y$3,FALSE),0)</f>
        <v>#N/A</v>
      </c>
      <c r="V80" s="22" t="e">
        <f>+IF($F80="oui",+VLOOKUP($A80,DATA!$A:$AG,DATA!$AA$3,FALSE),0)</f>
        <v>#N/A</v>
      </c>
      <c r="W80" s="22" t="e">
        <f>+IF($F80="oui",+VLOOKUP($A80,DATA!$A:$AG,DATA!$AC$3,FALSE),0)</f>
        <v>#N/A</v>
      </c>
      <c r="X80" s="22" t="e">
        <f>+IF($F80="oui",+VLOOKUP($A80,DATA!$A:$AG,DATA!$AE$3,FALSE),0)</f>
        <v>#N/A</v>
      </c>
      <c r="Y80" s="23" t="e">
        <f>+IF($F80="oui",+VLOOKUP($A80,DATA!$A:$AG,DATA!$AG$3,FALSE),0)</f>
        <v>#N/A</v>
      </c>
      <c r="Z80" s="118" t="e">
        <f t="shared" si="31"/>
        <v>#N/A</v>
      </c>
      <c r="AA80" s="43" t="e">
        <f t="shared" si="32"/>
        <v>#N/A</v>
      </c>
      <c r="AB80" s="44" t="e">
        <f t="shared" si="33"/>
        <v>#N/A</v>
      </c>
      <c r="AC80" s="44" t="e">
        <f t="shared" si="34"/>
        <v>#N/A</v>
      </c>
      <c r="AD80" s="44" t="e">
        <f t="shared" si="35"/>
        <v>#N/A</v>
      </c>
      <c r="AE80" s="44" t="e">
        <f t="shared" si="36"/>
        <v>#N/A</v>
      </c>
      <c r="AF80" s="44" t="e">
        <f t="shared" si="37"/>
        <v>#N/A</v>
      </c>
      <c r="AG80" s="44" t="e">
        <f t="shared" si="38"/>
        <v>#N/A</v>
      </c>
      <c r="AH80" s="44" t="e">
        <f t="shared" si="39"/>
        <v>#N/A</v>
      </c>
      <c r="AI80" s="45" t="e">
        <f t="shared" si="40"/>
        <v>#N/A</v>
      </c>
      <c r="AJ80" s="70" t="e">
        <f>+IF(Q80=0," ",+WORKDAY.INTL(+VLOOKUP(AJ$1,POSTE!$B:$G,3,FALSE),+CUM!AA79/+VLOOKUP(AJ$1,POSTE!$B:$H,7,FALSE),,CONGÉ!$C$2:$C$80))</f>
        <v>#N/A</v>
      </c>
      <c r="AK80" s="50" t="e">
        <f>+IF(R80=0," ",+WORKDAY.INTL(+VLOOKUP(AK$1,POSTE!$B:$G,3,FALSE),+CUM!AB79/+VLOOKUP(AK$1,POSTE!$B:$H,7,FALSE),,CONGÉ!$C$2:$C$80))</f>
        <v>#N/A</v>
      </c>
      <c r="AL80" s="50" t="e">
        <f>+IF(S80=0," ",+WORKDAY.INTL(+VLOOKUP(AL$1,POSTE!$B:$G,3,FALSE),+CUM!AC79/+VLOOKUP(AL$1,POSTE!$B:$H,7,FALSE),,CONGÉ!$C$2:$C$80))</f>
        <v>#N/A</v>
      </c>
      <c r="AM80" s="50" t="e">
        <f>+IF(T80=0," ",+WORKDAY.INTL(+VLOOKUP(AM$1,POSTE!$B:$G,3,FALSE),+CUM!AD79/+VLOOKUP(AM$1,POSTE!$B:$H,7,FALSE),,CONGÉ!$C$2:$C$80))</f>
        <v>#N/A</v>
      </c>
      <c r="AN80" s="50" t="e">
        <f>+IF(U80=0," ",+WORKDAY.INTL(+VLOOKUP(AN$1,POSTE!$B:$G,3,FALSE),+CUM!AE79/+VLOOKUP(AN$1,POSTE!$B:$H,7,FALSE),,CONGÉ!$C$2:$C$80))</f>
        <v>#N/A</v>
      </c>
      <c r="AO80" s="50" t="e">
        <f>+IF(V80=0," ",+WORKDAY.INTL(+VLOOKUP(AO$1,POSTE!$B:$G,3,FALSE),+CUM!AF79/+VLOOKUP(AO$1,POSTE!$B:$H,7,FALSE),,CONGÉ!$C$2:$C$80))</f>
        <v>#N/A</v>
      </c>
      <c r="AP80" s="50" t="e">
        <f>+IF(W80=0," ",+WORKDAY.INTL(+VLOOKUP(AP$1,POSTE!$B:$G,3,FALSE),+CUM!AG79/+VLOOKUP(AP$1,POSTE!$B:$H,7,FALSE),,CONGÉ!$C$2:$C$80))</f>
        <v>#N/A</v>
      </c>
      <c r="AQ80" s="50" t="e">
        <f>+IF(X80=0," ",+WORKDAY.INTL(+VLOOKUP(AQ$1,POSTE!$B:$G,3,FALSE),+CUM!AH79/+VLOOKUP(AQ$1,POSTE!$B:$H,7,FALSE),,CONGÉ!$C$2:$C$80))</f>
        <v>#N/A</v>
      </c>
      <c r="AR80" s="71" t="e">
        <f>+IF(Y80=0," ",+WORKDAY.INTL(+VLOOKUP(AR$1,POSTE!$B:$G,3,FALSE),+CUM!AI79/+VLOOKUP(AR$1,POSTE!$B:$H,7,FALSE),,CONGÉ!$C$2:$C$80))</f>
        <v>#N/A</v>
      </c>
      <c r="AS80" s="72" t="e">
        <f>+IF(Q80=0," ",+WORKDAY.INTL(+VLOOKUP(AS$1,POSTE!$B:$G,3,FALSE),+CUM!AA80/+VLOOKUP(AS$1,POSTE!$B:$H,7,FALSE),,CONGÉ!$C$2:$C$80))</f>
        <v>#N/A</v>
      </c>
      <c r="AT80" s="73" t="e">
        <f>+IF(R80=0," ",+WORKDAY.INTL(+VLOOKUP(AT$1,POSTE!$B:$G,3,FALSE),+CUM!AB80/+VLOOKUP(AT$1,POSTE!$B:$H,7,FALSE),,CONGÉ!$C$2:$C$80))</f>
        <v>#N/A</v>
      </c>
      <c r="AU80" s="73" t="e">
        <f>+IF(AND(S80=0,T80=0)," ",+WORKDAY.INTL(+VLOOKUP($AS$1,POSTE!B:J,3,FALSE),+(((AC80*POSTE!$H$5)+(CUM!AD80*POSTE!$H$4))/(POSTE!$H$4*POSTE!$H$5*2)),,CONGÉ!$C$2:$C$80))</f>
        <v>#N/A</v>
      </c>
      <c r="AV80" s="73" t="e">
        <f>+IF(U80=0," ",+WORKDAY.INTL(+VLOOKUP(AV$1,POSTE!$B:$G,3,FALSE),+CUM!AE80/+VLOOKUP(AV$1,POSTE!$B:$H,7,FALSE),,CONGÉ!$C$2:$C$80))</f>
        <v>#N/A</v>
      </c>
      <c r="AW80" s="73" t="e">
        <f>+IF(V80=0," ",+WORKDAY.INTL(+VLOOKUP(AW$1,POSTE!$B:$G,3,FALSE),+CUM!AF80/+VLOOKUP(AW$1,POSTE!$B:$H,7,FALSE),,CONGÉ!$C$2:$C$80))</f>
        <v>#N/A</v>
      </c>
      <c r="AX80" s="73" t="e">
        <f>+IF(W80=0," ",+WORKDAY.INTL(+VLOOKUP(AX$1,POSTE!$B:$G,3,FALSE),+CUM!AG80/+VLOOKUP(AX$1,POSTE!$B:$H,7,FALSE),,CONGÉ!$C$2:$C$80))</f>
        <v>#N/A</v>
      </c>
      <c r="AY80" s="73" t="e">
        <f>+IF(X80=0," ",+WORKDAY.INTL(+VLOOKUP(AY$1,POSTE!$B:$G,3,FALSE),+CUM!AH80/+VLOOKUP(AY$1,POSTE!$B:$H,7,FALSE),,CONGÉ!$C$2:$C$80))</f>
        <v>#N/A</v>
      </c>
      <c r="AZ80" s="73" t="e">
        <f>+IF(Y80=0," ",+WORKDAY.INTL(+VLOOKUP(AZ$1,POSTE!$B:$G,3,FALSE),+CUM!AI80/+VLOOKUP(AZ$1,POSTE!$B:$H,7,FALSE),,CONGÉ!$C$2:$C$80))</f>
        <v>#N/A</v>
      </c>
      <c r="BA80" s="73" t="e">
        <f>+IF(S80=0," ",+WORKDAY.INTL(+VLOOKUP(BA$1,POSTE!$B:$G,3,FALSE),+CUM!AC80/+VLOOKUP(BA$1,POSTE!$B:$H,7,FALSE),,CONGÉ!$C$2:$C$80))</f>
        <v>#N/A</v>
      </c>
      <c r="BB80" s="73" t="e">
        <f>+IF(T80=0," ",+WORKDAY.INTL(+VLOOKUP(BB$1,POSTE!$B:$G,3,FALSE),+CUM!AD80/+VLOOKUP(BB$1,POSTE!$B:$H,7,FALSE),,CONGÉ!$C$2:$C$80))</f>
        <v>#N/A</v>
      </c>
      <c r="BC80" s="70" t="e">
        <f t="shared" si="44"/>
        <v>#N/A</v>
      </c>
      <c r="BD80" s="70" t="e">
        <f t="shared" si="45"/>
        <v>#N/A</v>
      </c>
      <c r="BE80" s="129" t="e">
        <f>+IF($F80="oui",+VLOOKUP($A80,DATA!$A:$AH,DATA!$AH$3,FALSE),0)</f>
        <v>#N/A</v>
      </c>
      <c r="BF80" s="129" t="e">
        <f t="shared" si="46"/>
        <v>#N/A</v>
      </c>
      <c r="BG80" s="136" t="e">
        <f>+IF(BE80&gt;0,+MAX((BH$4:BH79),BD80),"")</f>
        <v>#N/A</v>
      </c>
      <c r="BH80" s="136" t="e">
        <f>+IF(BE80&gt;0,+MAX((BH$4:BH79),+WORKDAY.INTL(BG80,+BE80/8,,CONGÉ!$C$2:$C$73)),"")</f>
        <v>#N/A</v>
      </c>
      <c r="BI80" s="136" t="e">
        <f t="shared" si="47"/>
        <v>#N/A</v>
      </c>
      <c r="BJ80" s="43" t="e">
        <f t="shared" si="41"/>
        <v>#N/A</v>
      </c>
      <c r="BK80" s="77">
        <f t="shared" ca="1" si="48"/>
        <v>45754</v>
      </c>
      <c r="BL80" s="78" t="e">
        <f>+(((AC80*POSTE!$H$5)+(CUM!AD80*POSTE!$H$4))/(POSTE!$H$4*POSTE!$H$5*2))</f>
        <v>#N/A</v>
      </c>
      <c r="BM80" s="90" t="e">
        <f ca="1">+WORKDAY.INTL(BK80,BL80,,CONGÉ!C$4:C$72)</f>
        <v>#N/A</v>
      </c>
      <c r="BN80" s="78" t="e">
        <f t="shared" ca="1" si="49"/>
        <v>#N/A</v>
      </c>
    </row>
    <row r="81" spans="1:66" x14ac:dyDescent="0.25">
      <c r="A81" s="49">
        <f t="shared" si="42"/>
        <v>77</v>
      </c>
      <c r="B81" s="185" cm="1">
        <f t="array" ref="B81">_xlfn.LET(_xlpm.CORR,IF(DATA!$B$4:$B$104="",IF(DATA!$A$4:$A$104="","--",DATA!$A$4:$A$104),DATA!$B$4:$B$104),_xlpm.Rx,SMALL(_xlpm.CORR,A81),IFERROR(MATCH(_xlpm.Rx,_xlpm.CORR,0),0))</f>
        <v>0</v>
      </c>
      <c r="C81" s="18" t="e">
        <f>+VLOOKUP($A81,DATA!$A:$AG,DATA!$E$3,FALSE)</f>
        <v>#N/A</v>
      </c>
      <c r="D81" s="18" t="e">
        <f>+VLOOKUP($A81,DATA!$A:$AG,DATA!$D$3,FALSE)</f>
        <v>#N/A</v>
      </c>
      <c r="E81" s="186" t="e">
        <f>+VLOOKUP($A81,DATA!$A:$AG,DATA!$G$3,FALSE)</f>
        <v>#N/A</v>
      </c>
      <c r="F81" s="19" t="e">
        <f>+VLOOKUP($A81,DATA!$A:$AG,DATA!$O$3,FALSE)</f>
        <v>#N/A</v>
      </c>
      <c r="G81" s="43" t="e">
        <f>+IF($F81="oui",+VLOOKUP($A81,DATA!$A:$AG,DATA!$P$3,FALSE),0)</f>
        <v>#N/A</v>
      </c>
      <c r="H81" s="44" t="e">
        <f>+IF($F81="oui",+VLOOKUP($A81,DATA!$A:$AG,DATA!$R$3,FALSE),0)</f>
        <v>#N/A</v>
      </c>
      <c r="I81" s="44" t="e">
        <f>+IF($F81="oui",+VLOOKUP($A81,DATA!$A:$AG,DATA!$T$3,FALSE),0)</f>
        <v>#N/A</v>
      </c>
      <c r="J81" s="44" t="e">
        <f>+IF($F81="oui",+VLOOKUP($A81,DATA!$A:$AG,DATA!$V$3,FALSE),0)</f>
        <v>#N/A</v>
      </c>
      <c r="K81" s="44" t="e">
        <f>+IF($F81="oui",+VLOOKUP($A81,DATA!$A:$AG,DATA!$X$3,FALSE),0)</f>
        <v>#N/A</v>
      </c>
      <c r="L81" s="44" t="e">
        <f>+IF($F81="oui",+VLOOKUP($A81,DATA!$A:$AG,DATA!$Z$3,FALSE),0)</f>
        <v>#N/A</v>
      </c>
      <c r="M81" s="44" t="e">
        <f>+IF($F81="oui",+VLOOKUP($A81,DATA!$A:$AG,DATA!$AB$3,FALSE),0)</f>
        <v>#N/A</v>
      </c>
      <c r="N81" s="44" t="e">
        <f>+IF($F81="oui",+VLOOKUP($A81,DATA!$A:$AG,DATA!$AD$3,FALSE),0)</f>
        <v>#N/A</v>
      </c>
      <c r="O81" s="45" t="e">
        <f>+IF($F81="oui",+VLOOKUP($A81,DATA!$A:$AG,DATA!$AF$3,FALSE),0)</f>
        <v>#N/A</v>
      </c>
      <c r="P81" s="116" t="e">
        <f t="shared" si="43"/>
        <v>#N/A</v>
      </c>
      <c r="Q81" s="21" t="e">
        <f>+IF($F81="oui",+VLOOKUP($A81,DATA!$A:$AG,DATA!$Q$3,FALSE),0)</f>
        <v>#N/A</v>
      </c>
      <c r="R81" s="22" t="e">
        <f>+IF($F81="oui",+VLOOKUP($A81,DATA!$A:$AG,DATA!$S$3,FALSE),0)</f>
        <v>#N/A</v>
      </c>
      <c r="S81" s="22" t="e">
        <f>+IF($F81="oui",+VLOOKUP($A81,DATA!$A:$AG,DATA!$U$3,FALSE),0)</f>
        <v>#N/A</v>
      </c>
      <c r="T81" s="22" t="e">
        <f>+IF($F81="oui",+VLOOKUP($A81,DATA!$A:$AG,DATA!$W$3,FALSE),0)</f>
        <v>#N/A</v>
      </c>
      <c r="U81" s="22" t="e">
        <f>+IF($F81="oui",+VLOOKUP($A81,DATA!$A:$AG,DATA!$Y$3,FALSE),0)</f>
        <v>#N/A</v>
      </c>
      <c r="V81" s="22" t="e">
        <f>+IF($F81="oui",+VLOOKUP($A81,DATA!$A:$AG,DATA!$AA$3,FALSE),0)</f>
        <v>#N/A</v>
      </c>
      <c r="W81" s="22" t="e">
        <f>+IF($F81="oui",+VLOOKUP($A81,DATA!$A:$AG,DATA!$AC$3,FALSE),0)</f>
        <v>#N/A</v>
      </c>
      <c r="X81" s="22" t="e">
        <f>+IF($F81="oui",+VLOOKUP($A81,DATA!$A:$AG,DATA!$AE$3,FALSE),0)</f>
        <v>#N/A</v>
      </c>
      <c r="Y81" s="23" t="e">
        <f>+IF($F81="oui",+VLOOKUP($A81,DATA!$A:$AG,DATA!$AG$3,FALSE),0)</f>
        <v>#N/A</v>
      </c>
      <c r="Z81" s="118" t="e">
        <f t="shared" si="31"/>
        <v>#N/A</v>
      </c>
      <c r="AA81" s="43" t="e">
        <f t="shared" si="32"/>
        <v>#N/A</v>
      </c>
      <c r="AB81" s="44" t="e">
        <f t="shared" si="33"/>
        <v>#N/A</v>
      </c>
      <c r="AC81" s="44" t="e">
        <f t="shared" si="34"/>
        <v>#N/A</v>
      </c>
      <c r="AD81" s="44" t="e">
        <f t="shared" si="35"/>
        <v>#N/A</v>
      </c>
      <c r="AE81" s="44" t="e">
        <f t="shared" si="36"/>
        <v>#N/A</v>
      </c>
      <c r="AF81" s="44" t="e">
        <f t="shared" si="37"/>
        <v>#N/A</v>
      </c>
      <c r="AG81" s="44" t="e">
        <f t="shared" si="38"/>
        <v>#N/A</v>
      </c>
      <c r="AH81" s="44" t="e">
        <f t="shared" si="39"/>
        <v>#N/A</v>
      </c>
      <c r="AI81" s="45" t="e">
        <f t="shared" si="40"/>
        <v>#N/A</v>
      </c>
      <c r="AJ81" s="70" t="e">
        <f>+IF(Q81=0," ",+WORKDAY.INTL(+VLOOKUP(AJ$1,POSTE!$B:$G,3,FALSE),+CUM!AA80/+VLOOKUP(AJ$1,POSTE!$B:$H,7,FALSE),,CONGÉ!$C$2:$C$80))</f>
        <v>#N/A</v>
      </c>
      <c r="AK81" s="50" t="e">
        <f>+IF(R81=0," ",+WORKDAY.INTL(+VLOOKUP(AK$1,POSTE!$B:$G,3,FALSE),+CUM!AB80/+VLOOKUP(AK$1,POSTE!$B:$H,7,FALSE),,CONGÉ!$C$2:$C$80))</f>
        <v>#N/A</v>
      </c>
      <c r="AL81" s="50" t="e">
        <f>+IF(S81=0," ",+WORKDAY.INTL(+VLOOKUP(AL$1,POSTE!$B:$G,3,FALSE),+CUM!AC80/+VLOOKUP(AL$1,POSTE!$B:$H,7,FALSE),,CONGÉ!$C$2:$C$80))</f>
        <v>#N/A</v>
      </c>
      <c r="AM81" s="50" t="e">
        <f>+IF(T81=0," ",+WORKDAY.INTL(+VLOOKUP(AM$1,POSTE!$B:$G,3,FALSE),+CUM!AD80/+VLOOKUP(AM$1,POSTE!$B:$H,7,FALSE),,CONGÉ!$C$2:$C$80))</f>
        <v>#N/A</v>
      </c>
      <c r="AN81" s="50" t="e">
        <f>+IF(U81=0," ",+WORKDAY.INTL(+VLOOKUP(AN$1,POSTE!$B:$G,3,FALSE),+CUM!AE80/+VLOOKUP(AN$1,POSTE!$B:$H,7,FALSE),,CONGÉ!$C$2:$C$80))</f>
        <v>#N/A</v>
      </c>
      <c r="AO81" s="50" t="e">
        <f>+IF(V81=0," ",+WORKDAY.INTL(+VLOOKUP(AO$1,POSTE!$B:$G,3,FALSE),+CUM!AF80/+VLOOKUP(AO$1,POSTE!$B:$H,7,FALSE),,CONGÉ!$C$2:$C$80))</f>
        <v>#N/A</v>
      </c>
      <c r="AP81" s="50" t="e">
        <f>+IF(W81=0," ",+WORKDAY.INTL(+VLOOKUP(AP$1,POSTE!$B:$G,3,FALSE),+CUM!AG80/+VLOOKUP(AP$1,POSTE!$B:$H,7,FALSE),,CONGÉ!$C$2:$C$80))</f>
        <v>#N/A</v>
      </c>
      <c r="AQ81" s="50" t="e">
        <f>+IF(X81=0," ",+WORKDAY.INTL(+VLOOKUP(AQ$1,POSTE!$B:$G,3,FALSE),+CUM!AH80/+VLOOKUP(AQ$1,POSTE!$B:$H,7,FALSE),,CONGÉ!$C$2:$C$80))</f>
        <v>#N/A</v>
      </c>
      <c r="AR81" s="71" t="e">
        <f>+IF(Y81=0," ",+WORKDAY.INTL(+VLOOKUP(AR$1,POSTE!$B:$G,3,FALSE),+CUM!AI80/+VLOOKUP(AR$1,POSTE!$B:$H,7,FALSE),,CONGÉ!$C$2:$C$80))</f>
        <v>#N/A</v>
      </c>
      <c r="AS81" s="72" t="e">
        <f>+IF(Q81=0," ",+WORKDAY.INTL(+VLOOKUP(AS$1,POSTE!$B:$G,3,FALSE),+CUM!AA81/+VLOOKUP(AS$1,POSTE!$B:$H,7,FALSE),,CONGÉ!$C$2:$C$80))</f>
        <v>#N/A</v>
      </c>
      <c r="AT81" s="73" t="e">
        <f>+IF(R81=0," ",+WORKDAY.INTL(+VLOOKUP(AT$1,POSTE!$B:$G,3,FALSE),+CUM!AB81/+VLOOKUP(AT$1,POSTE!$B:$H,7,FALSE),,CONGÉ!$C$2:$C$80))</f>
        <v>#N/A</v>
      </c>
      <c r="AU81" s="73" t="e">
        <f>+IF(AND(S81=0,T81=0)," ",+WORKDAY.INTL(+VLOOKUP($AS$1,POSTE!B:J,3,FALSE),+(((AC81*POSTE!$H$5)+(CUM!AD81*POSTE!$H$4))/(POSTE!$H$4*POSTE!$H$5*2)),,CONGÉ!$C$2:$C$80))</f>
        <v>#N/A</v>
      </c>
      <c r="AV81" s="73" t="e">
        <f>+IF(U81=0," ",+WORKDAY.INTL(+VLOOKUP(AV$1,POSTE!$B:$G,3,FALSE),+CUM!AE81/+VLOOKUP(AV$1,POSTE!$B:$H,7,FALSE),,CONGÉ!$C$2:$C$80))</f>
        <v>#N/A</v>
      </c>
      <c r="AW81" s="73" t="e">
        <f>+IF(V81=0," ",+WORKDAY.INTL(+VLOOKUP(AW$1,POSTE!$B:$G,3,FALSE),+CUM!AF81/+VLOOKUP(AW$1,POSTE!$B:$H,7,FALSE),,CONGÉ!$C$2:$C$80))</f>
        <v>#N/A</v>
      </c>
      <c r="AX81" s="73" t="e">
        <f>+IF(W81=0," ",+WORKDAY.INTL(+VLOOKUP(AX$1,POSTE!$B:$G,3,FALSE),+CUM!AG81/+VLOOKUP(AX$1,POSTE!$B:$H,7,FALSE),,CONGÉ!$C$2:$C$80))</f>
        <v>#N/A</v>
      </c>
      <c r="AY81" s="73" t="e">
        <f>+IF(X81=0," ",+WORKDAY.INTL(+VLOOKUP(AY$1,POSTE!$B:$G,3,FALSE),+CUM!AH81/+VLOOKUP(AY$1,POSTE!$B:$H,7,FALSE),,CONGÉ!$C$2:$C$80))</f>
        <v>#N/A</v>
      </c>
      <c r="AZ81" s="73" t="e">
        <f>+IF(Y81=0," ",+WORKDAY.INTL(+VLOOKUP(AZ$1,POSTE!$B:$G,3,FALSE),+CUM!AI81/+VLOOKUP(AZ$1,POSTE!$B:$H,7,FALSE),,CONGÉ!$C$2:$C$80))</f>
        <v>#N/A</v>
      </c>
      <c r="BA81" s="73" t="e">
        <f>+IF(S81=0," ",+WORKDAY.INTL(+VLOOKUP(BA$1,POSTE!$B:$G,3,FALSE),+CUM!AC81/+VLOOKUP(BA$1,POSTE!$B:$H,7,FALSE),,CONGÉ!$C$2:$C$80))</f>
        <v>#N/A</v>
      </c>
      <c r="BB81" s="73" t="e">
        <f>+IF(T81=0," ",+WORKDAY.INTL(+VLOOKUP(BB$1,POSTE!$B:$G,3,FALSE),+CUM!AD81/+VLOOKUP(BB$1,POSTE!$B:$H,7,FALSE),,CONGÉ!$C$2:$C$80))</f>
        <v>#N/A</v>
      </c>
      <c r="BC81" s="70" t="e">
        <f t="shared" si="44"/>
        <v>#N/A</v>
      </c>
      <c r="BD81" s="70" t="e">
        <f t="shared" si="45"/>
        <v>#N/A</v>
      </c>
      <c r="BE81" s="129" t="e">
        <f>+IF($F81="oui",+VLOOKUP($A81,DATA!$A:$AH,DATA!$AH$3,FALSE),0)</f>
        <v>#N/A</v>
      </c>
      <c r="BF81" s="129" t="e">
        <f t="shared" si="46"/>
        <v>#N/A</v>
      </c>
      <c r="BG81" s="136" t="e">
        <f>+IF(BE81&gt;0,+MAX((BH$4:BH80),BD81),"")</f>
        <v>#N/A</v>
      </c>
      <c r="BH81" s="136" t="e">
        <f>+IF(BE81&gt;0,+MAX((BH$4:BH80),+WORKDAY.INTL(BG81,+BE81/8,,CONGÉ!$C$2:$C$73)),"")</f>
        <v>#N/A</v>
      </c>
      <c r="BI81" s="136" t="e">
        <f t="shared" si="47"/>
        <v>#N/A</v>
      </c>
      <c r="BJ81" s="43" t="e">
        <f t="shared" si="41"/>
        <v>#N/A</v>
      </c>
      <c r="BK81" s="77">
        <f t="shared" ca="1" si="48"/>
        <v>45754</v>
      </c>
      <c r="BL81" s="78" t="e">
        <f>+(((AC81*POSTE!$H$5)+(CUM!AD81*POSTE!$H$4))/(POSTE!$H$4*POSTE!$H$5*2))</f>
        <v>#N/A</v>
      </c>
      <c r="BM81" s="90" t="e">
        <f ca="1">+WORKDAY.INTL(BK81,BL81,,CONGÉ!C$4:C$72)</f>
        <v>#N/A</v>
      </c>
      <c r="BN81" s="78" t="e">
        <f t="shared" ca="1" si="49"/>
        <v>#N/A</v>
      </c>
    </row>
    <row r="82" spans="1:66" x14ac:dyDescent="0.25">
      <c r="A82" s="49">
        <f t="shared" si="42"/>
        <v>78</v>
      </c>
      <c r="B82" s="185" cm="1">
        <f t="array" ref="B82">_xlfn.LET(_xlpm.CORR,IF(DATA!$B$4:$B$104="",IF(DATA!$A$4:$A$104="","--",DATA!$A$4:$A$104),DATA!$B$4:$B$104),_xlpm.Rx,SMALL(_xlpm.CORR,A82),IFERROR(MATCH(_xlpm.Rx,_xlpm.CORR,0),0))</f>
        <v>0</v>
      </c>
      <c r="C82" s="18" t="e">
        <f>+VLOOKUP($A82,DATA!$A:$AG,DATA!$E$3,FALSE)</f>
        <v>#N/A</v>
      </c>
      <c r="D82" s="18" t="e">
        <f>+VLOOKUP($A82,DATA!$A:$AG,DATA!$D$3,FALSE)</f>
        <v>#N/A</v>
      </c>
      <c r="E82" s="186" t="e">
        <f>+VLOOKUP($A82,DATA!$A:$AG,DATA!$G$3,FALSE)</f>
        <v>#N/A</v>
      </c>
      <c r="F82" s="19" t="e">
        <f>+VLOOKUP($A82,DATA!$A:$AG,DATA!$O$3,FALSE)</f>
        <v>#N/A</v>
      </c>
      <c r="G82" s="43" t="e">
        <f>+IF($F82="oui",+VLOOKUP($A82,DATA!$A:$AG,DATA!$P$3,FALSE),0)</f>
        <v>#N/A</v>
      </c>
      <c r="H82" s="44" t="e">
        <f>+IF($F82="oui",+VLOOKUP($A82,DATA!$A:$AG,DATA!$R$3,FALSE),0)</f>
        <v>#N/A</v>
      </c>
      <c r="I82" s="44" t="e">
        <f>+IF($F82="oui",+VLOOKUP($A82,DATA!$A:$AG,DATA!$T$3,FALSE),0)</f>
        <v>#N/A</v>
      </c>
      <c r="J82" s="44" t="e">
        <f>+IF($F82="oui",+VLOOKUP($A82,DATA!$A:$AG,DATA!$V$3,FALSE),0)</f>
        <v>#N/A</v>
      </c>
      <c r="K82" s="44" t="e">
        <f>+IF($F82="oui",+VLOOKUP($A82,DATA!$A:$AG,DATA!$X$3,FALSE),0)</f>
        <v>#N/A</v>
      </c>
      <c r="L82" s="44" t="e">
        <f>+IF($F82="oui",+VLOOKUP($A82,DATA!$A:$AG,DATA!$Z$3,FALSE),0)</f>
        <v>#N/A</v>
      </c>
      <c r="M82" s="44" t="e">
        <f>+IF($F82="oui",+VLOOKUP($A82,DATA!$A:$AG,DATA!$AB$3,FALSE),0)</f>
        <v>#N/A</v>
      </c>
      <c r="N82" s="44" t="e">
        <f>+IF($F82="oui",+VLOOKUP($A82,DATA!$A:$AG,DATA!$AD$3,FALSE),0)</f>
        <v>#N/A</v>
      </c>
      <c r="O82" s="45" t="e">
        <f>+IF($F82="oui",+VLOOKUP($A82,DATA!$A:$AG,DATA!$AF$3,FALSE),0)</f>
        <v>#N/A</v>
      </c>
      <c r="P82" s="116" t="e">
        <f t="shared" si="43"/>
        <v>#N/A</v>
      </c>
      <c r="Q82" s="21" t="e">
        <f>+IF($F82="oui",+VLOOKUP($A82,DATA!$A:$AG,DATA!$Q$3,FALSE),0)</f>
        <v>#N/A</v>
      </c>
      <c r="R82" s="22" t="e">
        <f>+IF($F82="oui",+VLOOKUP($A82,DATA!$A:$AG,DATA!$S$3,FALSE),0)</f>
        <v>#N/A</v>
      </c>
      <c r="S82" s="22" t="e">
        <f>+IF($F82="oui",+VLOOKUP($A82,DATA!$A:$AG,DATA!$U$3,FALSE),0)</f>
        <v>#N/A</v>
      </c>
      <c r="T82" s="22" t="e">
        <f>+IF($F82="oui",+VLOOKUP($A82,DATA!$A:$AG,DATA!$W$3,FALSE),0)</f>
        <v>#N/A</v>
      </c>
      <c r="U82" s="22" t="e">
        <f>+IF($F82="oui",+VLOOKUP($A82,DATA!$A:$AG,DATA!$Y$3,FALSE),0)</f>
        <v>#N/A</v>
      </c>
      <c r="V82" s="22" t="e">
        <f>+IF($F82="oui",+VLOOKUP($A82,DATA!$A:$AG,DATA!$AA$3,FALSE),0)</f>
        <v>#N/A</v>
      </c>
      <c r="W82" s="22" t="e">
        <f>+IF($F82="oui",+VLOOKUP($A82,DATA!$A:$AG,DATA!$AC$3,FALSE),0)</f>
        <v>#N/A</v>
      </c>
      <c r="X82" s="22" t="e">
        <f>+IF($F82="oui",+VLOOKUP($A82,DATA!$A:$AG,DATA!$AE$3,FALSE),0)</f>
        <v>#N/A</v>
      </c>
      <c r="Y82" s="23" t="e">
        <f>+IF($F82="oui",+VLOOKUP($A82,DATA!$A:$AG,DATA!$AG$3,FALSE),0)</f>
        <v>#N/A</v>
      </c>
      <c r="Z82" s="118" t="e">
        <f t="shared" si="31"/>
        <v>#N/A</v>
      </c>
      <c r="AA82" s="43" t="e">
        <f t="shared" si="32"/>
        <v>#N/A</v>
      </c>
      <c r="AB82" s="44" t="e">
        <f t="shared" si="33"/>
        <v>#N/A</v>
      </c>
      <c r="AC82" s="44" t="e">
        <f t="shared" si="34"/>
        <v>#N/A</v>
      </c>
      <c r="AD82" s="44" t="e">
        <f t="shared" si="35"/>
        <v>#N/A</v>
      </c>
      <c r="AE82" s="44" t="e">
        <f t="shared" si="36"/>
        <v>#N/A</v>
      </c>
      <c r="AF82" s="44" t="e">
        <f t="shared" si="37"/>
        <v>#N/A</v>
      </c>
      <c r="AG82" s="44" t="e">
        <f t="shared" si="38"/>
        <v>#N/A</v>
      </c>
      <c r="AH82" s="44" t="e">
        <f t="shared" si="39"/>
        <v>#N/A</v>
      </c>
      <c r="AI82" s="45" t="e">
        <f t="shared" si="40"/>
        <v>#N/A</v>
      </c>
      <c r="AJ82" s="70" t="e">
        <f>+IF(Q82=0," ",+WORKDAY.INTL(+VLOOKUP(AJ$1,POSTE!$B:$G,3,FALSE),+CUM!AA81/+VLOOKUP(AJ$1,POSTE!$B:$H,7,FALSE),,CONGÉ!$C$2:$C$80))</f>
        <v>#N/A</v>
      </c>
      <c r="AK82" s="50" t="e">
        <f>+IF(R82=0," ",+WORKDAY.INTL(+VLOOKUP(AK$1,POSTE!$B:$G,3,FALSE),+CUM!AB81/+VLOOKUP(AK$1,POSTE!$B:$H,7,FALSE),,CONGÉ!$C$2:$C$80))</f>
        <v>#N/A</v>
      </c>
      <c r="AL82" s="50" t="e">
        <f>+IF(S82=0," ",+WORKDAY.INTL(+VLOOKUP(AL$1,POSTE!$B:$G,3,FALSE),+CUM!AC81/+VLOOKUP(AL$1,POSTE!$B:$H,7,FALSE),,CONGÉ!$C$2:$C$80))</f>
        <v>#N/A</v>
      </c>
      <c r="AM82" s="50" t="e">
        <f>+IF(T82=0," ",+WORKDAY.INTL(+VLOOKUP(AM$1,POSTE!$B:$G,3,FALSE),+CUM!AD81/+VLOOKUP(AM$1,POSTE!$B:$H,7,FALSE),,CONGÉ!$C$2:$C$80))</f>
        <v>#N/A</v>
      </c>
      <c r="AN82" s="50" t="e">
        <f>+IF(U82=0," ",+WORKDAY.INTL(+VLOOKUP(AN$1,POSTE!$B:$G,3,FALSE),+CUM!AE81/+VLOOKUP(AN$1,POSTE!$B:$H,7,FALSE),,CONGÉ!$C$2:$C$80))</f>
        <v>#N/A</v>
      </c>
      <c r="AO82" s="50" t="e">
        <f>+IF(V82=0," ",+WORKDAY.INTL(+VLOOKUP(AO$1,POSTE!$B:$G,3,FALSE),+CUM!AF81/+VLOOKUP(AO$1,POSTE!$B:$H,7,FALSE),,CONGÉ!$C$2:$C$80))</f>
        <v>#N/A</v>
      </c>
      <c r="AP82" s="50" t="e">
        <f>+IF(W82=0," ",+WORKDAY.INTL(+VLOOKUP(AP$1,POSTE!$B:$G,3,FALSE),+CUM!AG81/+VLOOKUP(AP$1,POSTE!$B:$H,7,FALSE),,CONGÉ!$C$2:$C$80))</f>
        <v>#N/A</v>
      </c>
      <c r="AQ82" s="50" t="e">
        <f>+IF(X82=0," ",+WORKDAY.INTL(+VLOOKUP(AQ$1,POSTE!$B:$G,3,FALSE),+CUM!AH81/+VLOOKUP(AQ$1,POSTE!$B:$H,7,FALSE),,CONGÉ!$C$2:$C$80))</f>
        <v>#N/A</v>
      </c>
      <c r="AR82" s="71" t="e">
        <f>+IF(Y82=0," ",+WORKDAY.INTL(+VLOOKUP(AR$1,POSTE!$B:$G,3,FALSE),+CUM!AI81/+VLOOKUP(AR$1,POSTE!$B:$H,7,FALSE),,CONGÉ!$C$2:$C$80))</f>
        <v>#N/A</v>
      </c>
      <c r="AS82" s="72" t="e">
        <f>+IF(Q82=0," ",+WORKDAY.INTL(+VLOOKUP(AS$1,POSTE!$B:$G,3,FALSE),+CUM!AA82/+VLOOKUP(AS$1,POSTE!$B:$H,7,FALSE),,CONGÉ!$C$2:$C$80))</f>
        <v>#N/A</v>
      </c>
      <c r="AT82" s="73" t="e">
        <f>+IF(R82=0," ",+WORKDAY.INTL(+VLOOKUP(AT$1,POSTE!$B:$G,3,FALSE),+CUM!AB82/+VLOOKUP(AT$1,POSTE!$B:$H,7,FALSE),,CONGÉ!$C$2:$C$80))</f>
        <v>#N/A</v>
      </c>
      <c r="AU82" s="73" t="e">
        <f>+IF(AND(S82=0,T82=0)," ",+WORKDAY.INTL(+VLOOKUP($AS$1,POSTE!B:J,3,FALSE),+(((AC82*POSTE!$H$5)+(CUM!AD82*POSTE!$H$4))/(POSTE!$H$4*POSTE!$H$5*2)),,CONGÉ!$C$2:$C$80))</f>
        <v>#N/A</v>
      </c>
      <c r="AV82" s="73" t="e">
        <f>+IF(U82=0," ",+WORKDAY.INTL(+VLOOKUP(AV$1,POSTE!$B:$G,3,FALSE),+CUM!AE82/+VLOOKUP(AV$1,POSTE!$B:$H,7,FALSE),,CONGÉ!$C$2:$C$80))</f>
        <v>#N/A</v>
      </c>
      <c r="AW82" s="73" t="e">
        <f>+IF(V82=0," ",+WORKDAY.INTL(+VLOOKUP(AW$1,POSTE!$B:$G,3,FALSE),+CUM!AF82/+VLOOKUP(AW$1,POSTE!$B:$H,7,FALSE),,CONGÉ!$C$2:$C$80))</f>
        <v>#N/A</v>
      </c>
      <c r="AX82" s="73" t="e">
        <f>+IF(W82=0," ",+WORKDAY.INTL(+VLOOKUP(AX$1,POSTE!$B:$G,3,FALSE),+CUM!AG82/+VLOOKUP(AX$1,POSTE!$B:$H,7,FALSE),,CONGÉ!$C$2:$C$80))</f>
        <v>#N/A</v>
      </c>
      <c r="AY82" s="73" t="e">
        <f>+IF(X82=0," ",+WORKDAY.INTL(+VLOOKUP(AY$1,POSTE!$B:$G,3,FALSE),+CUM!AH82/+VLOOKUP(AY$1,POSTE!$B:$H,7,FALSE),,CONGÉ!$C$2:$C$80))</f>
        <v>#N/A</v>
      </c>
      <c r="AZ82" s="73" t="e">
        <f>+IF(Y82=0," ",+WORKDAY.INTL(+VLOOKUP(AZ$1,POSTE!$B:$G,3,FALSE),+CUM!AI82/+VLOOKUP(AZ$1,POSTE!$B:$H,7,FALSE),,CONGÉ!$C$2:$C$80))</f>
        <v>#N/A</v>
      </c>
      <c r="BA82" s="73" t="e">
        <f>+IF(S82=0," ",+WORKDAY.INTL(+VLOOKUP(BA$1,POSTE!$B:$G,3,FALSE),+CUM!AC82/+VLOOKUP(BA$1,POSTE!$B:$H,7,FALSE),,CONGÉ!$C$2:$C$80))</f>
        <v>#N/A</v>
      </c>
      <c r="BB82" s="73" t="e">
        <f>+IF(T82=0," ",+WORKDAY.INTL(+VLOOKUP(BB$1,POSTE!$B:$G,3,FALSE),+CUM!AD82/+VLOOKUP(BB$1,POSTE!$B:$H,7,FALSE),,CONGÉ!$C$2:$C$80))</f>
        <v>#N/A</v>
      </c>
      <c r="BC82" s="70" t="e">
        <f t="shared" si="44"/>
        <v>#N/A</v>
      </c>
      <c r="BD82" s="70" t="e">
        <f t="shared" si="45"/>
        <v>#N/A</v>
      </c>
      <c r="BE82" s="129" t="e">
        <f>+IF($F82="oui",+VLOOKUP($A82,DATA!$A:$AH,DATA!$AH$3,FALSE),0)</f>
        <v>#N/A</v>
      </c>
      <c r="BF82" s="129" t="e">
        <f t="shared" si="46"/>
        <v>#N/A</v>
      </c>
      <c r="BG82" s="136" t="e">
        <f>+IF(BE82&gt;0,+MAX((BH$4:BH81),BD82),"")</f>
        <v>#N/A</v>
      </c>
      <c r="BH82" s="136" t="e">
        <f>+IF(BE82&gt;0,+MAX((BH$4:BH81),+WORKDAY.INTL(BG82,+BE82/8,,CONGÉ!$C$2:$C$73)),"")</f>
        <v>#N/A</v>
      </c>
      <c r="BI82" s="136" t="e">
        <f t="shared" si="47"/>
        <v>#N/A</v>
      </c>
      <c r="BJ82" s="43" t="e">
        <f t="shared" si="41"/>
        <v>#N/A</v>
      </c>
      <c r="BK82" s="77">
        <f t="shared" ca="1" si="48"/>
        <v>45754</v>
      </c>
      <c r="BL82" s="78" t="e">
        <f>+(((AC82*POSTE!$H$5)+(CUM!AD82*POSTE!$H$4))/(POSTE!$H$4*POSTE!$H$5*2))</f>
        <v>#N/A</v>
      </c>
      <c r="BM82" s="90" t="e">
        <f ca="1">+WORKDAY.INTL(BK82,BL82,,CONGÉ!C$4:C$72)</f>
        <v>#N/A</v>
      </c>
      <c r="BN82" s="78" t="e">
        <f t="shared" ca="1" si="49"/>
        <v>#N/A</v>
      </c>
    </row>
    <row r="83" spans="1:66" x14ac:dyDescent="0.25">
      <c r="A83" s="49">
        <f t="shared" si="42"/>
        <v>79</v>
      </c>
      <c r="B83" s="185" cm="1">
        <f t="array" ref="B83">_xlfn.LET(_xlpm.CORR,IF(DATA!$B$4:$B$104="",IF(DATA!$A$4:$A$104="","--",DATA!$A$4:$A$104),DATA!$B$4:$B$104),_xlpm.Rx,SMALL(_xlpm.CORR,A83),IFERROR(MATCH(_xlpm.Rx,_xlpm.CORR,0),0))</f>
        <v>0</v>
      </c>
      <c r="C83" s="18" t="e">
        <f>+VLOOKUP($A83,DATA!$A:$AG,DATA!$E$3,FALSE)</f>
        <v>#N/A</v>
      </c>
      <c r="D83" s="18" t="e">
        <f>+VLOOKUP($A83,DATA!$A:$AG,DATA!$D$3,FALSE)</f>
        <v>#N/A</v>
      </c>
      <c r="E83" s="186" t="e">
        <f>+VLOOKUP($A83,DATA!$A:$AG,DATA!$G$3,FALSE)</f>
        <v>#N/A</v>
      </c>
      <c r="F83" s="19" t="e">
        <f>+VLOOKUP($A83,DATA!$A:$AG,DATA!$O$3,FALSE)</f>
        <v>#N/A</v>
      </c>
      <c r="G83" s="43" t="e">
        <f>+IF($F83="oui",+VLOOKUP($A83,DATA!$A:$AG,DATA!$P$3,FALSE),0)</f>
        <v>#N/A</v>
      </c>
      <c r="H83" s="44" t="e">
        <f>+IF($F83="oui",+VLOOKUP($A83,DATA!$A:$AG,DATA!$R$3,FALSE),0)</f>
        <v>#N/A</v>
      </c>
      <c r="I83" s="44" t="e">
        <f>+IF($F83="oui",+VLOOKUP($A83,DATA!$A:$AG,DATA!$T$3,FALSE),0)</f>
        <v>#N/A</v>
      </c>
      <c r="J83" s="44" t="e">
        <f>+IF($F83="oui",+VLOOKUP($A83,DATA!$A:$AG,DATA!$V$3,FALSE),0)</f>
        <v>#N/A</v>
      </c>
      <c r="K83" s="44" t="e">
        <f>+IF($F83="oui",+VLOOKUP($A83,DATA!$A:$AG,DATA!$X$3,FALSE),0)</f>
        <v>#N/A</v>
      </c>
      <c r="L83" s="44" t="e">
        <f>+IF($F83="oui",+VLOOKUP($A83,DATA!$A:$AG,DATA!$Z$3,FALSE),0)</f>
        <v>#N/A</v>
      </c>
      <c r="M83" s="44" t="e">
        <f>+IF($F83="oui",+VLOOKUP($A83,DATA!$A:$AG,DATA!$AB$3,FALSE),0)</f>
        <v>#N/A</v>
      </c>
      <c r="N83" s="44" t="e">
        <f>+IF($F83="oui",+VLOOKUP($A83,DATA!$A:$AG,DATA!$AD$3,FALSE),0)</f>
        <v>#N/A</v>
      </c>
      <c r="O83" s="45" t="e">
        <f>+IF($F83="oui",+VLOOKUP($A83,DATA!$A:$AG,DATA!$AF$3,FALSE),0)</f>
        <v>#N/A</v>
      </c>
      <c r="P83" s="116" t="e">
        <f t="shared" si="43"/>
        <v>#N/A</v>
      </c>
      <c r="Q83" s="21" t="e">
        <f>+IF($F83="oui",+VLOOKUP($A83,DATA!$A:$AG,DATA!$Q$3,FALSE),0)</f>
        <v>#N/A</v>
      </c>
      <c r="R83" s="22" t="e">
        <f>+IF($F83="oui",+VLOOKUP($A83,DATA!$A:$AG,DATA!$S$3,FALSE),0)</f>
        <v>#N/A</v>
      </c>
      <c r="S83" s="22" t="e">
        <f>+IF($F83="oui",+VLOOKUP($A83,DATA!$A:$AG,DATA!$U$3,FALSE),0)</f>
        <v>#N/A</v>
      </c>
      <c r="T83" s="22" t="e">
        <f>+IF($F83="oui",+VLOOKUP($A83,DATA!$A:$AG,DATA!$W$3,FALSE),0)</f>
        <v>#N/A</v>
      </c>
      <c r="U83" s="22" t="e">
        <f>+IF($F83="oui",+VLOOKUP($A83,DATA!$A:$AG,DATA!$Y$3,FALSE),0)</f>
        <v>#N/A</v>
      </c>
      <c r="V83" s="22" t="e">
        <f>+IF($F83="oui",+VLOOKUP($A83,DATA!$A:$AG,DATA!$AA$3,FALSE),0)</f>
        <v>#N/A</v>
      </c>
      <c r="W83" s="22" t="e">
        <f>+IF($F83="oui",+VLOOKUP($A83,DATA!$A:$AG,DATA!$AC$3,FALSE),0)</f>
        <v>#N/A</v>
      </c>
      <c r="X83" s="22" t="e">
        <f>+IF($F83="oui",+VLOOKUP($A83,DATA!$A:$AG,DATA!$AE$3,FALSE),0)</f>
        <v>#N/A</v>
      </c>
      <c r="Y83" s="23" t="e">
        <f>+IF($F83="oui",+VLOOKUP($A83,DATA!$A:$AG,DATA!$AG$3,FALSE),0)</f>
        <v>#N/A</v>
      </c>
      <c r="Z83" s="118" t="e">
        <f t="shared" si="31"/>
        <v>#N/A</v>
      </c>
      <c r="AA83" s="43" t="e">
        <f t="shared" si="32"/>
        <v>#N/A</v>
      </c>
      <c r="AB83" s="44" t="e">
        <f t="shared" si="33"/>
        <v>#N/A</v>
      </c>
      <c r="AC83" s="44" t="e">
        <f t="shared" si="34"/>
        <v>#N/A</v>
      </c>
      <c r="AD83" s="44" t="e">
        <f t="shared" si="35"/>
        <v>#N/A</v>
      </c>
      <c r="AE83" s="44" t="e">
        <f t="shared" si="36"/>
        <v>#N/A</v>
      </c>
      <c r="AF83" s="44" t="e">
        <f t="shared" si="37"/>
        <v>#N/A</v>
      </c>
      <c r="AG83" s="44" t="e">
        <f t="shared" si="38"/>
        <v>#N/A</v>
      </c>
      <c r="AH83" s="44" t="e">
        <f t="shared" si="39"/>
        <v>#N/A</v>
      </c>
      <c r="AI83" s="45" t="e">
        <f t="shared" si="40"/>
        <v>#N/A</v>
      </c>
      <c r="AJ83" s="70" t="e">
        <f>+IF(Q83=0," ",+WORKDAY.INTL(+VLOOKUP(AJ$1,POSTE!$B:$G,3,FALSE),+CUM!AA82/+VLOOKUP(AJ$1,POSTE!$B:$H,7,FALSE),,CONGÉ!$C$2:$C$80))</f>
        <v>#N/A</v>
      </c>
      <c r="AK83" s="50" t="e">
        <f>+IF(R83=0," ",+WORKDAY.INTL(+VLOOKUP(AK$1,POSTE!$B:$G,3,FALSE),+CUM!AB82/+VLOOKUP(AK$1,POSTE!$B:$H,7,FALSE),,CONGÉ!$C$2:$C$80))</f>
        <v>#N/A</v>
      </c>
      <c r="AL83" s="50" t="e">
        <f>+IF(S83=0," ",+WORKDAY.INTL(+VLOOKUP(AL$1,POSTE!$B:$G,3,FALSE),+CUM!AC82/+VLOOKUP(AL$1,POSTE!$B:$H,7,FALSE),,CONGÉ!$C$2:$C$80))</f>
        <v>#N/A</v>
      </c>
      <c r="AM83" s="50" t="e">
        <f>+IF(T83=0," ",+WORKDAY.INTL(+VLOOKUP(AM$1,POSTE!$B:$G,3,FALSE),+CUM!AD82/+VLOOKUP(AM$1,POSTE!$B:$H,7,FALSE),,CONGÉ!$C$2:$C$80))</f>
        <v>#N/A</v>
      </c>
      <c r="AN83" s="50" t="e">
        <f>+IF(U83=0," ",+WORKDAY.INTL(+VLOOKUP(AN$1,POSTE!$B:$G,3,FALSE),+CUM!AE82/+VLOOKUP(AN$1,POSTE!$B:$H,7,FALSE),,CONGÉ!$C$2:$C$80))</f>
        <v>#N/A</v>
      </c>
      <c r="AO83" s="50" t="e">
        <f>+IF(V83=0," ",+WORKDAY.INTL(+VLOOKUP(AO$1,POSTE!$B:$G,3,FALSE),+CUM!AF82/+VLOOKUP(AO$1,POSTE!$B:$H,7,FALSE),,CONGÉ!$C$2:$C$80))</f>
        <v>#N/A</v>
      </c>
      <c r="AP83" s="50" t="e">
        <f>+IF(W83=0," ",+WORKDAY.INTL(+VLOOKUP(AP$1,POSTE!$B:$G,3,FALSE),+CUM!AG82/+VLOOKUP(AP$1,POSTE!$B:$H,7,FALSE),,CONGÉ!$C$2:$C$80))</f>
        <v>#N/A</v>
      </c>
      <c r="AQ83" s="50" t="e">
        <f>+IF(X83=0," ",+WORKDAY.INTL(+VLOOKUP(AQ$1,POSTE!$B:$G,3,FALSE),+CUM!AH82/+VLOOKUP(AQ$1,POSTE!$B:$H,7,FALSE),,CONGÉ!$C$2:$C$80))</f>
        <v>#N/A</v>
      </c>
      <c r="AR83" s="71" t="e">
        <f>+IF(Y83=0," ",+WORKDAY.INTL(+VLOOKUP(AR$1,POSTE!$B:$G,3,FALSE),+CUM!AI82/+VLOOKUP(AR$1,POSTE!$B:$H,7,FALSE),,CONGÉ!$C$2:$C$80))</f>
        <v>#N/A</v>
      </c>
      <c r="AS83" s="72" t="e">
        <f>+IF(Q83=0," ",+WORKDAY.INTL(+VLOOKUP(AS$1,POSTE!$B:$G,3,FALSE),+CUM!AA83/+VLOOKUP(AS$1,POSTE!$B:$H,7,FALSE),,CONGÉ!$C$2:$C$80))</f>
        <v>#N/A</v>
      </c>
      <c r="AT83" s="73" t="e">
        <f>+IF(R83=0," ",+WORKDAY.INTL(+VLOOKUP(AT$1,POSTE!$B:$G,3,FALSE),+CUM!AB83/+VLOOKUP(AT$1,POSTE!$B:$H,7,FALSE),,CONGÉ!$C$2:$C$80))</f>
        <v>#N/A</v>
      </c>
      <c r="AU83" s="73" t="e">
        <f>+IF(AND(S83=0,T83=0)," ",+WORKDAY.INTL(+VLOOKUP($AS$1,POSTE!B:J,3,FALSE),+(((AC83*POSTE!$H$5)+(CUM!AD83*POSTE!$H$4))/(POSTE!$H$4*POSTE!$H$5*2)),,CONGÉ!$C$2:$C$80))</f>
        <v>#N/A</v>
      </c>
      <c r="AV83" s="73" t="e">
        <f>+IF(U83=0," ",+WORKDAY.INTL(+VLOOKUP(AV$1,POSTE!$B:$G,3,FALSE),+CUM!AE83/+VLOOKUP(AV$1,POSTE!$B:$H,7,FALSE),,CONGÉ!$C$2:$C$80))</f>
        <v>#N/A</v>
      </c>
      <c r="AW83" s="73" t="e">
        <f>+IF(V83=0," ",+WORKDAY.INTL(+VLOOKUP(AW$1,POSTE!$B:$G,3,FALSE),+CUM!AF83/+VLOOKUP(AW$1,POSTE!$B:$H,7,FALSE),,CONGÉ!$C$2:$C$80))</f>
        <v>#N/A</v>
      </c>
      <c r="AX83" s="73" t="e">
        <f>+IF(W83=0," ",+WORKDAY.INTL(+VLOOKUP(AX$1,POSTE!$B:$G,3,FALSE),+CUM!AG83/+VLOOKUP(AX$1,POSTE!$B:$H,7,FALSE),,CONGÉ!$C$2:$C$80))</f>
        <v>#N/A</v>
      </c>
      <c r="AY83" s="73" t="e">
        <f>+IF(X83=0," ",+WORKDAY.INTL(+VLOOKUP(AY$1,POSTE!$B:$G,3,FALSE),+CUM!AH83/+VLOOKUP(AY$1,POSTE!$B:$H,7,FALSE),,CONGÉ!$C$2:$C$80))</f>
        <v>#N/A</v>
      </c>
      <c r="AZ83" s="73" t="e">
        <f>+IF(Y83=0," ",+WORKDAY.INTL(+VLOOKUP(AZ$1,POSTE!$B:$G,3,FALSE),+CUM!AI83/+VLOOKUP(AZ$1,POSTE!$B:$H,7,FALSE),,CONGÉ!$C$2:$C$80))</f>
        <v>#N/A</v>
      </c>
      <c r="BA83" s="73" t="e">
        <f>+IF(S83=0," ",+WORKDAY.INTL(+VLOOKUP(BA$1,POSTE!$B:$G,3,FALSE),+CUM!AC83/+VLOOKUP(BA$1,POSTE!$B:$H,7,FALSE),,CONGÉ!$C$2:$C$80))</f>
        <v>#N/A</v>
      </c>
      <c r="BB83" s="73" t="e">
        <f>+IF(T83=0," ",+WORKDAY.INTL(+VLOOKUP(BB$1,POSTE!$B:$G,3,FALSE),+CUM!AD83/+VLOOKUP(BB$1,POSTE!$B:$H,7,FALSE),,CONGÉ!$C$2:$C$80))</f>
        <v>#N/A</v>
      </c>
      <c r="BC83" s="70" t="e">
        <f t="shared" si="44"/>
        <v>#N/A</v>
      </c>
      <c r="BD83" s="70" t="e">
        <f t="shared" si="45"/>
        <v>#N/A</v>
      </c>
      <c r="BE83" s="129" t="e">
        <f>+IF($F83="oui",+VLOOKUP($A83,DATA!$A:$AH,DATA!$AH$3,FALSE),0)</f>
        <v>#N/A</v>
      </c>
      <c r="BF83" s="129" t="e">
        <f t="shared" si="46"/>
        <v>#N/A</v>
      </c>
      <c r="BG83" s="136" t="e">
        <f>+IF(BE83&gt;0,+MAX((BH$4:BH82),BD83),"")</f>
        <v>#N/A</v>
      </c>
      <c r="BH83" s="136" t="e">
        <f>+IF(BE83&gt;0,+MAX((BH$4:BH82),+WORKDAY.INTL(BG83,+BE83/8,,CONGÉ!$C$2:$C$73)),"")</f>
        <v>#N/A</v>
      </c>
      <c r="BI83" s="136" t="e">
        <f t="shared" si="47"/>
        <v>#N/A</v>
      </c>
      <c r="BJ83" s="43" t="e">
        <f t="shared" si="41"/>
        <v>#N/A</v>
      </c>
      <c r="BK83" s="77">
        <f t="shared" ca="1" si="48"/>
        <v>45754</v>
      </c>
      <c r="BL83" s="78" t="e">
        <f>+(((AC83*POSTE!$H$5)+(CUM!AD83*POSTE!$H$4))/(POSTE!$H$4*POSTE!$H$5*2))</f>
        <v>#N/A</v>
      </c>
      <c r="BM83" s="90" t="e">
        <f ca="1">+WORKDAY.INTL(BK83,BL83,,CONGÉ!C$4:C$72)</f>
        <v>#N/A</v>
      </c>
      <c r="BN83" s="78" t="e">
        <f t="shared" ca="1" si="49"/>
        <v>#N/A</v>
      </c>
    </row>
    <row r="84" spans="1:66" x14ac:dyDescent="0.25">
      <c r="A84" s="49">
        <f t="shared" si="42"/>
        <v>80</v>
      </c>
      <c r="B84" s="185" cm="1">
        <f t="array" ref="B84">_xlfn.LET(_xlpm.CORR,IF(DATA!$B$4:$B$104="",IF(DATA!$A$4:$A$104="","--",DATA!$A$4:$A$104),DATA!$B$4:$B$104),_xlpm.Rx,SMALL(_xlpm.CORR,A84),IFERROR(MATCH(_xlpm.Rx,_xlpm.CORR,0),0))</f>
        <v>0</v>
      </c>
      <c r="C84" s="18" t="e">
        <f>+VLOOKUP($A84,DATA!$A:$AG,DATA!$E$3,FALSE)</f>
        <v>#N/A</v>
      </c>
      <c r="D84" s="18" t="e">
        <f>+VLOOKUP($A84,DATA!$A:$AG,DATA!$D$3,FALSE)</f>
        <v>#N/A</v>
      </c>
      <c r="E84" s="186" t="e">
        <f>+VLOOKUP($A84,DATA!$A:$AG,DATA!$G$3,FALSE)</f>
        <v>#N/A</v>
      </c>
      <c r="F84" s="19" t="e">
        <f>+VLOOKUP($A84,DATA!$A:$AG,DATA!$O$3,FALSE)</f>
        <v>#N/A</v>
      </c>
      <c r="G84" s="43" t="e">
        <f>+IF($F84="oui",+VLOOKUP($A84,DATA!$A:$AG,DATA!$P$3,FALSE),0)</f>
        <v>#N/A</v>
      </c>
      <c r="H84" s="44" t="e">
        <f>+IF($F84="oui",+VLOOKUP($A84,DATA!$A:$AG,DATA!$R$3,FALSE),0)</f>
        <v>#N/A</v>
      </c>
      <c r="I84" s="44" t="e">
        <f>+IF($F84="oui",+VLOOKUP($A84,DATA!$A:$AG,DATA!$T$3,FALSE),0)</f>
        <v>#N/A</v>
      </c>
      <c r="J84" s="44" t="e">
        <f>+IF($F84="oui",+VLOOKUP($A84,DATA!$A:$AG,DATA!$V$3,FALSE),0)</f>
        <v>#N/A</v>
      </c>
      <c r="K84" s="44" t="e">
        <f>+IF($F84="oui",+VLOOKUP($A84,DATA!$A:$AG,DATA!$X$3,FALSE),0)</f>
        <v>#N/A</v>
      </c>
      <c r="L84" s="44" t="e">
        <f>+IF($F84="oui",+VLOOKUP($A84,DATA!$A:$AG,DATA!$Z$3,FALSE),0)</f>
        <v>#N/A</v>
      </c>
      <c r="M84" s="44" t="e">
        <f>+IF($F84="oui",+VLOOKUP($A84,DATA!$A:$AG,DATA!$AB$3,FALSE),0)</f>
        <v>#N/A</v>
      </c>
      <c r="N84" s="44" t="e">
        <f>+IF($F84="oui",+VLOOKUP($A84,DATA!$A:$AG,DATA!$AD$3,FALSE),0)</f>
        <v>#N/A</v>
      </c>
      <c r="O84" s="45" t="e">
        <f>+IF($F84="oui",+VLOOKUP($A84,DATA!$A:$AG,DATA!$AF$3,FALSE),0)</f>
        <v>#N/A</v>
      </c>
      <c r="P84" s="116" t="e">
        <f t="shared" si="43"/>
        <v>#N/A</v>
      </c>
      <c r="Q84" s="21" t="e">
        <f>+IF($F84="oui",+VLOOKUP($A84,DATA!$A:$AG,DATA!$Q$3,FALSE),0)</f>
        <v>#N/A</v>
      </c>
      <c r="R84" s="22" t="e">
        <f>+IF($F84="oui",+VLOOKUP($A84,DATA!$A:$AG,DATA!$S$3,FALSE),0)</f>
        <v>#N/A</v>
      </c>
      <c r="S84" s="22" t="e">
        <f>+IF($F84="oui",+VLOOKUP($A84,DATA!$A:$AG,DATA!$U$3,FALSE),0)</f>
        <v>#N/A</v>
      </c>
      <c r="T84" s="22" t="e">
        <f>+IF($F84="oui",+VLOOKUP($A84,DATA!$A:$AG,DATA!$W$3,FALSE),0)</f>
        <v>#N/A</v>
      </c>
      <c r="U84" s="22" t="e">
        <f>+IF($F84="oui",+VLOOKUP($A84,DATA!$A:$AG,DATA!$Y$3,FALSE),0)</f>
        <v>#N/A</v>
      </c>
      <c r="V84" s="22" t="e">
        <f>+IF($F84="oui",+VLOOKUP($A84,DATA!$A:$AG,DATA!$AA$3,FALSE),0)</f>
        <v>#N/A</v>
      </c>
      <c r="W84" s="22" t="e">
        <f>+IF($F84="oui",+VLOOKUP($A84,DATA!$A:$AG,DATA!$AC$3,FALSE),0)</f>
        <v>#N/A</v>
      </c>
      <c r="X84" s="22" t="e">
        <f>+IF($F84="oui",+VLOOKUP($A84,DATA!$A:$AG,DATA!$AE$3,FALSE),0)</f>
        <v>#N/A</v>
      </c>
      <c r="Y84" s="23" t="e">
        <f>+IF($F84="oui",+VLOOKUP($A84,DATA!$A:$AG,DATA!$AG$3,FALSE),0)</f>
        <v>#N/A</v>
      </c>
      <c r="Z84" s="118" t="e">
        <f t="shared" si="31"/>
        <v>#N/A</v>
      </c>
      <c r="AA84" s="43" t="e">
        <f t="shared" si="32"/>
        <v>#N/A</v>
      </c>
      <c r="AB84" s="44" t="e">
        <f t="shared" si="33"/>
        <v>#N/A</v>
      </c>
      <c r="AC84" s="44" t="e">
        <f t="shared" si="34"/>
        <v>#N/A</v>
      </c>
      <c r="AD84" s="44" t="e">
        <f t="shared" si="35"/>
        <v>#N/A</v>
      </c>
      <c r="AE84" s="44" t="e">
        <f t="shared" si="36"/>
        <v>#N/A</v>
      </c>
      <c r="AF84" s="44" t="e">
        <f t="shared" si="37"/>
        <v>#N/A</v>
      </c>
      <c r="AG84" s="44" t="e">
        <f t="shared" si="38"/>
        <v>#N/A</v>
      </c>
      <c r="AH84" s="44" t="e">
        <f t="shared" si="39"/>
        <v>#N/A</v>
      </c>
      <c r="AI84" s="45" t="e">
        <f t="shared" si="40"/>
        <v>#N/A</v>
      </c>
      <c r="AJ84" s="70" t="e">
        <f>+IF(Q84=0," ",+WORKDAY.INTL(+VLOOKUP(AJ$1,POSTE!$B:$G,3,FALSE),+CUM!AA83/+VLOOKUP(AJ$1,POSTE!$B:$H,7,FALSE),,CONGÉ!$C$2:$C$80))</f>
        <v>#N/A</v>
      </c>
      <c r="AK84" s="50" t="e">
        <f>+IF(R84=0," ",+WORKDAY.INTL(+VLOOKUP(AK$1,POSTE!$B:$G,3,FALSE),+CUM!AB83/+VLOOKUP(AK$1,POSTE!$B:$H,7,FALSE),,CONGÉ!$C$2:$C$80))</f>
        <v>#N/A</v>
      </c>
      <c r="AL84" s="50" t="e">
        <f>+IF(S84=0," ",+WORKDAY.INTL(+VLOOKUP(AL$1,POSTE!$B:$G,3,FALSE),+CUM!AC83/+VLOOKUP(AL$1,POSTE!$B:$H,7,FALSE),,CONGÉ!$C$2:$C$80))</f>
        <v>#N/A</v>
      </c>
      <c r="AM84" s="50" t="e">
        <f>+IF(T84=0," ",+WORKDAY.INTL(+VLOOKUP(AM$1,POSTE!$B:$G,3,FALSE),+CUM!AD83/+VLOOKUP(AM$1,POSTE!$B:$H,7,FALSE),,CONGÉ!$C$2:$C$80))</f>
        <v>#N/A</v>
      </c>
      <c r="AN84" s="50" t="e">
        <f>+IF(U84=0," ",+WORKDAY.INTL(+VLOOKUP(AN$1,POSTE!$B:$G,3,FALSE),+CUM!AE83/+VLOOKUP(AN$1,POSTE!$B:$H,7,FALSE),,CONGÉ!$C$2:$C$80))</f>
        <v>#N/A</v>
      </c>
      <c r="AO84" s="50" t="e">
        <f>+IF(V84=0," ",+WORKDAY.INTL(+VLOOKUP(AO$1,POSTE!$B:$G,3,FALSE),+CUM!AF83/+VLOOKUP(AO$1,POSTE!$B:$H,7,FALSE),,CONGÉ!$C$2:$C$80))</f>
        <v>#N/A</v>
      </c>
      <c r="AP84" s="50" t="e">
        <f>+IF(W84=0," ",+WORKDAY.INTL(+VLOOKUP(AP$1,POSTE!$B:$G,3,FALSE),+CUM!AG83/+VLOOKUP(AP$1,POSTE!$B:$H,7,FALSE),,CONGÉ!$C$2:$C$80))</f>
        <v>#N/A</v>
      </c>
      <c r="AQ84" s="50" t="e">
        <f>+IF(X84=0," ",+WORKDAY.INTL(+VLOOKUP(AQ$1,POSTE!$B:$G,3,FALSE),+CUM!AH83/+VLOOKUP(AQ$1,POSTE!$B:$H,7,FALSE),,CONGÉ!$C$2:$C$80))</f>
        <v>#N/A</v>
      </c>
      <c r="AR84" s="71" t="e">
        <f>+IF(Y84=0," ",+WORKDAY.INTL(+VLOOKUP(AR$1,POSTE!$B:$G,3,FALSE),+CUM!AI83/+VLOOKUP(AR$1,POSTE!$B:$H,7,FALSE),,CONGÉ!$C$2:$C$80))</f>
        <v>#N/A</v>
      </c>
      <c r="AS84" s="72" t="e">
        <f>+IF(Q84=0," ",+WORKDAY.INTL(+VLOOKUP(AS$1,POSTE!$B:$G,3,FALSE),+CUM!AA84/+VLOOKUP(AS$1,POSTE!$B:$H,7,FALSE),,CONGÉ!$C$2:$C$80))</f>
        <v>#N/A</v>
      </c>
      <c r="AT84" s="73" t="e">
        <f>+IF(R84=0," ",+WORKDAY.INTL(+VLOOKUP(AT$1,POSTE!$B:$G,3,FALSE),+CUM!AB84/+VLOOKUP(AT$1,POSTE!$B:$H,7,FALSE),,CONGÉ!$C$2:$C$80))</f>
        <v>#N/A</v>
      </c>
      <c r="AU84" s="73" t="e">
        <f>+IF(AND(S84=0,T84=0)," ",+WORKDAY.INTL(+VLOOKUP($AS$1,POSTE!B:J,3,FALSE),+(((AC84*POSTE!$H$5)+(CUM!AD84*POSTE!$H$4))/(POSTE!$H$4*POSTE!$H$5*2)),,CONGÉ!$C$2:$C$80))</f>
        <v>#N/A</v>
      </c>
      <c r="AV84" s="73" t="e">
        <f>+IF(U84=0," ",+WORKDAY.INTL(+VLOOKUP(AV$1,POSTE!$B:$G,3,FALSE),+CUM!AE84/+VLOOKUP(AV$1,POSTE!$B:$H,7,FALSE),,CONGÉ!$C$2:$C$80))</f>
        <v>#N/A</v>
      </c>
      <c r="AW84" s="73" t="e">
        <f>+IF(V84=0," ",+WORKDAY.INTL(+VLOOKUP(AW$1,POSTE!$B:$G,3,FALSE),+CUM!AF84/+VLOOKUP(AW$1,POSTE!$B:$H,7,FALSE),,CONGÉ!$C$2:$C$80))</f>
        <v>#N/A</v>
      </c>
      <c r="AX84" s="73" t="e">
        <f>+IF(W84=0," ",+WORKDAY.INTL(+VLOOKUP(AX$1,POSTE!$B:$G,3,FALSE),+CUM!AG84/+VLOOKUP(AX$1,POSTE!$B:$H,7,FALSE),,CONGÉ!$C$2:$C$80))</f>
        <v>#N/A</v>
      </c>
      <c r="AY84" s="73" t="e">
        <f>+IF(X84=0," ",+WORKDAY.INTL(+VLOOKUP(AY$1,POSTE!$B:$G,3,FALSE),+CUM!AH84/+VLOOKUP(AY$1,POSTE!$B:$H,7,FALSE),,CONGÉ!$C$2:$C$80))</f>
        <v>#N/A</v>
      </c>
      <c r="AZ84" s="73" t="e">
        <f>+IF(Y84=0," ",+WORKDAY.INTL(+VLOOKUP(AZ$1,POSTE!$B:$G,3,FALSE),+CUM!AI84/+VLOOKUP(AZ$1,POSTE!$B:$H,7,FALSE),,CONGÉ!$C$2:$C$80))</f>
        <v>#N/A</v>
      </c>
      <c r="BA84" s="73" t="e">
        <f>+IF(S84=0," ",+WORKDAY.INTL(+VLOOKUP(BA$1,POSTE!$B:$G,3,FALSE),+CUM!AC84/+VLOOKUP(BA$1,POSTE!$B:$H,7,FALSE),,CONGÉ!$C$2:$C$80))</f>
        <v>#N/A</v>
      </c>
      <c r="BB84" s="73" t="e">
        <f>+IF(T84=0," ",+WORKDAY.INTL(+VLOOKUP(BB$1,POSTE!$B:$G,3,FALSE),+CUM!AD84/+VLOOKUP(BB$1,POSTE!$B:$H,7,FALSE),,CONGÉ!$C$2:$C$80))</f>
        <v>#N/A</v>
      </c>
      <c r="BC84" s="70" t="e">
        <f t="shared" si="44"/>
        <v>#N/A</v>
      </c>
      <c r="BD84" s="70" t="e">
        <f t="shared" si="45"/>
        <v>#N/A</v>
      </c>
      <c r="BE84" s="129" t="e">
        <f>+IF($F84="oui",+VLOOKUP($A84,DATA!$A:$AH,DATA!$AH$3,FALSE),0)</f>
        <v>#N/A</v>
      </c>
      <c r="BF84" s="129" t="e">
        <f t="shared" si="46"/>
        <v>#N/A</v>
      </c>
      <c r="BG84" s="136" t="e">
        <f>+IF(BE84&gt;0,+MAX((BH$4:BH83),BD84),"")</f>
        <v>#N/A</v>
      </c>
      <c r="BH84" s="136" t="e">
        <f>+IF(BE84&gt;0,+MAX((BH$4:BH83),+WORKDAY.INTL(BG84,+BE84/8,,CONGÉ!$C$2:$C$73)),"")</f>
        <v>#N/A</v>
      </c>
      <c r="BI84" s="136" t="e">
        <f t="shared" si="47"/>
        <v>#N/A</v>
      </c>
      <c r="BJ84" s="43" t="e">
        <f t="shared" si="41"/>
        <v>#N/A</v>
      </c>
      <c r="BK84" s="77">
        <f t="shared" ca="1" si="48"/>
        <v>45754</v>
      </c>
      <c r="BL84" s="78" t="e">
        <f>+(((AC84*POSTE!$H$5)+(CUM!AD84*POSTE!$H$4))/(POSTE!$H$4*POSTE!$H$5*2))</f>
        <v>#N/A</v>
      </c>
      <c r="BM84" s="90" t="e">
        <f ca="1">+WORKDAY.INTL(BK84,BL84,,CONGÉ!C$4:C$72)</f>
        <v>#N/A</v>
      </c>
      <c r="BN84" s="78" t="e">
        <f t="shared" ca="1" si="49"/>
        <v>#N/A</v>
      </c>
    </row>
    <row r="85" spans="1:66" x14ac:dyDescent="0.25">
      <c r="A85" s="49">
        <f t="shared" si="42"/>
        <v>81</v>
      </c>
      <c r="B85" s="185" cm="1">
        <f t="array" ref="B85">_xlfn.LET(_xlpm.CORR,IF(DATA!$B$4:$B$104="",IF(DATA!$A$4:$A$104="","--",DATA!$A$4:$A$104),DATA!$B$4:$B$104),_xlpm.Rx,SMALL(_xlpm.CORR,A85),IFERROR(MATCH(_xlpm.Rx,_xlpm.CORR,0),0))</f>
        <v>0</v>
      </c>
      <c r="C85" s="18" t="e">
        <f>+VLOOKUP($A85,DATA!$A:$AG,DATA!$E$3,FALSE)</f>
        <v>#N/A</v>
      </c>
      <c r="D85" s="18" t="e">
        <f>+VLOOKUP($A85,DATA!$A:$AG,DATA!$D$3,FALSE)</f>
        <v>#N/A</v>
      </c>
      <c r="E85" s="186" t="e">
        <f>+VLOOKUP($A85,DATA!$A:$AG,DATA!$G$3,FALSE)</f>
        <v>#N/A</v>
      </c>
      <c r="F85" s="19" t="e">
        <f>+VLOOKUP($A85,DATA!$A:$AG,DATA!$O$3,FALSE)</f>
        <v>#N/A</v>
      </c>
      <c r="G85" s="43" t="e">
        <f>+IF($F85="oui",+VLOOKUP($A85,DATA!$A:$AG,DATA!$P$3,FALSE),0)</f>
        <v>#N/A</v>
      </c>
      <c r="H85" s="44" t="e">
        <f>+IF($F85="oui",+VLOOKUP($A85,DATA!$A:$AG,DATA!$R$3,FALSE),0)</f>
        <v>#N/A</v>
      </c>
      <c r="I85" s="44" t="e">
        <f>+IF($F85="oui",+VLOOKUP($A85,DATA!$A:$AG,DATA!$T$3,FALSE),0)</f>
        <v>#N/A</v>
      </c>
      <c r="J85" s="44" t="e">
        <f>+IF($F85="oui",+VLOOKUP($A85,DATA!$A:$AG,DATA!$V$3,FALSE),0)</f>
        <v>#N/A</v>
      </c>
      <c r="K85" s="44" t="e">
        <f>+IF($F85="oui",+VLOOKUP($A85,DATA!$A:$AG,DATA!$X$3,FALSE),0)</f>
        <v>#N/A</v>
      </c>
      <c r="L85" s="44" t="e">
        <f>+IF($F85="oui",+VLOOKUP($A85,DATA!$A:$AG,DATA!$Z$3,FALSE),0)</f>
        <v>#N/A</v>
      </c>
      <c r="M85" s="44" t="e">
        <f>+IF($F85="oui",+VLOOKUP($A85,DATA!$A:$AG,DATA!$AB$3,FALSE),0)</f>
        <v>#N/A</v>
      </c>
      <c r="N85" s="44" t="e">
        <f>+IF($F85="oui",+VLOOKUP($A85,DATA!$A:$AG,DATA!$AD$3,FALSE),0)</f>
        <v>#N/A</v>
      </c>
      <c r="O85" s="45" t="e">
        <f>+IF($F85="oui",+VLOOKUP($A85,DATA!$A:$AG,DATA!$AF$3,FALSE),0)</f>
        <v>#N/A</v>
      </c>
      <c r="P85" s="116" t="e">
        <f t="shared" si="43"/>
        <v>#N/A</v>
      </c>
      <c r="Q85" s="21" t="e">
        <f>+IF($F85="oui",+VLOOKUP($A85,DATA!$A:$AG,DATA!$Q$3,FALSE),0)</f>
        <v>#N/A</v>
      </c>
      <c r="R85" s="22" t="e">
        <f>+IF($F85="oui",+VLOOKUP($A85,DATA!$A:$AG,DATA!$S$3,FALSE),0)</f>
        <v>#N/A</v>
      </c>
      <c r="S85" s="22" t="e">
        <f>+IF($F85="oui",+VLOOKUP($A85,DATA!$A:$AG,DATA!$U$3,FALSE),0)</f>
        <v>#N/A</v>
      </c>
      <c r="T85" s="22" t="e">
        <f>+IF($F85="oui",+VLOOKUP($A85,DATA!$A:$AG,DATA!$W$3,FALSE),0)</f>
        <v>#N/A</v>
      </c>
      <c r="U85" s="22" t="e">
        <f>+IF($F85="oui",+VLOOKUP($A85,DATA!$A:$AG,DATA!$Y$3,FALSE),0)</f>
        <v>#N/A</v>
      </c>
      <c r="V85" s="22" t="e">
        <f>+IF($F85="oui",+VLOOKUP($A85,DATA!$A:$AG,DATA!$AA$3,FALSE),0)</f>
        <v>#N/A</v>
      </c>
      <c r="W85" s="22" t="e">
        <f>+IF($F85="oui",+VLOOKUP($A85,DATA!$A:$AG,DATA!$AC$3,FALSE),0)</f>
        <v>#N/A</v>
      </c>
      <c r="X85" s="22" t="e">
        <f>+IF($F85="oui",+VLOOKUP($A85,DATA!$A:$AG,DATA!$AE$3,FALSE),0)</f>
        <v>#N/A</v>
      </c>
      <c r="Y85" s="23" t="e">
        <f>+IF($F85="oui",+VLOOKUP($A85,DATA!$A:$AG,DATA!$AG$3,FALSE),0)</f>
        <v>#N/A</v>
      </c>
      <c r="Z85" s="118" t="e">
        <f t="shared" si="31"/>
        <v>#N/A</v>
      </c>
      <c r="AA85" s="43" t="e">
        <f t="shared" si="32"/>
        <v>#N/A</v>
      </c>
      <c r="AB85" s="44" t="e">
        <f t="shared" si="33"/>
        <v>#N/A</v>
      </c>
      <c r="AC85" s="44" t="e">
        <f t="shared" si="34"/>
        <v>#N/A</v>
      </c>
      <c r="AD85" s="44" t="e">
        <f t="shared" si="35"/>
        <v>#N/A</v>
      </c>
      <c r="AE85" s="44" t="e">
        <f t="shared" si="36"/>
        <v>#N/A</v>
      </c>
      <c r="AF85" s="44" t="e">
        <f t="shared" si="37"/>
        <v>#N/A</v>
      </c>
      <c r="AG85" s="44" t="e">
        <f t="shared" si="38"/>
        <v>#N/A</v>
      </c>
      <c r="AH85" s="44" t="e">
        <f t="shared" si="39"/>
        <v>#N/A</v>
      </c>
      <c r="AI85" s="45" t="e">
        <f t="shared" si="40"/>
        <v>#N/A</v>
      </c>
      <c r="AJ85" s="70" t="e">
        <f>+IF(Q85=0," ",+WORKDAY.INTL(+VLOOKUP(AJ$1,POSTE!$B:$G,3,FALSE),+CUM!AA84/+VLOOKUP(AJ$1,POSTE!$B:$H,7,FALSE),,CONGÉ!$C$2:$C$80))</f>
        <v>#N/A</v>
      </c>
      <c r="AK85" s="50" t="e">
        <f>+IF(R85=0," ",+WORKDAY.INTL(+VLOOKUP(AK$1,POSTE!$B:$G,3,FALSE),+CUM!AB84/+VLOOKUP(AK$1,POSTE!$B:$H,7,FALSE),,CONGÉ!$C$2:$C$80))</f>
        <v>#N/A</v>
      </c>
      <c r="AL85" s="50" t="e">
        <f>+IF(S85=0," ",+WORKDAY.INTL(+VLOOKUP(AL$1,POSTE!$B:$G,3,FALSE),+CUM!AC84/+VLOOKUP(AL$1,POSTE!$B:$H,7,FALSE),,CONGÉ!$C$2:$C$80))</f>
        <v>#N/A</v>
      </c>
      <c r="AM85" s="50" t="e">
        <f>+IF(T85=0," ",+WORKDAY.INTL(+VLOOKUP(AM$1,POSTE!$B:$G,3,FALSE),+CUM!AD84/+VLOOKUP(AM$1,POSTE!$B:$H,7,FALSE),,CONGÉ!$C$2:$C$80))</f>
        <v>#N/A</v>
      </c>
      <c r="AN85" s="50" t="e">
        <f>+IF(U85=0," ",+WORKDAY.INTL(+VLOOKUP(AN$1,POSTE!$B:$G,3,FALSE),+CUM!AE84/+VLOOKUP(AN$1,POSTE!$B:$H,7,FALSE),,CONGÉ!$C$2:$C$80))</f>
        <v>#N/A</v>
      </c>
      <c r="AO85" s="50" t="e">
        <f>+IF(V85=0," ",+WORKDAY.INTL(+VLOOKUP(AO$1,POSTE!$B:$G,3,FALSE),+CUM!AF84/+VLOOKUP(AO$1,POSTE!$B:$H,7,FALSE),,CONGÉ!$C$2:$C$80))</f>
        <v>#N/A</v>
      </c>
      <c r="AP85" s="50" t="e">
        <f>+IF(W85=0," ",+WORKDAY.INTL(+VLOOKUP(AP$1,POSTE!$B:$G,3,FALSE),+CUM!AG84/+VLOOKUP(AP$1,POSTE!$B:$H,7,FALSE),,CONGÉ!$C$2:$C$80))</f>
        <v>#N/A</v>
      </c>
      <c r="AQ85" s="50" t="e">
        <f>+IF(X85=0," ",+WORKDAY.INTL(+VLOOKUP(AQ$1,POSTE!$B:$G,3,FALSE),+CUM!AH84/+VLOOKUP(AQ$1,POSTE!$B:$H,7,FALSE),,CONGÉ!$C$2:$C$80))</f>
        <v>#N/A</v>
      </c>
      <c r="AR85" s="71" t="e">
        <f>+IF(Y85=0," ",+WORKDAY.INTL(+VLOOKUP(AR$1,POSTE!$B:$G,3,FALSE),+CUM!AI84/+VLOOKUP(AR$1,POSTE!$B:$H,7,FALSE),,CONGÉ!$C$2:$C$80))</f>
        <v>#N/A</v>
      </c>
      <c r="AS85" s="72" t="e">
        <f>+IF(Q85=0," ",+WORKDAY.INTL(+VLOOKUP(AS$1,POSTE!$B:$G,3,FALSE),+CUM!AA85/+VLOOKUP(AS$1,POSTE!$B:$H,7,FALSE),,CONGÉ!$C$2:$C$80))</f>
        <v>#N/A</v>
      </c>
      <c r="AT85" s="73" t="e">
        <f>+IF(R85=0," ",+WORKDAY.INTL(+VLOOKUP(AT$1,POSTE!$B:$G,3,FALSE),+CUM!AB85/+VLOOKUP(AT$1,POSTE!$B:$H,7,FALSE),,CONGÉ!$C$2:$C$80))</f>
        <v>#N/A</v>
      </c>
      <c r="AU85" s="73" t="e">
        <f>+IF(AND(S85=0,T85=0)," ",+WORKDAY.INTL(+VLOOKUP($AS$1,POSTE!B:J,3,FALSE),+(((AC85*POSTE!$H$5)+(CUM!AD85*POSTE!$H$4))/(POSTE!$H$4*POSTE!$H$5*2)),,CONGÉ!$C$2:$C$80))</f>
        <v>#N/A</v>
      </c>
      <c r="AV85" s="73" t="e">
        <f>+IF(U85=0," ",+WORKDAY.INTL(+VLOOKUP(AV$1,POSTE!$B:$G,3,FALSE),+CUM!AE85/+VLOOKUP(AV$1,POSTE!$B:$H,7,FALSE),,CONGÉ!$C$2:$C$80))</f>
        <v>#N/A</v>
      </c>
      <c r="AW85" s="73" t="e">
        <f>+IF(V85=0," ",+WORKDAY.INTL(+VLOOKUP(AW$1,POSTE!$B:$G,3,FALSE),+CUM!AF85/+VLOOKUP(AW$1,POSTE!$B:$H,7,FALSE),,CONGÉ!$C$2:$C$80))</f>
        <v>#N/A</v>
      </c>
      <c r="AX85" s="73" t="e">
        <f>+IF(W85=0," ",+WORKDAY.INTL(+VLOOKUP(AX$1,POSTE!$B:$G,3,FALSE),+CUM!AG85/+VLOOKUP(AX$1,POSTE!$B:$H,7,FALSE),,CONGÉ!$C$2:$C$80))</f>
        <v>#N/A</v>
      </c>
      <c r="AY85" s="73" t="e">
        <f>+IF(X85=0," ",+WORKDAY.INTL(+VLOOKUP(AY$1,POSTE!$B:$G,3,FALSE),+CUM!AH85/+VLOOKUP(AY$1,POSTE!$B:$H,7,FALSE),,CONGÉ!$C$2:$C$80))</f>
        <v>#N/A</v>
      </c>
      <c r="AZ85" s="73" t="e">
        <f>+IF(Y85=0," ",+WORKDAY.INTL(+VLOOKUP(AZ$1,POSTE!$B:$G,3,FALSE),+CUM!AI85/+VLOOKUP(AZ$1,POSTE!$B:$H,7,FALSE),,CONGÉ!$C$2:$C$80))</f>
        <v>#N/A</v>
      </c>
      <c r="BA85" s="73" t="e">
        <f>+IF(S85=0," ",+WORKDAY.INTL(+VLOOKUP(BA$1,POSTE!$B:$G,3,FALSE),+CUM!AC85/+VLOOKUP(BA$1,POSTE!$B:$H,7,FALSE),,CONGÉ!$C$2:$C$80))</f>
        <v>#N/A</v>
      </c>
      <c r="BB85" s="73" t="e">
        <f>+IF(T85=0," ",+WORKDAY.INTL(+VLOOKUP(BB$1,POSTE!$B:$G,3,FALSE),+CUM!AD85/+VLOOKUP(BB$1,POSTE!$B:$H,7,FALSE),,CONGÉ!$C$2:$C$80))</f>
        <v>#N/A</v>
      </c>
      <c r="BC85" s="70" t="e">
        <f t="shared" si="44"/>
        <v>#N/A</v>
      </c>
      <c r="BD85" s="70" t="e">
        <f t="shared" si="45"/>
        <v>#N/A</v>
      </c>
      <c r="BE85" s="129" t="e">
        <f>+IF($F85="oui",+VLOOKUP($A85,DATA!$A:$AH,DATA!$AH$3,FALSE),0)</f>
        <v>#N/A</v>
      </c>
      <c r="BF85" s="129" t="e">
        <f t="shared" si="46"/>
        <v>#N/A</v>
      </c>
      <c r="BG85" s="136" t="e">
        <f>+IF(BE85&gt;0,+MAX((BH$4:BH84),BD85),"")</f>
        <v>#N/A</v>
      </c>
      <c r="BH85" s="136" t="e">
        <f>+IF(BE85&gt;0,+MAX((BH$4:BH84),+WORKDAY.INTL(BG85,+BE85/8,,CONGÉ!$C$2:$C$73)),"")</f>
        <v>#N/A</v>
      </c>
      <c r="BI85" s="136" t="e">
        <f t="shared" si="47"/>
        <v>#N/A</v>
      </c>
      <c r="BJ85" s="43" t="e">
        <f t="shared" si="41"/>
        <v>#N/A</v>
      </c>
      <c r="BK85" s="77">
        <f t="shared" ca="1" si="48"/>
        <v>45754</v>
      </c>
      <c r="BL85" s="78" t="e">
        <f>+(((AC85*POSTE!$H$5)+(CUM!AD85*POSTE!$H$4))/(POSTE!$H$4*POSTE!$H$5*2))</f>
        <v>#N/A</v>
      </c>
      <c r="BM85" s="90" t="e">
        <f ca="1">+WORKDAY.INTL(BK85,BL85,,CONGÉ!C$4:C$72)</f>
        <v>#N/A</v>
      </c>
      <c r="BN85" s="78" t="e">
        <f t="shared" ca="1" si="49"/>
        <v>#N/A</v>
      </c>
    </row>
    <row r="86" spans="1:66" x14ac:dyDescent="0.25">
      <c r="A86" s="49">
        <f t="shared" si="42"/>
        <v>82</v>
      </c>
      <c r="B86" s="185" cm="1">
        <f t="array" ref="B86">_xlfn.LET(_xlpm.CORR,IF(DATA!$B$4:$B$104="",IF(DATA!$A$4:$A$104="","--",DATA!$A$4:$A$104),DATA!$B$4:$B$104),_xlpm.Rx,SMALL(_xlpm.CORR,A86),IFERROR(MATCH(_xlpm.Rx,_xlpm.CORR,0),0))</f>
        <v>0</v>
      </c>
      <c r="C86" s="18" t="e">
        <f>+VLOOKUP($A86,DATA!$A:$AG,DATA!$E$3,FALSE)</f>
        <v>#N/A</v>
      </c>
      <c r="D86" s="18" t="e">
        <f>+VLOOKUP($A86,DATA!$A:$AG,DATA!$D$3,FALSE)</f>
        <v>#N/A</v>
      </c>
      <c r="E86" s="186" t="e">
        <f>+VLOOKUP($A86,DATA!$A:$AG,DATA!$G$3,FALSE)</f>
        <v>#N/A</v>
      </c>
      <c r="F86" s="19" t="e">
        <f>+VLOOKUP($A86,DATA!$A:$AG,DATA!$O$3,FALSE)</f>
        <v>#N/A</v>
      </c>
      <c r="G86" s="43" t="e">
        <f>+IF($F86="oui",+VLOOKUP($A86,DATA!$A:$AG,DATA!$P$3,FALSE),0)</f>
        <v>#N/A</v>
      </c>
      <c r="H86" s="44" t="e">
        <f>+IF($F86="oui",+VLOOKUP($A86,DATA!$A:$AG,DATA!$R$3,FALSE),0)</f>
        <v>#N/A</v>
      </c>
      <c r="I86" s="44" t="e">
        <f>+IF($F86="oui",+VLOOKUP($A86,DATA!$A:$AG,DATA!$T$3,FALSE),0)</f>
        <v>#N/A</v>
      </c>
      <c r="J86" s="44" t="e">
        <f>+IF($F86="oui",+VLOOKUP($A86,DATA!$A:$AG,DATA!$V$3,FALSE),0)</f>
        <v>#N/A</v>
      </c>
      <c r="K86" s="44" t="e">
        <f>+IF($F86="oui",+VLOOKUP($A86,DATA!$A:$AG,DATA!$X$3,FALSE),0)</f>
        <v>#N/A</v>
      </c>
      <c r="L86" s="44" t="e">
        <f>+IF($F86="oui",+VLOOKUP($A86,DATA!$A:$AG,DATA!$Z$3,FALSE),0)</f>
        <v>#N/A</v>
      </c>
      <c r="M86" s="44" t="e">
        <f>+IF($F86="oui",+VLOOKUP($A86,DATA!$A:$AG,DATA!$AB$3,FALSE),0)</f>
        <v>#N/A</v>
      </c>
      <c r="N86" s="44" t="e">
        <f>+IF($F86="oui",+VLOOKUP($A86,DATA!$A:$AG,DATA!$AD$3,FALSE),0)</f>
        <v>#N/A</v>
      </c>
      <c r="O86" s="45" t="e">
        <f>+IF($F86="oui",+VLOOKUP($A86,DATA!$A:$AG,DATA!$AF$3,FALSE),0)</f>
        <v>#N/A</v>
      </c>
      <c r="P86" s="116" t="e">
        <f t="shared" si="43"/>
        <v>#N/A</v>
      </c>
      <c r="Q86" s="21" t="e">
        <f>+IF($F86="oui",+VLOOKUP($A86,DATA!$A:$AG,DATA!$Q$3,FALSE),0)</f>
        <v>#N/A</v>
      </c>
      <c r="R86" s="22" t="e">
        <f>+IF($F86="oui",+VLOOKUP($A86,DATA!$A:$AG,DATA!$S$3,FALSE),0)</f>
        <v>#N/A</v>
      </c>
      <c r="S86" s="22" t="e">
        <f>+IF($F86="oui",+VLOOKUP($A86,DATA!$A:$AG,DATA!$U$3,FALSE),0)</f>
        <v>#N/A</v>
      </c>
      <c r="T86" s="22" t="e">
        <f>+IF($F86="oui",+VLOOKUP($A86,DATA!$A:$AG,DATA!$W$3,FALSE),0)</f>
        <v>#N/A</v>
      </c>
      <c r="U86" s="22" t="e">
        <f>+IF($F86="oui",+VLOOKUP($A86,DATA!$A:$AG,DATA!$Y$3,FALSE),0)</f>
        <v>#N/A</v>
      </c>
      <c r="V86" s="22" t="e">
        <f>+IF($F86="oui",+VLOOKUP($A86,DATA!$A:$AG,DATA!$AA$3,FALSE),0)</f>
        <v>#N/A</v>
      </c>
      <c r="W86" s="22" t="e">
        <f>+IF($F86="oui",+VLOOKUP($A86,DATA!$A:$AG,DATA!$AC$3,FALSE),0)</f>
        <v>#N/A</v>
      </c>
      <c r="X86" s="22" t="e">
        <f>+IF($F86="oui",+VLOOKUP($A86,DATA!$A:$AG,DATA!$AE$3,FALSE),0)</f>
        <v>#N/A</v>
      </c>
      <c r="Y86" s="23" t="e">
        <f>+IF($F86="oui",+VLOOKUP($A86,DATA!$A:$AG,DATA!$AG$3,FALSE),0)</f>
        <v>#N/A</v>
      </c>
      <c r="Z86" s="118" t="e">
        <f t="shared" si="31"/>
        <v>#N/A</v>
      </c>
      <c r="AA86" s="43" t="e">
        <f t="shared" si="32"/>
        <v>#N/A</v>
      </c>
      <c r="AB86" s="44" t="e">
        <f t="shared" si="33"/>
        <v>#N/A</v>
      </c>
      <c r="AC86" s="44" t="e">
        <f t="shared" si="34"/>
        <v>#N/A</v>
      </c>
      <c r="AD86" s="44" t="e">
        <f t="shared" si="35"/>
        <v>#N/A</v>
      </c>
      <c r="AE86" s="44" t="e">
        <f t="shared" si="36"/>
        <v>#N/A</v>
      </c>
      <c r="AF86" s="44" t="e">
        <f t="shared" si="37"/>
        <v>#N/A</v>
      </c>
      <c r="AG86" s="44" t="e">
        <f t="shared" si="38"/>
        <v>#N/A</v>
      </c>
      <c r="AH86" s="44" t="e">
        <f t="shared" si="39"/>
        <v>#N/A</v>
      </c>
      <c r="AI86" s="45" t="e">
        <f t="shared" si="40"/>
        <v>#N/A</v>
      </c>
      <c r="AJ86" s="70" t="e">
        <f>+IF(Q86=0," ",+WORKDAY.INTL(+VLOOKUP(AJ$1,POSTE!$B:$G,3,FALSE),+CUM!AA85/+VLOOKUP(AJ$1,POSTE!$B:$H,7,FALSE),,CONGÉ!$C$2:$C$80))</f>
        <v>#N/A</v>
      </c>
      <c r="AK86" s="50" t="e">
        <f>+IF(R86=0," ",+WORKDAY.INTL(+VLOOKUP(AK$1,POSTE!$B:$G,3,FALSE),+CUM!AB85/+VLOOKUP(AK$1,POSTE!$B:$H,7,FALSE),,CONGÉ!$C$2:$C$80))</f>
        <v>#N/A</v>
      </c>
      <c r="AL86" s="50" t="e">
        <f>+IF(S86=0," ",+WORKDAY.INTL(+VLOOKUP(AL$1,POSTE!$B:$G,3,FALSE),+CUM!AC85/+VLOOKUP(AL$1,POSTE!$B:$H,7,FALSE),,CONGÉ!$C$2:$C$80))</f>
        <v>#N/A</v>
      </c>
      <c r="AM86" s="50" t="e">
        <f>+IF(T86=0," ",+WORKDAY.INTL(+VLOOKUP(AM$1,POSTE!$B:$G,3,FALSE),+CUM!AD85/+VLOOKUP(AM$1,POSTE!$B:$H,7,FALSE),,CONGÉ!$C$2:$C$80))</f>
        <v>#N/A</v>
      </c>
      <c r="AN86" s="50" t="e">
        <f>+IF(U86=0," ",+WORKDAY.INTL(+VLOOKUP(AN$1,POSTE!$B:$G,3,FALSE),+CUM!AE85/+VLOOKUP(AN$1,POSTE!$B:$H,7,FALSE),,CONGÉ!$C$2:$C$80))</f>
        <v>#N/A</v>
      </c>
      <c r="AO86" s="50" t="e">
        <f>+IF(V86=0," ",+WORKDAY.INTL(+VLOOKUP(AO$1,POSTE!$B:$G,3,FALSE),+CUM!AF85/+VLOOKUP(AO$1,POSTE!$B:$H,7,FALSE),,CONGÉ!$C$2:$C$80))</f>
        <v>#N/A</v>
      </c>
      <c r="AP86" s="50" t="e">
        <f>+IF(W86=0," ",+WORKDAY.INTL(+VLOOKUP(AP$1,POSTE!$B:$G,3,FALSE),+CUM!AG85/+VLOOKUP(AP$1,POSTE!$B:$H,7,FALSE),,CONGÉ!$C$2:$C$80))</f>
        <v>#N/A</v>
      </c>
      <c r="AQ86" s="50" t="e">
        <f>+IF(X86=0," ",+WORKDAY.INTL(+VLOOKUP(AQ$1,POSTE!$B:$G,3,FALSE),+CUM!AH85/+VLOOKUP(AQ$1,POSTE!$B:$H,7,FALSE),,CONGÉ!$C$2:$C$80))</f>
        <v>#N/A</v>
      </c>
      <c r="AR86" s="71" t="e">
        <f>+IF(Y86=0," ",+WORKDAY.INTL(+VLOOKUP(AR$1,POSTE!$B:$G,3,FALSE),+CUM!AI85/+VLOOKUP(AR$1,POSTE!$B:$H,7,FALSE),,CONGÉ!$C$2:$C$80))</f>
        <v>#N/A</v>
      </c>
      <c r="AS86" s="72" t="e">
        <f>+IF(Q86=0," ",+WORKDAY.INTL(+VLOOKUP(AS$1,POSTE!$B:$G,3,FALSE),+CUM!AA86/+VLOOKUP(AS$1,POSTE!$B:$H,7,FALSE),,CONGÉ!$C$2:$C$80))</f>
        <v>#N/A</v>
      </c>
      <c r="AT86" s="73" t="e">
        <f>+IF(R86=0," ",+WORKDAY.INTL(+VLOOKUP(AT$1,POSTE!$B:$G,3,FALSE),+CUM!AB86/+VLOOKUP(AT$1,POSTE!$B:$H,7,FALSE),,CONGÉ!$C$2:$C$80))</f>
        <v>#N/A</v>
      </c>
      <c r="AU86" s="73" t="e">
        <f>+IF(AND(S86=0,T86=0)," ",+WORKDAY.INTL(+VLOOKUP($AS$1,POSTE!B:J,3,FALSE),+(((AC86*POSTE!$H$5)+(CUM!AD86*POSTE!$H$4))/(POSTE!$H$4*POSTE!$H$5*2)),,CONGÉ!$C$2:$C$80))</f>
        <v>#N/A</v>
      </c>
      <c r="AV86" s="73" t="e">
        <f>+IF(U86=0," ",+WORKDAY.INTL(+VLOOKUP(AV$1,POSTE!$B:$G,3,FALSE),+CUM!AE86/+VLOOKUP(AV$1,POSTE!$B:$H,7,FALSE),,CONGÉ!$C$2:$C$80))</f>
        <v>#N/A</v>
      </c>
      <c r="AW86" s="73" t="e">
        <f>+IF(V86=0," ",+WORKDAY.INTL(+VLOOKUP(AW$1,POSTE!$B:$G,3,FALSE),+CUM!AF86/+VLOOKUP(AW$1,POSTE!$B:$H,7,FALSE),,CONGÉ!$C$2:$C$80))</f>
        <v>#N/A</v>
      </c>
      <c r="AX86" s="73" t="e">
        <f>+IF(W86=0," ",+WORKDAY.INTL(+VLOOKUP(AX$1,POSTE!$B:$G,3,FALSE),+CUM!AG86/+VLOOKUP(AX$1,POSTE!$B:$H,7,FALSE),,CONGÉ!$C$2:$C$80))</f>
        <v>#N/A</v>
      </c>
      <c r="AY86" s="73" t="e">
        <f>+IF(X86=0," ",+WORKDAY.INTL(+VLOOKUP(AY$1,POSTE!$B:$G,3,FALSE),+CUM!AH86/+VLOOKUP(AY$1,POSTE!$B:$H,7,FALSE),,CONGÉ!$C$2:$C$80))</f>
        <v>#N/A</v>
      </c>
      <c r="AZ86" s="73" t="e">
        <f>+IF(Y86=0," ",+WORKDAY.INTL(+VLOOKUP(AZ$1,POSTE!$B:$G,3,FALSE),+CUM!AI86/+VLOOKUP(AZ$1,POSTE!$B:$H,7,FALSE),,CONGÉ!$C$2:$C$80))</f>
        <v>#N/A</v>
      </c>
      <c r="BA86" s="73" t="e">
        <f>+IF(S86=0," ",+WORKDAY.INTL(+VLOOKUP(BA$1,POSTE!$B:$G,3,FALSE),+CUM!AC86/+VLOOKUP(BA$1,POSTE!$B:$H,7,FALSE),,CONGÉ!$C$2:$C$80))</f>
        <v>#N/A</v>
      </c>
      <c r="BB86" s="73" t="e">
        <f>+IF(T86=0," ",+WORKDAY.INTL(+VLOOKUP(BB$1,POSTE!$B:$G,3,FALSE),+CUM!AD86/+VLOOKUP(BB$1,POSTE!$B:$H,7,FALSE),,CONGÉ!$C$2:$C$80))</f>
        <v>#N/A</v>
      </c>
      <c r="BC86" s="70" t="e">
        <f t="shared" si="44"/>
        <v>#N/A</v>
      </c>
      <c r="BD86" s="70" t="e">
        <f t="shared" si="45"/>
        <v>#N/A</v>
      </c>
      <c r="BE86" s="129" t="e">
        <f>+IF($F86="oui",+VLOOKUP($A86,DATA!$A:$AH,DATA!$AH$3,FALSE),0)</f>
        <v>#N/A</v>
      </c>
      <c r="BF86" s="129" t="e">
        <f t="shared" si="46"/>
        <v>#N/A</v>
      </c>
      <c r="BG86" s="136" t="e">
        <f>+IF(BE86&gt;0,+MAX((BH$4:BH85),BD86),"")</f>
        <v>#N/A</v>
      </c>
      <c r="BH86" s="136" t="e">
        <f>+IF(BE86&gt;0,+MAX((BH$4:BH85),+WORKDAY.INTL(BG86,+BE86/8,,CONGÉ!$C$2:$C$73)),"")</f>
        <v>#N/A</v>
      </c>
      <c r="BI86" s="136" t="e">
        <f t="shared" si="47"/>
        <v>#N/A</v>
      </c>
      <c r="BJ86" s="43" t="e">
        <f t="shared" si="41"/>
        <v>#N/A</v>
      </c>
      <c r="BK86" s="77">
        <f t="shared" ca="1" si="48"/>
        <v>45754</v>
      </c>
      <c r="BL86" s="78" t="e">
        <f>+(((AC86*POSTE!$H$5)+(CUM!AD86*POSTE!$H$4))/(POSTE!$H$4*POSTE!$H$5*2))</f>
        <v>#N/A</v>
      </c>
      <c r="BM86" s="90" t="e">
        <f ca="1">+WORKDAY.INTL(BK86,BL86,,CONGÉ!C$4:C$72)</f>
        <v>#N/A</v>
      </c>
      <c r="BN86" s="78" t="e">
        <f t="shared" ca="1" si="49"/>
        <v>#N/A</v>
      </c>
    </row>
    <row r="87" spans="1:66" x14ac:dyDescent="0.25">
      <c r="A87" s="49">
        <f t="shared" si="42"/>
        <v>83</v>
      </c>
      <c r="B87" s="185" cm="1">
        <f t="array" ref="B87">_xlfn.LET(_xlpm.CORR,IF(DATA!$B$4:$B$104="",IF(DATA!$A$4:$A$104="","--",DATA!$A$4:$A$104),DATA!$B$4:$B$104),_xlpm.Rx,SMALL(_xlpm.CORR,A87),IFERROR(MATCH(_xlpm.Rx,_xlpm.CORR,0),0))</f>
        <v>0</v>
      </c>
      <c r="C87" s="18" t="e">
        <f>+VLOOKUP($A87,DATA!$A:$AG,DATA!$E$3,FALSE)</f>
        <v>#N/A</v>
      </c>
      <c r="D87" s="18" t="e">
        <f>+VLOOKUP($A87,DATA!$A:$AG,DATA!$D$3,FALSE)</f>
        <v>#N/A</v>
      </c>
      <c r="E87" s="186" t="e">
        <f>+VLOOKUP($A87,DATA!$A:$AG,DATA!$G$3,FALSE)</f>
        <v>#N/A</v>
      </c>
      <c r="F87" s="19" t="e">
        <f>+VLOOKUP($A87,DATA!$A:$AG,DATA!$O$3,FALSE)</f>
        <v>#N/A</v>
      </c>
      <c r="G87" s="43" t="e">
        <f>+IF($F87="oui",+VLOOKUP($A87,DATA!$A:$AG,DATA!$P$3,FALSE),0)</f>
        <v>#N/A</v>
      </c>
      <c r="H87" s="44" t="e">
        <f>+IF($F87="oui",+VLOOKUP($A87,DATA!$A:$AG,DATA!$R$3,FALSE),0)</f>
        <v>#N/A</v>
      </c>
      <c r="I87" s="44" t="e">
        <f>+IF($F87="oui",+VLOOKUP($A87,DATA!$A:$AG,DATA!$T$3,FALSE),0)</f>
        <v>#N/A</v>
      </c>
      <c r="J87" s="44" t="e">
        <f>+IF($F87="oui",+VLOOKUP($A87,DATA!$A:$AG,DATA!$V$3,FALSE),0)</f>
        <v>#N/A</v>
      </c>
      <c r="K87" s="44" t="e">
        <f>+IF($F87="oui",+VLOOKUP($A87,DATA!$A:$AG,DATA!$X$3,FALSE),0)</f>
        <v>#N/A</v>
      </c>
      <c r="L87" s="44" t="e">
        <f>+IF($F87="oui",+VLOOKUP($A87,DATA!$A:$AG,DATA!$Z$3,FALSE),0)</f>
        <v>#N/A</v>
      </c>
      <c r="M87" s="44" t="e">
        <f>+IF($F87="oui",+VLOOKUP($A87,DATA!$A:$AG,DATA!$AB$3,FALSE),0)</f>
        <v>#N/A</v>
      </c>
      <c r="N87" s="44" t="e">
        <f>+IF($F87="oui",+VLOOKUP($A87,DATA!$A:$AG,DATA!$AD$3,FALSE),0)</f>
        <v>#N/A</v>
      </c>
      <c r="O87" s="45" t="e">
        <f>+IF($F87="oui",+VLOOKUP($A87,DATA!$A:$AG,DATA!$AF$3,FALSE),0)</f>
        <v>#N/A</v>
      </c>
      <c r="P87" s="116" t="e">
        <f t="shared" si="43"/>
        <v>#N/A</v>
      </c>
      <c r="Q87" s="21" t="e">
        <f>+IF($F87="oui",+VLOOKUP($A87,DATA!$A:$AG,DATA!$Q$3,FALSE),0)</f>
        <v>#N/A</v>
      </c>
      <c r="R87" s="22" t="e">
        <f>+IF($F87="oui",+VLOOKUP($A87,DATA!$A:$AG,DATA!$S$3,FALSE),0)</f>
        <v>#N/A</v>
      </c>
      <c r="S87" s="22" t="e">
        <f>+IF($F87="oui",+VLOOKUP($A87,DATA!$A:$AG,DATA!$U$3,FALSE),0)</f>
        <v>#N/A</v>
      </c>
      <c r="T87" s="22" t="e">
        <f>+IF($F87="oui",+VLOOKUP($A87,DATA!$A:$AG,DATA!$W$3,FALSE),0)</f>
        <v>#N/A</v>
      </c>
      <c r="U87" s="22" t="e">
        <f>+IF($F87="oui",+VLOOKUP($A87,DATA!$A:$AG,DATA!$Y$3,FALSE),0)</f>
        <v>#N/A</v>
      </c>
      <c r="V87" s="22" t="e">
        <f>+IF($F87="oui",+VLOOKUP($A87,DATA!$A:$AG,DATA!$AA$3,FALSE),0)</f>
        <v>#N/A</v>
      </c>
      <c r="W87" s="22" t="e">
        <f>+IF($F87="oui",+VLOOKUP($A87,DATA!$A:$AG,DATA!$AC$3,FALSE),0)</f>
        <v>#N/A</v>
      </c>
      <c r="X87" s="22" t="e">
        <f>+IF($F87="oui",+VLOOKUP($A87,DATA!$A:$AG,DATA!$AE$3,FALSE),0)</f>
        <v>#N/A</v>
      </c>
      <c r="Y87" s="23" t="e">
        <f>+IF($F87="oui",+VLOOKUP($A87,DATA!$A:$AG,DATA!$AG$3,FALSE),0)</f>
        <v>#N/A</v>
      </c>
      <c r="Z87" s="118" t="e">
        <f t="shared" si="31"/>
        <v>#N/A</v>
      </c>
      <c r="AA87" s="43" t="e">
        <f t="shared" si="32"/>
        <v>#N/A</v>
      </c>
      <c r="AB87" s="44" t="e">
        <f t="shared" si="33"/>
        <v>#N/A</v>
      </c>
      <c r="AC87" s="44" t="e">
        <f t="shared" si="34"/>
        <v>#N/A</v>
      </c>
      <c r="AD87" s="44" t="e">
        <f t="shared" si="35"/>
        <v>#N/A</v>
      </c>
      <c r="AE87" s="44" t="e">
        <f t="shared" si="36"/>
        <v>#N/A</v>
      </c>
      <c r="AF87" s="44" t="e">
        <f t="shared" si="37"/>
        <v>#N/A</v>
      </c>
      <c r="AG87" s="44" t="e">
        <f t="shared" si="38"/>
        <v>#N/A</v>
      </c>
      <c r="AH87" s="44" t="e">
        <f t="shared" si="39"/>
        <v>#N/A</v>
      </c>
      <c r="AI87" s="45" t="e">
        <f t="shared" si="40"/>
        <v>#N/A</v>
      </c>
      <c r="AJ87" s="70" t="e">
        <f>+IF(Q87=0," ",+WORKDAY.INTL(+VLOOKUP(AJ$1,POSTE!$B:$G,3,FALSE),+CUM!AA86/+VLOOKUP(AJ$1,POSTE!$B:$H,7,FALSE),,CONGÉ!$C$2:$C$80))</f>
        <v>#N/A</v>
      </c>
      <c r="AK87" s="50" t="e">
        <f>+IF(R87=0," ",+WORKDAY.INTL(+VLOOKUP(AK$1,POSTE!$B:$G,3,FALSE),+CUM!AB86/+VLOOKUP(AK$1,POSTE!$B:$H,7,FALSE),,CONGÉ!$C$2:$C$80))</f>
        <v>#N/A</v>
      </c>
      <c r="AL87" s="50" t="e">
        <f>+IF(S87=0," ",+WORKDAY.INTL(+VLOOKUP(AL$1,POSTE!$B:$G,3,FALSE),+CUM!AC86/+VLOOKUP(AL$1,POSTE!$B:$H,7,FALSE),,CONGÉ!$C$2:$C$80))</f>
        <v>#N/A</v>
      </c>
      <c r="AM87" s="50" t="e">
        <f>+IF(T87=0," ",+WORKDAY.INTL(+VLOOKUP(AM$1,POSTE!$B:$G,3,FALSE),+CUM!AD86/+VLOOKUP(AM$1,POSTE!$B:$H,7,FALSE),,CONGÉ!$C$2:$C$80))</f>
        <v>#N/A</v>
      </c>
      <c r="AN87" s="50" t="e">
        <f>+IF(U87=0," ",+WORKDAY.INTL(+VLOOKUP(AN$1,POSTE!$B:$G,3,FALSE),+CUM!AE86/+VLOOKUP(AN$1,POSTE!$B:$H,7,FALSE),,CONGÉ!$C$2:$C$80))</f>
        <v>#N/A</v>
      </c>
      <c r="AO87" s="50" t="e">
        <f>+IF(V87=0," ",+WORKDAY.INTL(+VLOOKUP(AO$1,POSTE!$B:$G,3,FALSE),+CUM!AF86/+VLOOKUP(AO$1,POSTE!$B:$H,7,FALSE),,CONGÉ!$C$2:$C$80))</f>
        <v>#N/A</v>
      </c>
      <c r="AP87" s="50" t="e">
        <f>+IF(W87=0," ",+WORKDAY.INTL(+VLOOKUP(AP$1,POSTE!$B:$G,3,FALSE),+CUM!AG86/+VLOOKUP(AP$1,POSTE!$B:$H,7,FALSE),,CONGÉ!$C$2:$C$80))</f>
        <v>#N/A</v>
      </c>
      <c r="AQ87" s="50" t="e">
        <f>+IF(X87=0," ",+WORKDAY.INTL(+VLOOKUP(AQ$1,POSTE!$B:$G,3,FALSE),+CUM!AH86/+VLOOKUP(AQ$1,POSTE!$B:$H,7,FALSE),,CONGÉ!$C$2:$C$80))</f>
        <v>#N/A</v>
      </c>
      <c r="AR87" s="71" t="e">
        <f>+IF(Y87=0," ",+WORKDAY.INTL(+VLOOKUP(AR$1,POSTE!$B:$G,3,FALSE),+CUM!AI86/+VLOOKUP(AR$1,POSTE!$B:$H,7,FALSE),,CONGÉ!$C$2:$C$80))</f>
        <v>#N/A</v>
      </c>
      <c r="AS87" s="72" t="e">
        <f>+IF(Q87=0," ",+WORKDAY.INTL(+VLOOKUP(AS$1,POSTE!$B:$G,3,FALSE),+CUM!AA87/+VLOOKUP(AS$1,POSTE!$B:$H,7,FALSE),,CONGÉ!$C$2:$C$80))</f>
        <v>#N/A</v>
      </c>
      <c r="AT87" s="73" t="e">
        <f>+IF(R87=0," ",+WORKDAY.INTL(+VLOOKUP(AT$1,POSTE!$B:$G,3,FALSE),+CUM!AB87/+VLOOKUP(AT$1,POSTE!$B:$H,7,FALSE),,CONGÉ!$C$2:$C$80))</f>
        <v>#N/A</v>
      </c>
      <c r="AU87" s="73" t="e">
        <f>+IF(AND(S87=0,T87=0)," ",+WORKDAY.INTL(+VLOOKUP($AS$1,POSTE!B:J,3,FALSE),+(((AC87*POSTE!$H$5)+(CUM!AD87*POSTE!$H$4))/(POSTE!$H$4*POSTE!$H$5*2)),,CONGÉ!$C$2:$C$80))</f>
        <v>#N/A</v>
      </c>
      <c r="AV87" s="73" t="e">
        <f>+IF(U87=0," ",+WORKDAY.INTL(+VLOOKUP(AV$1,POSTE!$B:$G,3,FALSE),+CUM!AE87/+VLOOKUP(AV$1,POSTE!$B:$H,7,FALSE),,CONGÉ!$C$2:$C$80))</f>
        <v>#N/A</v>
      </c>
      <c r="AW87" s="73" t="e">
        <f>+IF(V87=0," ",+WORKDAY.INTL(+VLOOKUP(AW$1,POSTE!$B:$G,3,FALSE),+CUM!AF87/+VLOOKUP(AW$1,POSTE!$B:$H,7,FALSE),,CONGÉ!$C$2:$C$80))</f>
        <v>#N/A</v>
      </c>
      <c r="AX87" s="73" t="e">
        <f>+IF(W87=0," ",+WORKDAY.INTL(+VLOOKUP(AX$1,POSTE!$B:$G,3,FALSE),+CUM!AG87/+VLOOKUP(AX$1,POSTE!$B:$H,7,FALSE),,CONGÉ!$C$2:$C$80))</f>
        <v>#N/A</v>
      </c>
      <c r="AY87" s="73" t="e">
        <f>+IF(X87=0," ",+WORKDAY.INTL(+VLOOKUP(AY$1,POSTE!$B:$G,3,FALSE),+CUM!AH87/+VLOOKUP(AY$1,POSTE!$B:$H,7,FALSE),,CONGÉ!$C$2:$C$80))</f>
        <v>#N/A</v>
      </c>
      <c r="AZ87" s="73" t="e">
        <f>+IF(Y87=0," ",+WORKDAY.INTL(+VLOOKUP(AZ$1,POSTE!$B:$G,3,FALSE),+CUM!AI87/+VLOOKUP(AZ$1,POSTE!$B:$H,7,FALSE),,CONGÉ!$C$2:$C$80))</f>
        <v>#N/A</v>
      </c>
      <c r="BA87" s="73" t="e">
        <f>+IF(S87=0," ",+WORKDAY.INTL(+VLOOKUP(BA$1,POSTE!$B:$G,3,FALSE),+CUM!AC87/+VLOOKUP(BA$1,POSTE!$B:$H,7,FALSE),,CONGÉ!$C$2:$C$80))</f>
        <v>#N/A</v>
      </c>
      <c r="BB87" s="73" t="e">
        <f>+IF(T87=0," ",+WORKDAY.INTL(+VLOOKUP(BB$1,POSTE!$B:$G,3,FALSE),+CUM!AD87/+VLOOKUP(BB$1,POSTE!$B:$H,7,FALSE),,CONGÉ!$C$2:$C$80))</f>
        <v>#N/A</v>
      </c>
      <c r="BC87" s="70" t="e">
        <f t="shared" si="44"/>
        <v>#N/A</v>
      </c>
      <c r="BD87" s="70" t="e">
        <f t="shared" si="45"/>
        <v>#N/A</v>
      </c>
      <c r="BE87" s="129" t="e">
        <f>+IF($F87="oui",+VLOOKUP($A87,DATA!$A:$AH,DATA!$AH$3,FALSE),0)</f>
        <v>#N/A</v>
      </c>
      <c r="BF87" s="129" t="e">
        <f t="shared" si="46"/>
        <v>#N/A</v>
      </c>
      <c r="BG87" s="136" t="e">
        <f>+IF(BE87&gt;0,+MAX((BH$4:BH86),BD87),"")</f>
        <v>#N/A</v>
      </c>
      <c r="BH87" s="136" t="e">
        <f>+IF(BE87&gt;0,+MAX((BH$4:BH86),+WORKDAY.INTL(BG87,+BE87/8,,CONGÉ!$C$2:$C$73)),"")</f>
        <v>#N/A</v>
      </c>
      <c r="BI87" s="136" t="e">
        <f t="shared" si="47"/>
        <v>#N/A</v>
      </c>
      <c r="BJ87" s="43" t="e">
        <f t="shared" si="41"/>
        <v>#N/A</v>
      </c>
      <c r="BK87" s="77">
        <f t="shared" ca="1" si="48"/>
        <v>45754</v>
      </c>
      <c r="BL87" s="78" t="e">
        <f>+(((AC87*POSTE!$H$5)+(CUM!AD87*POSTE!$H$4))/(POSTE!$H$4*POSTE!$H$5*2))</f>
        <v>#N/A</v>
      </c>
      <c r="BM87" s="90" t="e">
        <f ca="1">+WORKDAY.INTL(BK87,BL87,,CONGÉ!C$4:C$72)</f>
        <v>#N/A</v>
      </c>
      <c r="BN87" s="78" t="e">
        <f t="shared" ca="1" si="49"/>
        <v>#N/A</v>
      </c>
    </row>
    <row r="88" spans="1:66" x14ac:dyDescent="0.25">
      <c r="A88" s="49">
        <f t="shared" si="42"/>
        <v>84</v>
      </c>
      <c r="B88" s="185" cm="1">
        <f t="array" ref="B88">_xlfn.LET(_xlpm.CORR,IF(DATA!$B$4:$B$104="",IF(DATA!$A$4:$A$104="","--",DATA!$A$4:$A$104),DATA!$B$4:$B$104),_xlpm.Rx,SMALL(_xlpm.CORR,A88),IFERROR(MATCH(_xlpm.Rx,_xlpm.CORR,0),0))</f>
        <v>0</v>
      </c>
      <c r="C88" s="18" t="e">
        <f>+VLOOKUP($A88,DATA!$A:$AG,DATA!$E$3,FALSE)</f>
        <v>#N/A</v>
      </c>
      <c r="D88" s="18" t="e">
        <f>+VLOOKUP($A88,DATA!$A:$AG,DATA!$D$3,FALSE)</f>
        <v>#N/A</v>
      </c>
      <c r="E88" s="186" t="e">
        <f>+VLOOKUP($A88,DATA!$A:$AG,DATA!$G$3,FALSE)</f>
        <v>#N/A</v>
      </c>
      <c r="F88" s="19" t="e">
        <f>+VLOOKUP($A88,DATA!$A:$AG,DATA!$O$3,FALSE)</f>
        <v>#N/A</v>
      </c>
      <c r="G88" s="43" t="e">
        <f>+IF($F88="oui",+VLOOKUP($A88,DATA!$A:$AG,DATA!$P$3,FALSE),0)</f>
        <v>#N/A</v>
      </c>
      <c r="H88" s="44" t="e">
        <f>+IF($F88="oui",+VLOOKUP($A88,DATA!$A:$AG,DATA!$R$3,FALSE),0)</f>
        <v>#N/A</v>
      </c>
      <c r="I88" s="44" t="e">
        <f>+IF($F88="oui",+VLOOKUP($A88,DATA!$A:$AG,DATA!$T$3,FALSE),0)</f>
        <v>#N/A</v>
      </c>
      <c r="J88" s="44" t="e">
        <f>+IF($F88="oui",+VLOOKUP($A88,DATA!$A:$AG,DATA!$V$3,FALSE),0)</f>
        <v>#N/A</v>
      </c>
      <c r="K88" s="44" t="e">
        <f>+IF($F88="oui",+VLOOKUP($A88,DATA!$A:$AG,DATA!$X$3,FALSE),0)</f>
        <v>#N/A</v>
      </c>
      <c r="L88" s="44" t="e">
        <f>+IF($F88="oui",+VLOOKUP($A88,DATA!$A:$AG,DATA!$Z$3,FALSE),0)</f>
        <v>#N/A</v>
      </c>
      <c r="M88" s="44" t="e">
        <f>+IF($F88="oui",+VLOOKUP($A88,DATA!$A:$AG,DATA!$AB$3,FALSE),0)</f>
        <v>#N/A</v>
      </c>
      <c r="N88" s="44" t="e">
        <f>+IF($F88="oui",+VLOOKUP($A88,DATA!$A:$AG,DATA!$AD$3,FALSE),0)</f>
        <v>#N/A</v>
      </c>
      <c r="O88" s="45" t="e">
        <f>+IF($F88="oui",+VLOOKUP($A88,DATA!$A:$AG,DATA!$AF$3,FALSE),0)</f>
        <v>#N/A</v>
      </c>
      <c r="P88" s="116" t="e">
        <f t="shared" si="43"/>
        <v>#N/A</v>
      </c>
      <c r="Q88" s="21" t="e">
        <f>+IF($F88="oui",+VLOOKUP($A88,DATA!$A:$AG,DATA!$Q$3,FALSE),0)</f>
        <v>#N/A</v>
      </c>
      <c r="R88" s="22" t="e">
        <f>+IF($F88="oui",+VLOOKUP($A88,DATA!$A:$AG,DATA!$S$3,FALSE),0)</f>
        <v>#N/A</v>
      </c>
      <c r="S88" s="22" t="e">
        <f>+IF($F88="oui",+VLOOKUP($A88,DATA!$A:$AG,DATA!$U$3,FALSE),0)</f>
        <v>#N/A</v>
      </c>
      <c r="T88" s="22" t="e">
        <f>+IF($F88="oui",+VLOOKUP($A88,DATA!$A:$AG,DATA!$W$3,FALSE),0)</f>
        <v>#N/A</v>
      </c>
      <c r="U88" s="22" t="e">
        <f>+IF($F88="oui",+VLOOKUP($A88,DATA!$A:$AG,DATA!$Y$3,FALSE),0)</f>
        <v>#N/A</v>
      </c>
      <c r="V88" s="22" t="e">
        <f>+IF($F88="oui",+VLOOKUP($A88,DATA!$A:$AG,DATA!$AA$3,FALSE),0)</f>
        <v>#N/A</v>
      </c>
      <c r="W88" s="22" t="e">
        <f>+IF($F88="oui",+VLOOKUP($A88,DATA!$A:$AG,DATA!$AC$3,FALSE),0)</f>
        <v>#N/A</v>
      </c>
      <c r="X88" s="22" t="e">
        <f>+IF($F88="oui",+VLOOKUP($A88,DATA!$A:$AG,DATA!$AE$3,FALSE),0)</f>
        <v>#N/A</v>
      </c>
      <c r="Y88" s="23" t="e">
        <f>+IF($F88="oui",+VLOOKUP($A88,DATA!$A:$AG,DATA!$AG$3,FALSE),0)</f>
        <v>#N/A</v>
      </c>
      <c r="Z88" s="118" t="e">
        <f t="shared" si="31"/>
        <v>#N/A</v>
      </c>
      <c r="AA88" s="43" t="e">
        <f t="shared" si="32"/>
        <v>#N/A</v>
      </c>
      <c r="AB88" s="44" t="e">
        <f t="shared" si="33"/>
        <v>#N/A</v>
      </c>
      <c r="AC88" s="44" t="e">
        <f t="shared" si="34"/>
        <v>#N/A</v>
      </c>
      <c r="AD88" s="44" t="e">
        <f t="shared" si="35"/>
        <v>#N/A</v>
      </c>
      <c r="AE88" s="44" t="e">
        <f t="shared" si="36"/>
        <v>#N/A</v>
      </c>
      <c r="AF88" s="44" t="e">
        <f t="shared" si="37"/>
        <v>#N/A</v>
      </c>
      <c r="AG88" s="44" t="e">
        <f t="shared" si="38"/>
        <v>#N/A</v>
      </c>
      <c r="AH88" s="44" t="e">
        <f t="shared" si="39"/>
        <v>#N/A</v>
      </c>
      <c r="AI88" s="45" t="e">
        <f t="shared" si="40"/>
        <v>#N/A</v>
      </c>
      <c r="AJ88" s="70" t="e">
        <f>+IF(Q88=0," ",+WORKDAY.INTL(+VLOOKUP(AJ$1,POSTE!$B:$G,3,FALSE),+CUM!AA87/+VLOOKUP(AJ$1,POSTE!$B:$H,7,FALSE),,CONGÉ!$C$2:$C$80))</f>
        <v>#N/A</v>
      </c>
      <c r="AK88" s="50" t="e">
        <f>+IF(R88=0," ",+WORKDAY.INTL(+VLOOKUP(AK$1,POSTE!$B:$G,3,FALSE),+CUM!AB87/+VLOOKUP(AK$1,POSTE!$B:$H,7,FALSE),,CONGÉ!$C$2:$C$80))</f>
        <v>#N/A</v>
      </c>
      <c r="AL88" s="50" t="e">
        <f>+IF(S88=0," ",+WORKDAY.INTL(+VLOOKUP(AL$1,POSTE!$B:$G,3,FALSE),+CUM!AC87/+VLOOKUP(AL$1,POSTE!$B:$H,7,FALSE),,CONGÉ!$C$2:$C$80))</f>
        <v>#N/A</v>
      </c>
      <c r="AM88" s="50" t="e">
        <f>+IF(T88=0," ",+WORKDAY.INTL(+VLOOKUP(AM$1,POSTE!$B:$G,3,FALSE),+CUM!AD87/+VLOOKUP(AM$1,POSTE!$B:$H,7,FALSE),,CONGÉ!$C$2:$C$80))</f>
        <v>#N/A</v>
      </c>
      <c r="AN88" s="50" t="e">
        <f>+IF(U88=0," ",+WORKDAY.INTL(+VLOOKUP(AN$1,POSTE!$B:$G,3,FALSE),+CUM!AE87/+VLOOKUP(AN$1,POSTE!$B:$H,7,FALSE),,CONGÉ!$C$2:$C$80))</f>
        <v>#N/A</v>
      </c>
      <c r="AO88" s="50" t="e">
        <f>+IF(V88=0," ",+WORKDAY.INTL(+VLOOKUP(AO$1,POSTE!$B:$G,3,FALSE),+CUM!AF87/+VLOOKUP(AO$1,POSTE!$B:$H,7,FALSE),,CONGÉ!$C$2:$C$80))</f>
        <v>#N/A</v>
      </c>
      <c r="AP88" s="50" t="e">
        <f>+IF(W88=0," ",+WORKDAY.INTL(+VLOOKUP(AP$1,POSTE!$B:$G,3,FALSE),+CUM!AG87/+VLOOKUP(AP$1,POSTE!$B:$H,7,FALSE),,CONGÉ!$C$2:$C$80))</f>
        <v>#N/A</v>
      </c>
      <c r="AQ88" s="50" t="e">
        <f>+IF(X88=0," ",+WORKDAY.INTL(+VLOOKUP(AQ$1,POSTE!$B:$G,3,FALSE),+CUM!AH87/+VLOOKUP(AQ$1,POSTE!$B:$H,7,FALSE),,CONGÉ!$C$2:$C$80))</f>
        <v>#N/A</v>
      </c>
      <c r="AR88" s="71" t="e">
        <f>+IF(Y88=0," ",+WORKDAY.INTL(+VLOOKUP(AR$1,POSTE!$B:$G,3,FALSE),+CUM!AI87/+VLOOKUP(AR$1,POSTE!$B:$H,7,FALSE),,CONGÉ!$C$2:$C$80))</f>
        <v>#N/A</v>
      </c>
      <c r="AS88" s="72" t="e">
        <f>+IF(Q88=0," ",+WORKDAY.INTL(+VLOOKUP(AS$1,POSTE!$B:$G,3,FALSE),+CUM!AA88/+VLOOKUP(AS$1,POSTE!$B:$H,7,FALSE),,CONGÉ!$C$2:$C$80))</f>
        <v>#N/A</v>
      </c>
      <c r="AT88" s="73" t="e">
        <f>+IF(R88=0," ",+WORKDAY.INTL(+VLOOKUP(AT$1,POSTE!$B:$G,3,FALSE),+CUM!AB88/+VLOOKUP(AT$1,POSTE!$B:$H,7,FALSE),,CONGÉ!$C$2:$C$80))</f>
        <v>#N/A</v>
      </c>
      <c r="AU88" s="73" t="e">
        <f>+IF(AND(S88=0,T88=0)," ",+WORKDAY.INTL(+VLOOKUP($AS$1,POSTE!B:J,3,FALSE),+(((AC88*POSTE!$H$5)+(CUM!AD88*POSTE!$H$4))/(POSTE!$H$4*POSTE!$H$5*2)),,CONGÉ!$C$2:$C$80))</f>
        <v>#N/A</v>
      </c>
      <c r="AV88" s="73" t="e">
        <f>+IF(U88=0," ",+WORKDAY.INTL(+VLOOKUP(AV$1,POSTE!$B:$G,3,FALSE),+CUM!AE88/+VLOOKUP(AV$1,POSTE!$B:$H,7,FALSE),,CONGÉ!$C$2:$C$80))</f>
        <v>#N/A</v>
      </c>
      <c r="AW88" s="73" t="e">
        <f>+IF(V88=0," ",+WORKDAY.INTL(+VLOOKUP(AW$1,POSTE!$B:$G,3,FALSE),+CUM!AF88/+VLOOKUP(AW$1,POSTE!$B:$H,7,FALSE),,CONGÉ!$C$2:$C$80))</f>
        <v>#N/A</v>
      </c>
      <c r="AX88" s="73" t="e">
        <f>+IF(W88=0," ",+WORKDAY.INTL(+VLOOKUP(AX$1,POSTE!$B:$G,3,FALSE),+CUM!AG88/+VLOOKUP(AX$1,POSTE!$B:$H,7,FALSE),,CONGÉ!$C$2:$C$80))</f>
        <v>#N/A</v>
      </c>
      <c r="AY88" s="73" t="e">
        <f>+IF(X88=0," ",+WORKDAY.INTL(+VLOOKUP(AY$1,POSTE!$B:$G,3,FALSE),+CUM!AH88/+VLOOKUP(AY$1,POSTE!$B:$H,7,FALSE),,CONGÉ!$C$2:$C$80))</f>
        <v>#N/A</v>
      </c>
      <c r="AZ88" s="73" t="e">
        <f>+IF(Y88=0," ",+WORKDAY.INTL(+VLOOKUP(AZ$1,POSTE!$B:$G,3,FALSE),+CUM!AI88/+VLOOKUP(AZ$1,POSTE!$B:$H,7,FALSE),,CONGÉ!$C$2:$C$80))</f>
        <v>#N/A</v>
      </c>
      <c r="BA88" s="73" t="e">
        <f>+IF(S88=0," ",+WORKDAY.INTL(+VLOOKUP(BA$1,POSTE!$B:$G,3,FALSE),+CUM!AC88/+VLOOKUP(BA$1,POSTE!$B:$H,7,FALSE),,CONGÉ!$C$2:$C$80))</f>
        <v>#N/A</v>
      </c>
      <c r="BB88" s="73" t="e">
        <f>+IF(T88=0," ",+WORKDAY.INTL(+VLOOKUP(BB$1,POSTE!$B:$G,3,FALSE),+CUM!AD88/+VLOOKUP(BB$1,POSTE!$B:$H,7,FALSE),,CONGÉ!$C$2:$C$80))</f>
        <v>#N/A</v>
      </c>
      <c r="BC88" s="70" t="e">
        <f t="shared" si="44"/>
        <v>#N/A</v>
      </c>
      <c r="BD88" s="70" t="e">
        <f t="shared" si="45"/>
        <v>#N/A</v>
      </c>
      <c r="BE88" s="129" t="e">
        <f>+IF($F88="oui",+VLOOKUP($A88,DATA!$A:$AH,DATA!$AH$3,FALSE),0)</f>
        <v>#N/A</v>
      </c>
      <c r="BF88" s="129" t="e">
        <f t="shared" si="46"/>
        <v>#N/A</v>
      </c>
      <c r="BG88" s="136" t="e">
        <f>+IF(BE88&gt;0,+MAX((BH$4:BH87),BD88),"")</f>
        <v>#N/A</v>
      </c>
      <c r="BH88" s="136" t="e">
        <f>+IF(BE88&gt;0,+MAX((BH$4:BH87),+WORKDAY.INTL(BG88,+BE88/8,,CONGÉ!$C$2:$C$73)),"")</f>
        <v>#N/A</v>
      </c>
      <c r="BI88" s="136" t="e">
        <f t="shared" si="47"/>
        <v>#N/A</v>
      </c>
      <c r="BJ88" s="43" t="e">
        <f t="shared" si="41"/>
        <v>#N/A</v>
      </c>
      <c r="BK88" s="77">
        <f t="shared" ca="1" si="48"/>
        <v>45754</v>
      </c>
      <c r="BL88" s="78" t="e">
        <f>+(((AC88*POSTE!$H$5)+(CUM!AD88*POSTE!$H$4))/(POSTE!$H$4*POSTE!$H$5*2))</f>
        <v>#N/A</v>
      </c>
      <c r="BM88" s="90" t="e">
        <f ca="1">+WORKDAY.INTL(BK88,BL88,,CONGÉ!C$4:C$72)</f>
        <v>#N/A</v>
      </c>
      <c r="BN88" s="78" t="e">
        <f t="shared" ca="1" si="49"/>
        <v>#N/A</v>
      </c>
    </row>
    <row r="89" spans="1:66" x14ac:dyDescent="0.25">
      <c r="A89" s="49">
        <f t="shared" si="42"/>
        <v>85</v>
      </c>
      <c r="B89" s="185" cm="1">
        <f t="array" ref="B89">_xlfn.LET(_xlpm.CORR,IF(DATA!$B$4:$B$104="",IF(DATA!$A$4:$A$104="","--",DATA!$A$4:$A$104),DATA!$B$4:$B$104),_xlpm.Rx,SMALL(_xlpm.CORR,A89),IFERROR(MATCH(_xlpm.Rx,_xlpm.CORR,0),0))</f>
        <v>0</v>
      </c>
      <c r="C89" s="18" t="e">
        <f>+VLOOKUP($A89,DATA!$A:$AG,DATA!$E$3,FALSE)</f>
        <v>#N/A</v>
      </c>
      <c r="D89" s="18" t="e">
        <f>+VLOOKUP($A89,DATA!$A:$AG,DATA!$D$3,FALSE)</f>
        <v>#N/A</v>
      </c>
      <c r="E89" s="186" t="e">
        <f>+VLOOKUP($A89,DATA!$A:$AG,DATA!$G$3,FALSE)</f>
        <v>#N/A</v>
      </c>
      <c r="F89" s="19" t="e">
        <f>+VLOOKUP($A89,DATA!$A:$AG,DATA!$O$3,FALSE)</f>
        <v>#N/A</v>
      </c>
      <c r="G89" s="43" t="e">
        <f>+IF($F89="oui",+VLOOKUP($A89,DATA!$A:$AG,DATA!$P$3,FALSE),0)</f>
        <v>#N/A</v>
      </c>
      <c r="H89" s="44" t="e">
        <f>+IF($F89="oui",+VLOOKUP($A89,DATA!$A:$AG,DATA!$R$3,FALSE),0)</f>
        <v>#N/A</v>
      </c>
      <c r="I89" s="44" t="e">
        <f>+IF($F89="oui",+VLOOKUP($A89,DATA!$A:$AG,DATA!$T$3,FALSE),0)</f>
        <v>#N/A</v>
      </c>
      <c r="J89" s="44" t="e">
        <f>+IF($F89="oui",+VLOOKUP($A89,DATA!$A:$AG,DATA!$V$3,FALSE),0)</f>
        <v>#N/A</v>
      </c>
      <c r="K89" s="44" t="e">
        <f>+IF($F89="oui",+VLOOKUP($A89,DATA!$A:$AG,DATA!$X$3,FALSE),0)</f>
        <v>#N/A</v>
      </c>
      <c r="L89" s="44" t="e">
        <f>+IF($F89="oui",+VLOOKUP($A89,DATA!$A:$AG,DATA!$Z$3,FALSE),0)</f>
        <v>#N/A</v>
      </c>
      <c r="M89" s="44" t="e">
        <f>+IF($F89="oui",+VLOOKUP($A89,DATA!$A:$AG,DATA!$AB$3,FALSE),0)</f>
        <v>#N/A</v>
      </c>
      <c r="N89" s="44" t="e">
        <f>+IF($F89="oui",+VLOOKUP($A89,DATA!$A:$AG,DATA!$AD$3,FALSE),0)</f>
        <v>#N/A</v>
      </c>
      <c r="O89" s="45" t="e">
        <f>+IF($F89="oui",+VLOOKUP($A89,DATA!$A:$AG,DATA!$AF$3,FALSE),0)</f>
        <v>#N/A</v>
      </c>
      <c r="P89" s="116" t="e">
        <f t="shared" si="43"/>
        <v>#N/A</v>
      </c>
      <c r="Q89" s="21" t="e">
        <f>+IF($F89="oui",+VLOOKUP($A89,DATA!$A:$AG,DATA!$Q$3,FALSE),0)</f>
        <v>#N/A</v>
      </c>
      <c r="R89" s="22" t="e">
        <f>+IF($F89="oui",+VLOOKUP($A89,DATA!$A:$AG,DATA!$S$3,FALSE),0)</f>
        <v>#N/A</v>
      </c>
      <c r="S89" s="22" t="e">
        <f>+IF($F89="oui",+VLOOKUP($A89,DATA!$A:$AG,DATA!$U$3,FALSE),0)</f>
        <v>#N/A</v>
      </c>
      <c r="T89" s="22" t="e">
        <f>+IF($F89="oui",+VLOOKUP($A89,DATA!$A:$AG,DATA!$W$3,FALSE),0)</f>
        <v>#N/A</v>
      </c>
      <c r="U89" s="22" t="e">
        <f>+IF($F89="oui",+VLOOKUP($A89,DATA!$A:$AG,DATA!$Y$3,FALSE),0)</f>
        <v>#N/A</v>
      </c>
      <c r="V89" s="22" t="e">
        <f>+IF($F89="oui",+VLOOKUP($A89,DATA!$A:$AG,DATA!$AA$3,FALSE),0)</f>
        <v>#N/A</v>
      </c>
      <c r="W89" s="22" t="e">
        <f>+IF($F89="oui",+VLOOKUP($A89,DATA!$A:$AG,DATA!$AC$3,FALSE),0)</f>
        <v>#N/A</v>
      </c>
      <c r="X89" s="22" t="e">
        <f>+IF($F89="oui",+VLOOKUP($A89,DATA!$A:$AG,DATA!$AE$3,FALSE),0)</f>
        <v>#N/A</v>
      </c>
      <c r="Y89" s="23" t="e">
        <f>+IF($F89="oui",+VLOOKUP($A89,DATA!$A:$AG,DATA!$AG$3,FALSE),0)</f>
        <v>#N/A</v>
      </c>
      <c r="Z89" s="118" t="e">
        <f t="shared" si="31"/>
        <v>#N/A</v>
      </c>
      <c r="AA89" s="43" t="e">
        <f t="shared" si="32"/>
        <v>#N/A</v>
      </c>
      <c r="AB89" s="44" t="e">
        <f t="shared" si="33"/>
        <v>#N/A</v>
      </c>
      <c r="AC89" s="44" t="e">
        <f t="shared" si="34"/>
        <v>#N/A</v>
      </c>
      <c r="AD89" s="44" t="e">
        <f t="shared" si="35"/>
        <v>#N/A</v>
      </c>
      <c r="AE89" s="44" t="e">
        <f t="shared" si="36"/>
        <v>#N/A</v>
      </c>
      <c r="AF89" s="44" t="e">
        <f t="shared" si="37"/>
        <v>#N/A</v>
      </c>
      <c r="AG89" s="44" t="e">
        <f t="shared" si="38"/>
        <v>#N/A</v>
      </c>
      <c r="AH89" s="44" t="e">
        <f t="shared" si="39"/>
        <v>#N/A</v>
      </c>
      <c r="AI89" s="45" t="e">
        <f t="shared" si="40"/>
        <v>#N/A</v>
      </c>
      <c r="AJ89" s="70" t="e">
        <f>+IF(Q89=0," ",+WORKDAY.INTL(+VLOOKUP(AJ$1,POSTE!$B:$G,3,FALSE),+CUM!AA88/+VLOOKUP(AJ$1,POSTE!$B:$H,7,FALSE),,CONGÉ!$C$2:$C$80))</f>
        <v>#N/A</v>
      </c>
      <c r="AK89" s="50" t="e">
        <f>+IF(R89=0," ",+WORKDAY.INTL(+VLOOKUP(AK$1,POSTE!$B:$G,3,FALSE),+CUM!AB88/+VLOOKUP(AK$1,POSTE!$B:$H,7,FALSE),,CONGÉ!$C$2:$C$80))</f>
        <v>#N/A</v>
      </c>
      <c r="AL89" s="50" t="e">
        <f>+IF(S89=0," ",+WORKDAY.INTL(+VLOOKUP(AL$1,POSTE!$B:$G,3,FALSE),+CUM!AC88/+VLOOKUP(AL$1,POSTE!$B:$H,7,FALSE),,CONGÉ!$C$2:$C$80))</f>
        <v>#N/A</v>
      </c>
      <c r="AM89" s="50" t="e">
        <f>+IF(T89=0," ",+WORKDAY.INTL(+VLOOKUP(AM$1,POSTE!$B:$G,3,FALSE),+CUM!AD88/+VLOOKUP(AM$1,POSTE!$B:$H,7,FALSE),,CONGÉ!$C$2:$C$80))</f>
        <v>#N/A</v>
      </c>
      <c r="AN89" s="50" t="e">
        <f>+IF(U89=0," ",+WORKDAY.INTL(+VLOOKUP(AN$1,POSTE!$B:$G,3,FALSE),+CUM!AE88/+VLOOKUP(AN$1,POSTE!$B:$H,7,FALSE),,CONGÉ!$C$2:$C$80))</f>
        <v>#N/A</v>
      </c>
      <c r="AO89" s="50" t="e">
        <f>+IF(V89=0," ",+WORKDAY.INTL(+VLOOKUP(AO$1,POSTE!$B:$G,3,FALSE),+CUM!AF88/+VLOOKUP(AO$1,POSTE!$B:$H,7,FALSE),,CONGÉ!$C$2:$C$80))</f>
        <v>#N/A</v>
      </c>
      <c r="AP89" s="50" t="e">
        <f>+IF(W89=0," ",+WORKDAY.INTL(+VLOOKUP(AP$1,POSTE!$B:$G,3,FALSE),+CUM!AG88/+VLOOKUP(AP$1,POSTE!$B:$H,7,FALSE),,CONGÉ!$C$2:$C$80))</f>
        <v>#N/A</v>
      </c>
      <c r="AQ89" s="50" t="e">
        <f>+IF(X89=0," ",+WORKDAY.INTL(+VLOOKUP(AQ$1,POSTE!$B:$G,3,FALSE),+CUM!AH88/+VLOOKUP(AQ$1,POSTE!$B:$H,7,FALSE),,CONGÉ!$C$2:$C$80))</f>
        <v>#N/A</v>
      </c>
      <c r="AR89" s="71" t="e">
        <f>+IF(Y89=0," ",+WORKDAY.INTL(+VLOOKUP(AR$1,POSTE!$B:$G,3,FALSE),+CUM!AI88/+VLOOKUP(AR$1,POSTE!$B:$H,7,FALSE),,CONGÉ!$C$2:$C$80))</f>
        <v>#N/A</v>
      </c>
      <c r="AS89" s="72" t="e">
        <f>+IF(Q89=0," ",+WORKDAY.INTL(+VLOOKUP(AS$1,POSTE!$B:$G,3,FALSE),+CUM!AA89/+VLOOKUP(AS$1,POSTE!$B:$H,7,FALSE),,CONGÉ!$C$2:$C$80))</f>
        <v>#N/A</v>
      </c>
      <c r="AT89" s="73" t="e">
        <f>+IF(R89=0," ",+WORKDAY.INTL(+VLOOKUP(AT$1,POSTE!$B:$G,3,FALSE),+CUM!AB89/+VLOOKUP(AT$1,POSTE!$B:$H,7,FALSE),,CONGÉ!$C$2:$C$80))</f>
        <v>#N/A</v>
      </c>
      <c r="AU89" s="73" t="e">
        <f>+IF(AND(S89=0,T89=0)," ",+WORKDAY.INTL(+VLOOKUP($AS$1,POSTE!B:J,3,FALSE),+(((AC89*POSTE!$H$5)+(CUM!AD89*POSTE!$H$4))/(POSTE!$H$4*POSTE!$H$5*2)),,CONGÉ!$C$2:$C$80))</f>
        <v>#N/A</v>
      </c>
      <c r="AV89" s="73" t="e">
        <f>+IF(U89=0," ",+WORKDAY.INTL(+VLOOKUP(AV$1,POSTE!$B:$G,3,FALSE),+CUM!AE89/+VLOOKUP(AV$1,POSTE!$B:$H,7,FALSE),,CONGÉ!$C$2:$C$80))</f>
        <v>#N/A</v>
      </c>
      <c r="AW89" s="73" t="e">
        <f>+IF(V89=0," ",+WORKDAY.INTL(+VLOOKUP(AW$1,POSTE!$B:$G,3,FALSE),+CUM!AF89/+VLOOKUP(AW$1,POSTE!$B:$H,7,FALSE),,CONGÉ!$C$2:$C$80))</f>
        <v>#N/A</v>
      </c>
      <c r="AX89" s="73" t="e">
        <f>+IF(W89=0," ",+WORKDAY.INTL(+VLOOKUP(AX$1,POSTE!$B:$G,3,FALSE),+CUM!AG89/+VLOOKUP(AX$1,POSTE!$B:$H,7,FALSE),,CONGÉ!$C$2:$C$80))</f>
        <v>#N/A</v>
      </c>
      <c r="AY89" s="73" t="e">
        <f>+IF(X89=0," ",+WORKDAY.INTL(+VLOOKUP(AY$1,POSTE!$B:$G,3,FALSE),+CUM!AH89/+VLOOKUP(AY$1,POSTE!$B:$H,7,FALSE),,CONGÉ!$C$2:$C$80))</f>
        <v>#N/A</v>
      </c>
      <c r="AZ89" s="73" t="e">
        <f>+IF(Y89=0," ",+WORKDAY.INTL(+VLOOKUP(AZ$1,POSTE!$B:$G,3,FALSE),+CUM!AI89/+VLOOKUP(AZ$1,POSTE!$B:$H,7,FALSE),,CONGÉ!$C$2:$C$80))</f>
        <v>#N/A</v>
      </c>
      <c r="BA89" s="73" t="e">
        <f>+IF(S89=0," ",+WORKDAY.INTL(+VLOOKUP(BA$1,POSTE!$B:$G,3,FALSE),+CUM!AC89/+VLOOKUP(BA$1,POSTE!$B:$H,7,FALSE),,CONGÉ!$C$2:$C$80))</f>
        <v>#N/A</v>
      </c>
      <c r="BB89" s="73" t="e">
        <f>+IF(T89=0," ",+WORKDAY.INTL(+VLOOKUP(BB$1,POSTE!$B:$G,3,FALSE),+CUM!AD89/+VLOOKUP(BB$1,POSTE!$B:$H,7,FALSE),,CONGÉ!$C$2:$C$80))</f>
        <v>#N/A</v>
      </c>
      <c r="BC89" s="70" t="e">
        <f t="shared" si="44"/>
        <v>#N/A</v>
      </c>
      <c r="BD89" s="70" t="e">
        <f t="shared" si="45"/>
        <v>#N/A</v>
      </c>
      <c r="BE89" s="129" t="e">
        <f>+IF($F89="oui",+VLOOKUP($A89,DATA!$A:$AH,DATA!$AH$3,FALSE),0)</f>
        <v>#N/A</v>
      </c>
      <c r="BF89" s="129" t="e">
        <f t="shared" si="46"/>
        <v>#N/A</v>
      </c>
      <c r="BG89" s="136" t="e">
        <f>+IF(BE89&gt;0,+MAX((BH$4:BH88),BD89),"")</f>
        <v>#N/A</v>
      </c>
      <c r="BH89" s="136" t="e">
        <f>+IF(BE89&gt;0,+MAX((BH$4:BH88),+WORKDAY.INTL(BG89,+BE89/8,,CONGÉ!$C$2:$C$73)),"")</f>
        <v>#N/A</v>
      </c>
      <c r="BI89" s="136" t="e">
        <f t="shared" si="47"/>
        <v>#N/A</v>
      </c>
      <c r="BJ89" s="43" t="e">
        <f t="shared" si="41"/>
        <v>#N/A</v>
      </c>
      <c r="BK89" s="77">
        <f t="shared" ca="1" si="48"/>
        <v>45754</v>
      </c>
      <c r="BL89" s="78" t="e">
        <f>+(((AC89*POSTE!$H$5)+(CUM!AD89*POSTE!$H$4))/(POSTE!$H$4*POSTE!$H$5*2))</f>
        <v>#N/A</v>
      </c>
      <c r="BM89" s="90" t="e">
        <f ca="1">+WORKDAY.INTL(BK89,BL89,,CONGÉ!C$4:C$72)</f>
        <v>#N/A</v>
      </c>
      <c r="BN89" s="78" t="e">
        <f t="shared" ca="1" si="49"/>
        <v>#N/A</v>
      </c>
    </row>
    <row r="90" spans="1:66" x14ac:dyDescent="0.25">
      <c r="A90" s="49">
        <f t="shared" si="42"/>
        <v>86</v>
      </c>
      <c r="B90" s="185" cm="1">
        <f t="array" ref="B90">_xlfn.LET(_xlpm.CORR,IF(DATA!$B$4:$B$104="",IF(DATA!$A$4:$A$104="","--",DATA!$A$4:$A$104),DATA!$B$4:$B$104),_xlpm.Rx,SMALL(_xlpm.CORR,A90),IFERROR(MATCH(_xlpm.Rx,_xlpm.CORR,0),0))</f>
        <v>0</v>
      </c>
      <c r="C90" s="18" t="e">
        <f>+VLOOKUP($A90,DATA!$A:$AG,DATA!$E$3,FALSE)</f>
        <v>#N/A</v>
      </c>
      <c r="D90" s="18" t="e">
        <f>+VLOOKUP($A90,DATA!$A:$AG,DATA!$D$3,FALSE)</f>
        <v>#N/A</v>
      </c>
      <c r="E90" s="186" t="e">
        <f>+VLOOKUP($A90,DATA!$A:$AG,DATA!$G$3,FALSE)</f>
        <v>#N/A</v>
      </c>
      <c r="F90" s="19" t="e">
        <f>+VLOOKUP($A90,DATA!$A:$AG,DATA!$O$3,FALSE)</f>
        <v>#N/A</v>
      </c>
      <c r="G90" s="43" t="e">
        <f>+IF($F90="oui",+VLOOKUP($A90,DATA!$A:$AG,DATA!$P$3,FALSE),0)</f>
        <v>#N/A</v>
      </c>
      <c r="H90" s="44" t="e">
        <f>+IF($F90="oui",+VLOOKUP($A90,DATA!$A:$AG,DATA!$R$3,FALSE),0)</f>
        <v>#N/A</v>
      </c>
      <c r="I90" s="44" t="e">
        <f>+IF($F90="oui",+VLOOKUP($A90,DATA!$A:$AG,DATA!$T$3,FALSE),0)</f>
        <v>#N/A</v>
      </c>
      <c r="J90" s="44" t="e">
        <f>+IF($F90="oui",+VLOOKUP($A90,DATA!$A:$AG,DATA!$V$3,FALSE),0)</f>
        <v>#N/A</v>
      </c>
      <c r="K90" s="44" t="e">
        <f>+IF($F90="oui",+VLOOKUP($A90,DATA!$A:$AG,DATA!$X$3,FALSE),0)</f>
        <v>#N/A</v>
      </c>
      <c r="L90" s="44" t="e">
        <f>+IF($F90="oui",+VLOOKUP($A90,DATA!$A:$AG,DATA!$Z$3,FALSE),0)</f>
        <v>#N/A</v>
      </c>
      <c r="M90" s="44" t="e">
        <f>+IF($F90="oui",+VLOOKUP($A90,DATA!$A:$AG,DATA!$AB$3,FALSE),0)</f>
        <v>#N/A</v>
      </c>
      <c r="N90" s="44" t="e">
        <f>+IF($F90="oui",+VLOOKUP($A90,DATA!$A:$AG,DATA!$AD$3,FALSE),0)</f>
        <v>#N/A</v>
      </c>
      <c r="O90" s="45" t="e">
        <f>+IF($F90="oui",+VLOOKUP($A90,DATA!$A:$AG,DATA!$AF$3,FALSE),0)</f>
        <v>#N/A</v>
      </c>
      <c r="P90" s="116" t="e">
        <f t="shared" si="43"/>
        <v>#N/A</v>
      </c>
      <c r="Q90" s="21" t="e">
        <f>+IF($F90="oui",+VLOOKUP($A90,DATA!$A:$AG,DATA!$Q$3,FALSE),0)</f>
        <v>#N/A</v>
      </c>
      <c r="R90" s="22" t="e">
        <f>+IF($F90="oui",+VLOOKUP($A90,DATA!$A:$AG,DATA!$S$3,FALSE),0)</f>
        <v>#N/A</v>
      </c>
      <c r="S90" s="22" t="e">
        <f>+IF($F90="oui",+VLOOKUP($A90,DATA!$A:$AG,DATA!$U$3,FALSE),0)</f>
        <v>#N/A</v>
      </c>
      <c r="T90" s="22" t="e">
        <f>+IF($F90="oui",+VLOOKUP($A90,DATA!$A:$AG,DATA!$W$3,FALSE),0)</f>
        <v>#N/A</v>
      </c>
      <c r="U90" s="22" t="e">
        <f>+IF($F90="oui",+VLOOKUP($A90,DATA!$A:$AG,DATA!$Y$3,FALSE),0)</f>
        <v>#N/A</v>
      </c>
      <c r="V90" s="22" t="e">
        <f>+IF($F90="oui",+VLOOKUP($A90,DATA!$A:$AG,DATA!$AA$3,FALSE),0)</f>
        <v>#N/A</v>
      </c>
      <c r="W90" s="22" t="e">
        <f>+IF($F90="oui",+VLOOKUP($A90,DATA!$A:$AG,DATA!$AC$3,FALSE),0)</f>
        <v>#N/A</v>
      </c>
      <c r="X90" s="22" t="e">
        <f>+IF($F90="oui",+VLOOKUP($A90,DATA!$A:$AG,DATA!$AE$3,FALSE),0)</f>
        <v>#N/A</v>
      </c>
      <c r="Y90" s="23" t="e">
        <f>+IF($F90="oui",+VLOOKUP($A90,DATA!$A:$AG,DATA!$AG$3,FALSE),0)</f>
        <v>#N/A</v>
      </c>
      <c r="Z90" s="118" t="e">
        <f t="shared" si="31"/>
        <v>#N/A</v>
      </c>
      <c r="AA90" s="43" t="e">
        <f t="shared" si="32"/>
        <v>#N/A</v>
      </c>
      <c r="AB90" s="44" t="e">
        <f t="shared" si="33"/>
        <v>#N/A</v>
      </c>
      <c r="AC90" s="44" t="e">
        <f t="shared" si="34"/>
        <v>#N/A</v>
      </c>
      <c r="AD90" s="44" t="e">
        <f t="shared" si="35"/>
        <v>#N/A</v>
      </c>
      <c r="AE90" s="44" t="e">
        <f t="shared" si="36"/>
        <v>#N/A</v>
      </c>
      <c r="AF90" s="44" t="e">
        <f t="shared" si="37"/>
        <v>#N/A</v>
      </c>
      <c r="AG90" s="44" t="e">
        <f t="shared" si="38"/>
        <v>#N/A</v>
      </c>
      <c r="AH90" s="44" t="e">
        <f t="shared" si="39"/>
        <v>#N/A</v>
      </c>
      <c r="AI90" s="45" t="e">
        <f t="shared" si="40"/>
        <v>#N/A</v>
      </c>
      <c r="AJ90" s="70" t="e">
        <f>+IF(Q90=0," ",+WORKDAY.INTL(+VLOOKUP(AJ$1,POSTE!$B:$G,3,FALSE),+CUM!AA89/+VLOOKUP(AJ$1,POSTE!$B:$H,7,FALSE),,CONGÉ!$C$2:$C$80))</f>
        <v>#N/A</v>
      </c>
      <c r="AK90" s="50" t="e">
        <f>+IF(R90=0," ",+WORKDAY.INTL(+VLOOKUP(AK$1,POSTE!$B:$G,3,FALSE),+CUM!AB89/+VLOOKUP(AK$1,POSTE!$B:$H,7,FALSE),,CONGÉ!$C$2:$C$80))</f>
        <v>#N/A</v>
      </c>
      <c r="AL90" s="50" t="e">
        <f>+IF(S90=0," ",+WORKDAY.INTL(+VLOOKUP(AL$1,POSTE!$B:$G,3,FALSE),+CUM!AC89/+VLOOKUP(AL$1,POSTE!$B:$H,7,FALSE),,CONGÉ!$C$2:$C$80))</f>
        <v>#N/A</v>
      </c>
      <c r="AM90" s="50" t="e">
        <f>+IF(T90=0," ",+WORKDAY.INTL(+VLOOKUP(AM$1,POSTE!$B:$G,3,FALSE),+CUM!AD89/+VLOOKUP(AM$1,POSTE!$B:$H,7,FALSE),,CONGÉ!$C$2:$C$80))</f>
        <v>#N/A</v>
      </c>
      <c r="AN90" s="50" t="e">
        <f>+IF(U90=0," ",+WORKDAY.INTL(+VLOOKUP(AN$1,POSTE!$B:$G,3,FALSE),+CUM!AE89/+VLOOKUP(AN$1,POSTE!$B:$H,7,FALSE),,CONGÉ!$C$2:$C$80))</f>
        <v>#N/A</v>
      </c>
      <c r="AO90" s="50" t="e">
        <f>+IF(V90=0," ",+WORKDAY.INTL(+VLOOKUP(AO$1,POSTE!$B:$G,3,FALSE),+CUM!AF89/+VLOOKUP(AO$1,POSTE!$B:$H,7,FALSE),,CONGÉ!$C$2:$C$80))</f>
        <v>#N/A</v>
      </c>
      <c r="AP90" s="50" t="e">
        <f>+IF(W90=0," ",+WORKDAY.INTL(+VLOOKUP(AP$1,POSTE!$B:$G,3,FALSE),+CUM!AG89/+VLOOKUP(AP$1,POSTE!$B:$H,7,FALSE),,CONGÉ!$C$2:$C$80))</f>
        <v>#N/A</v>
      </c>
      <c r="AQ90" s="50" t="e">
        <f>+IF(X90=0," ",+WORKDAY.INTL(+VLOOKUP(AQ$1,POSTE!$B:$G,3,FALSE),+CUM!AH89/+VLOOKUP(AQ$1,POSTE!$B:$H,7,FALSE),,CONGÉ!$C$2:$C$80))</f>
        <v>#N/A</v>
      </c>
      <c r="AR90" s="71" t="e">
        <f>+IF(Y90=0," ",+WORKDAY.INTL(+VLOOKUP(AR$1,POSTE!$B:$G,3,FALSE),+CUM!AI89/+VLOOKUP(AR$1,POSTE!$B:$H,7,FALSE),,CONGÉ!$C$2:$C$80))</f>
        <v>#N/A</v>
      </c>
      <c r="AS90" s="72" t="e">
        <f>+IF(Q90=0," ",+WORKDAY.INTL(+VLOOKUP(AS$1,POSTE!$B:$G,3,FALSE),+CUM!AA90/+VLOOKUP(AS$1,POSTE!$B:$H,7,FALSE),,CONGÉ!$C$2:$C$80))</f>
        <v>#N/A</v>
      </c>
      <c r="AT90" s="73" t="e">
        <f>+IF(R90=0," ",+WORKDAY.INTL(+VLOOKUP(AT$1,POSTE!$B:$G,3,FALSE),+CUM!AB90/+VLOOKUP(AT$1,POSTE!$B:$H,7,FALSE),,CONGÉ!$C$2:$C$80))</f>
        <v>#N/A</v>
      </c>
      <c r="AU90" s="73" t="e">
        <f>+IF(AND(S90=0,T90=0)," ",+WORKDAY.INTL(+VLOOKUP($AS$1,POSTE!B:J,3,FALSE),+(((AC90*POSTE!$H$5)+(CUM!AD90*POSTE!$H$4))/(POSTE!$H$4*POSTE!$H$5*2)),,CONGÉ!$C$2:$C$80))</f>
        <v>#N/A</v>
      </c>
      <c r="AV90" s="73" t="e">
        <f>+IF(U90=0," ",+WORKDAY.INTL(+VLOOKUP(AV$1,POSTE!$B:$G,3,FALSE),+CUM!AE90/+VLOOKUP(AV$1,POSTE!$B:$H,7,FALSE),,CONGÉ!$C$2:$C$80))</f>
        <v>#N/A</v>
      </c>
      <c r="AW90" s="73" t="e">
        <f>+IF(V90=0," ",+WORKDAY.INTL(+VLOOKUP(AW$1,POSTE!$B:$G,3,FALSE),+CUM!AF90/+VLOOKUP(AW$1,POSTE!$B:$H,7,FALSE),,CONGÉ!$C$2:$C$80))</f>
        <v>#N/A</v>
      </c>
      <c r="AX90" s="73" t="e">
        <f>+IF(W90=0," ",+WORKDAY.INTL(+VLOOKUP(AX$1,POSTE!$B:$G,3,FALSE),+CUM!AG90/+VLOOKUP(AX$1,POSTE!$B:$H,7,FALSE),,CONGÉ!$C$2:$C$80))</f>
        <v>#N/A</v>
      </c>
      <c r="AY90" s="73" t="e">
        <f>+IF(X90=0," ",+WORKDAY.INTL(+VLOOKUP(AY$1,POSTE!$B:$G,3,FALSE),+CUM!AH90/+VLOOKUP(AY$1,POSTE!$B:$H,7,FALSE),,CONGÉ!$C$2:$C$80))</f>
        <v>#N/A</v>
      </c>
      <c r="AZ90" s="73" t="e">
        <f>+IF(Y90=0," ",+WORKDAY.INTL(+VLOOKUP(AZ$1,POSTE!$B:$G,3,FALSE),+CUM!AI90/+VLOOKUP(AZ$1,POSTE!$B:$H,7,FALSE),,CONGÉ!$C$2:$C$80))</f>
        <v>#N/A</v>
      </c>
      <c r="BA90" s="73" t="e">
        <f>+IF(S90=0," ",+WORKDAY.INTL(+VLOOKUP(BA$1,POSTE!$B:$G,3,FALSE),+CUM!AC90/+VLOOKUP(BA$1,POSTE!$B:$H,7,FALSE),,CONGÉ!$C$2:$C$80))</f>
        <v>#N/A</v>
      </c>
      <c r="BB90" s="73" t="e">
        <f>+IF(T90=0," ",+WORKDAY.INTL(+VLOOKUP(BB$1,POSTE!$B:$G,3,FALSE),+CUM!AD90/+VLOOKUP(BB$1,POSTE!$B:$H,7,FALSE),,CONGÉ!$C$2:$C$80))</f>
        <v>#N/A</v>
      </c>
      <c r="BC90" s="70" t="e">
        <f t="shared" si="44"/>
        <v>#N/A</v>
      </c>
      <c r="BD90" s="70" t="e">
        <f t="shared" si="45"/>
        <v>#N/A</v>
      </c>
      <c r="BE90" s="129" t="e">
        <f>+IF($F90="oui",+VLOOKUP($A90,DATA!$A:$AH,DATA!$AH$3,FALSE),0)</f>
        <v>#N/A</v>
      </c>
      <c r="BF90" s="129" t="e">
        <f t="shared" si="46"/>
        <v>#N/A</v>
      </c>
      <c r="BG90" s="136" t="e">
        <f>+IF(BE90&gt;0,+MAX((BH$4:BH89),BD90),"")</f>
        <v>#N/A</v>
      </c>
      <c r="BH90" s="136" t="e">
        <f>+IF(BE90&gt;0,+MAX((BH$4:BH89),+WORKDAY.INTL(BG90,+BE90/8,,CONGÉ!$C$2:$C$73)),"")</f>
        <v>#N/A</v>
      </c>
      <c r="BI90" s="136" t="e">
        <f t="shared" si="47"/>
        <v>#N/A</v>
      </c>
      <c r="BJ90" s="43" t="e">
        <f t="shared" si="41"/>
        <v>#N/A</v>
      </c>
      <c r="BK90" s="77">
        <f t="shared" ca="1" si="48"/>
        <v>45754</v>
      </c>
      <c r="BL90" s="78" t="e">
        <f>+(((AC90*POSTE!$H$5)+(CUM!AD90*POSTE!$H$4))/(POSTE!$H$4*POSTE!$H$5*2))</f>
        <v>#N/A</v>
      </c>
      <c r="BM90" s="90" t="e">
        <f ca="1">+WORKDAY.INTL(BK90,BL90,,CONGÉ!C$4:C$72)</f>
        <v>#N/A</v>
      </c>
      <c r="BN90" s="78" t="e">
        <f t="shared" ca="1" si="49"/>
        <v>#N/A</v>
      </c>
    </row>
    <row r="91" spans="1:66" x14ac:dyDescent="0.25">
      <c r="A91" s="49">
        <f t="shared" si="42"/>
        <v>87</v>
      </c>
      <c r="B91" s="185" cm="1">
        <f t="array" ref="B91">_xlfn.LET(_xlpm.CORR,IF(DATA!$B$4:$B$104="",IF(DATA!$A$4:$A$104="","--",DATA!$A$4:$A$104),DATA!$B$4:$B$104),_xlpm.Rx,SMALL(_xlpm.CORR,A91),IFERROR(MATCH(_xlpm.Rx,_xlpm.CORR,0),0))</f>
        <v>0</v>
      </c>
      <c r="C91" s="18" t="e">
        <f>+VLOOKUP($A91,DATA!$A:$AG,DATA!$E$3,FALSE)</f>
        <v>#N/A</v>
      </c>
      <c r="D91" s="18" t="e">
        <f>+VLOOKUP($A91,DATA!$A:$AG,DATA!$D$3,FALSE)</f>
        <v>#N/A</v>
      </c>
      <c r="E91" s="186" t="e">
        <f>+VLOOKUP($A91,DATA!$A:$AG,DATA!$G$3,FALSE)</f>
        <v>#N/A</v>
      </c>
      <c r="F91" s="19" t="e">
        <f>+VLOOKUP($A91,DATA!$A:$AG,DATA!$O$3,FALSE)</f>
        <v>#N/A</v>
      </c>
      <c r="G91" s="43" t="e">
        <f>+IF($F91="oui",+VLOOKUP($A91,DATA!$A:$AG,DATA!$P$3,FALSE),0)</f>
        <v>#N/A</v>
      </c>
      <c r="H91" s="44" t="e">
        <f>+IF($F91="oui",+VLOOKUP($A91,DATA!$A:$AG,DATA!$R$3,FALSE),0)</f>
        <v>#N/A</v>
      </c>
      <c r="I91" s="44" t="e">
        <f>+IF($F91="oui",+VLOOKUP($A91,DATA!$A:$AG,DATA!$T$3,FALSE),0)</f>
        <v>#N/A</v>
      </c>
      <c r="J91" s="44" t="e">
        <f>+IF($F91="oui",+VLOOKUP($A91,DATA!$A:$AG,DATA!$V$3,FALSE),0)</f>
        <v>#N/A</v>
      </c>
      <c r="K91" s="44" t="e">
        <f>+IF($F91="oui",+VLOOKUP($A91,DATA!$A:$AG,DATA!$X$3,FALSE),0)</f>
        <v>#N/A</v>
      </c>
      <c r="L91" s="44" t="e">
        <f>+IF($F91="oui",+VLOOKUP($A91,DATA!$A:$AG,DATA!$Z$3,FALSE),0)</f>
        <v>#N/A</v>
      </c>
      <c r="M91" s="44" t="e">
        <f>+IF($F91="oui",+VLOOKUP($A91,DATA!$A:$AG,DATA!$AB$3,FALSE),0)</f>
        <v>#N/A</v>
      </c>
      <c r="N91" s="44" t="e">
        <f>+IF($F91="oui",+VLOOKUP($A91,DATA!$A:$AG,DATA!$AD$3,FALSE),0)</f>
        <v>#N/A</v>
      </c>
      <c r="O91" s="45" t="e">
        <f>+IF($F91="oui",+VLOOKUP($A91,DATA!$A:$AG,DATA!$AF$3,FALSE),0)</f>
        <v>#N/A</v>
      </c>
      <c r="P91" s="116" t="e">
        <f t="shared" si="43"/>
        <v>#N/A</v>
      </c>
      <c r="Q91" s="21" t="e">
        <f>+IF($F91="oui",+VLOOKUP($A91,DATA!$A:$AG,DATA!$Q$3,FALSE),0)</f>
        <v>#N/A</v>
      </c>
      <c r="R91" s="22" t="e">
        <f>+IF($F91="oui",+VLOOKUP($A91,DATA!$A:$AG,DATA!$S$3,FALSE),0)</f>
        <v>#N/A</v>
      </c>
      <c r="S91" s="22" t="e">
        <f>+IF($F91="oui",+VLOOKUP($A91,DATA!$A:$AG,DATA!$U$3,FALSE),0)</f>
        <v>#N/A</v>
      </c>
      <c r="T91" s="22" t="e">
        <f>+IF($F91="oui",+VLOOKUP($A91,DATA!$A:$AG,DATA!$W$3,FALSE),0)</f>
        <v>#N/A</v>
      </c>
      <c r="U91" s="22" t="e">
        <f>+IF($F91="oui",+VLOOKUP($A91,DATA!$A:$AG,DATA!$Y$3,FALSE),0)</f>
        <v>#N/A</v>
      </c>
      <c r="V91" s="22" t="e">
        <f>+IF($F91="oui",+VLOOKUP($A91,DATA!$A:$AG,DATA!$AA$3,FALSE),0)</f>
        <v>#N/A</v>
      </c>
      <c r="W91" s="22" t="e">
        <f>+IF($F91="oui",+VLOOKUP($A91,DATA!$A:$AG,DATA!$AC$3,FALSE),0)</f>
        <v>#N/A</v>
      </c>
      <c r="X91" s="22" t="e">
        <f>+IF($F91="oui",+VLOOKUP($A91,DATA!$A:$AG,DATA!$AE$3,FALSE),0)</f>
        <v>#N/A</v>
      </c>
      <c r="Y91" s="23" t="e">
        <f>+IF($F91="oui",+VLOOKUP($A91,DATA!$A:$AG,DATA!$AG$3,FALSE),0)</f>
        <v>#N/A</v>
      </c>
      <c r="Z91" s="118" t="e">
        <f t="shared" si="31"/>
        <v>#N/A</v>
      </c>
      <c r="AA91" s="43" t="e">
        <f t="shared" si="32"/>
        <v>#N/A</v>
      </c>
      <c r="AB91" s="44" t="e">
        <f t="shared" si="33"/>
        <v>#N/A</v>
      </c>
      <c r="AC91" s="44" t="e">
        <f t="shared" si="34"/>
        <v>#N/A</v>
      </c>
      <c r="AD91" s="44" t="e">
        <f t="shared" si="35"/>
        <v>#N/A</v>
      </c>
      <c r="AE91" s="44" t="e">
        <f t="shared" si="36"/>
        <v>#N/A</v>
      </c>
      <c r="AF91" s="44" t="e">
        <f t="shared" si="37"/>
        <v>#N/A</v>
      </c>
      <c r="AG91" s="44" t="e">
        <f t="shared" si="38"/>
        <v>#N/A</v>
      </c>
      <c r="AH91" s="44" t="e">
        <f t="shared" si="39"/>
        <v>#N/A</v>
      </c>
      <c r="AI91" s="45" t="e">
        <f t="shared" si="40"/>
        <v>#N/A</v>
      </c>
      <c r="AJ91" s="70" t="e">
        <f>+IF(Q91=0," ",+WORKDAY.INTL(+VLOOKUP(AJ$1,POSTE!$B:$G,3,FALSE),+CUM!AA90/+VLOOKUP(AJ$1,POSTE!$B:$H,7,FALSE),,CONGÉ!$C$2:$C$80))</f>
        <v>#N/A</v>
      </c>
      <c r="AK91" s="50" t="e">
        <f>+IF(R91=0," ",+WORKDAY.INTL(+VLOOKUP(AK$1,POSTE!$B:$G,3,FALSE),+CUM!AB90/+VLOOKUP(AK$1,POSTE!$B:$H,7,FALSE),,CONGÉ!$C$2:$C$80))</f>
        <v>#N/A</v>
      </c>
      <c r="AL91" s="50" t="e">
        <f>+IF(S91=0," ",+WORKDAY.INTL(+VLOOKUP(AL$1,POSTE!$B:$G,3,FALSE),+CUM!AC90/+VLOOKUP(AL$1,POSTE!$B:$H,7,FALSE),,CONGÉ!$C$2:$C$80))</f>
        <v>#N/A</v>
      </c>
      <c r="AM91" s="50" t="e">
        <f>+IF(T91=0," ",+WORKDAY.INTL(+VLOOKUP(AM$1,POSTE!$B:$G,3,FALSE),+CUM!AD90/+VLOOKUP(AM$1,POSTE!$B:$H,7,FALSE),,CONGÉ!$C$2:$C$80))</f>
        <v>#N/A</v>
      </c>
      <c r="AN91" s="50" t="e">
        <f>+IF(U91=0," ",+WORKDAY.INTL(+VLOOKUP(AN$1,POSTE!$B:$G,3,FALSE),+CUM!AE90/+VLOOKUP(AN$1,POSTE!$B:$H,7,FALSE),,CONGÉ!$C$2:$C$80))</f>
        <v>#N/A</v>
      </c>
      <c r="AO91" s="50" t="e">
        <f>+IF(V91=0," ",+WORKDAY.INTL(+VLOOKUP(AO$1,POSTE!$B:$G,3,FALSE),+CUM!AF90/+VLOOKUP(AO$1,POSTE!$B:$H,7,FALSE),,CONGÉ!$C$2:$C$80))</f>
        <v>#N/A</v>
      </c>
      <c r="AP91" s="50" t="e">
        <f>+IF(W91=0," ",+WORKDAY.INTL(+VLOOKUP(AP$1,POSTE!$B:$G,3,FALSE),+CUM!AG90/+VLOOKUP(AP$1,POSTE!$B:$H,7,FALSE),,CONGÉ!$C$2:$C$80))</f>
        <v>#N/A</v>
      </c>
      <c r="AQ91" s="50" t="e">
        <f>+IF(X91=0," ",+WORKDAY.INTL(+VLOOKUP(AQ$1,POSTE!$B:$G,3,FALSE),+CUM!AH90/+VLOOKUP(AQ$1,POSTE!$B:$H,7,FALSE),,CONGÉ!$C$2:$C$80))</f>
        <v>#N/A</v>
      </c>
      <c r="AR91" s="71" t="e">
        <f>+IF(Y91=0," ",+WORKDAY.INTL(+VLOOKUP(AR$1,POSTE!$B:$G,3,FALSE),+CUM!AI90/+VLOOKUP(AR$1,POSTE!$B:$H,7,FALSE),,CONGÉ!$C$2:$C$80))</f>
        <v>#N/A</v>
      </c>
      <c r="AS91" s="72" t="e">
        <f>+IF(Q91=0," ",+WORKDAY.INTL(+VLOOKUP(AS$1,POSTE!$B:$G,3,FALSE),+CUM!AA91/+VLOOKUP(AS$1,POSTE!$B:$H,7,FALSE),,CONGÉ!$C$2:$C$80))</f>
        <v>#N/A</v>
      </c>
      <c r="AT91" s="73" t="e">
        <f>+IF(R91=0," ",+WORKDAY.INTL(+VLOOKUP(AT$1,POSTE!$B:$G,3,FALSE),+CUM!AB91/+VLOOKUP(AT$1,POSTE!$B:$H,7,FALSE),,CONGÉ!$C$2:$C$80))</f>
        <v>#N/A</v>
      </c>
      <c r="AU91" s="73" t="e">
        <f>+IF(AND(S91=0,T91=0)," ",+WORKDAY.INTL(+VLOOKUP($AS$1,POSTE!B:J,3,FALSE),+(((AC91*POSTE!$H$5)+(CUM!AD91*POSTE!$H$4))/(POSTE!$H$4*POSTE!$H$5*2)),,CONGÉ!$C$2:$C$80))</f>
        <v>#N/A</v>
      </c>
      <c r="AV91" s="73" t="e">
        <f>+IF(U91=0," ",+WORKDAY.INTL(+VLOOKUP(AV$1,POSTE!$B:$G,3,FALSE),+CUM!AE91/+VLOOKUP(AV$1,POSTE!$B:$H,7,FALSE),,CONGÉ!$C$2:$C$80))</f>
        <v>#N/A</v>
      </c>
      <c r="AW91" s="73" t="e">
        <f>+IF(V91=0," ",+WORKDAY.INTL(+VLOOKUP(AW$1,POSTE!$B:$G,3,FALSE),+CUM!AF91/+VLOOKUP(AW$1,POSTE!$B:$H,7,FALSE),,CONGÉ!$C$2:$C$80))</f>
        <v>#N/A</v>
      </c>
      <c r="AX91" s="73" t="e">
        <f>+IF(W91=0," ",+WORKDAY.INTL(+VLOOKUP(AX$1,POSTE!$B:$G,3,FALSE),+CUM!AG91/+VLOOKUP(AX$1,POSTE!$B:$H,7,FALSE),,CONGÉ!$C$2:$C$80))</f>
        <v>#N/A</v>
      </c>
      <c r="AY91" s="73" t="e">
        <f>+IF(X91=0," ",+WORKDAY.INTL(+VLOOKUP(AY$1,POSTE!$B:$G,3,FALSE),+CUM!AH91/+VLOOKUP(AY$1,POSTE!$B:$H,7,FALSE),,CONGÉ!$C$2:$C$80))</f>
        <v>#N/A</v>
      </c>
      <c r="AZ91" s="73" t="e">
        <f>+IF(Y91=0," ",+WORKDAY.INTL(+VLOOKUP(AZ$1,POSTE!$B:$G,3,FALSE),+CUM!AI91/+VLOOKUP(AZ$1,POSTE!$B:$H,7,FALSE),,CONGÉ!$C$2:$C$80))</f>
        <v>#N/A</v>
      </c>
      <c r="BA91" s="73" t="e">
        <f>+IF(S91=0," ",+WORKDAY.INTL(+VLOOKUP(BA$1,POSTE!$B:$G,3,FALSE),+CUM!AC91/+VLOOKUP(BA$1,POSTE!$B:$H,7,FALSE),,CONGÉ!$C$2:$C$80))</f>
        <v>#N/A</v>
      </c>
      <c r="BB91" s="73" t="e">
        <f>+IF(T91=0," ",+WORKDAY.INTL(+VLOOKUP(BB$1,POSTE!$B:$G,3,FALSE),+CUM!AD91/+VLOOKUP(BB$1,POSTE!$B:$H,7,FALSE),,CONGÉ!$C$2:$C$80))</f>
        <v>#N/A</v>
      </c>
      <c r="BC91" s="70" t="e">
        <f t="shared" si="44"/>
        <v>#N/A</v>
      </c>
      <c r="BD91" s="70" t="e">
        <f t="shared" si="45"/>
        <v>#N/A</v>
      </c>
      <c r="BE91" s="129" t="e">
        <f>+IF($F91="oui",+VLOOKUP($A91,DATA!$A:$AH,DATA!$AH$3,FALSE),0)</f>
        <v>#N/A</v>
      </c>
      <c r="BF91" s="129" t="e">
        <f t="shared" si="46"/>
        <v>#N/A</v>
      </c>
      <c r="BG91" s="136" t="e">
        <f>+IF(BE91&gt;0,+MAX((BH$4:BH90),BD91),"")</f>
        <v>#N/A</v>
      </c>
      <c r="BH91" s="136" t="e">
        <f>+IF(BE91&gt;0,+MAX((BH$4:BH90),+WORKDAY.INTL(BG91,+BE91/8,,CONGÉ!$C$2:$C$73)),"")</f>
        <v>#N/A</v>
      </c>
      <c r="BI91" s="136" t="e">
        <f t="shared" si="47"/>
        <v>#N/A</v>
      </c>
      <c r="BJ91" s="43" t="e">
        <f t="shared" si="41"/>
        <v>#N/A</v>
      </c>
      <c r="BK91" s="77">
        <f t="shared" ca="1" si="48"/>
        <v>45754</v>
      </c>
      <c r="BL91" s="78" t="e">
        <f>+(((AC91*POSTE!$H$5)+(CUM!AD91*POSTE!$H$4))/(POSTE!$H$4*POSTE!$H$5*2))</f>
        <v>#N/A</v>
      </c>
      <c r="BM91" s="90" t="e">
        <f ca="1">+WORKDAY.INTL(BK91,BL91,,CONGÉ!C$4:C$72)</f>
        <v>#N/A</v>
      </c>
      <c r="BN91" s="78" t="e">
        <f t="shared" ca="1" si="49"/>
        <v>#N/A</v>
      </c>
    </row>
    <row r="92" spans="1:66" x14ac:dyDescent="0.25">
      <c r="A92" s="49">
        <f t="shared" si="42"/>
        <v>88</v>
      </c>
      <c r="B92" s="185" cm="1">
        <f t="array" ref="B92">_xlfn.LET(_xlpm.CORR,IF(DATA!$B$4:$B$104="",IF(DATA!$A$4:$A$104="","--",DATA!$A$4:$A$104),DATA!$B$4:$B$104),_xlpm.Rx,SMALL(_xlpm.CORR,A92),IFERROR(MATCH(_xlpm.Rx,_xlpm.CORR,0),0))</f>
        <v>0</v>
      </c>
      <c r="C92" s="18" t="e">
        <f>+VLOOKUP($A92,DATA!$A:$AG,DATA!$E$3,FALSE)</f>
        <v>#N/A</v>
      </c>
      <c r="D92" s="18" t="e">
        <f>+VLOOKUP($A92,DATA!$A:$AG,DATA!$D$3,FALSE)</f>
        <v>#N/A</v>
      </c>
      <c r="E92" s="186" t="e">
        <f>+VLOOKUP($A92,DATA!$A:$AG,DATA!$G$3,FALSE)</f>
        <v>#N/A</v>
      </c>
      <c r="F92" s="19" t="e">
        <f>+VLOOKUP($A92,DATA!$A:$AG,DATA!$O$3,FALSE)</f>
        <v>#N/A</v>
      </c>
      <c r="G92" s="43" t="e">
        <f>+IF($F92="oui",+VLOOKUP($A92,DATA!$A:$AG,DATA!$P$3,FALSE),0)</f>
        <v>#N/A</v>
      </c>
      <c r="H92" s="44" t="e">
        <f>+IF($F92="oui",+VLOOKUP($A92,DATA!$A:$AG,DATA!$R$3,FALSE),0)</f>
        <v>#N/A</v>
      </c>
      <c r="I92" s="44" t="e">
        <f>+IF($F92="oui",+VLOOKUP($A92,DATA!$A:$AG,DATA!$T$3,FALSE),0)</f>
        <v>#N/A</v>
      </c>
      <c r="J92" s="44" t="e">
        <f>+IF($F92="oui",+VLOOKUP($A92,DATA!$A:$AG,DATA!$V$3,FALSE),0)</f>
        <v>#N/A</v>
      </c>
      <c r="K92" s="44" t="e">
        <f>+IF($F92="oui",+VLOOKUP($A92,DATA!$A:$AG,DATA!$X$3,FALSE),0)</f>
        <v>#N/A</v>
      </c>
      <c r="L92" s="44" t="e">
        <f>+IF($F92="oui",+VLOOKUP($A92,DATA!$A:$AG,DATA!$Z$3,FALSE),0)</f>
        <v>#N/A</v>
      </c>
      <c r="M92" s="44" t="e">
        <f>+IF($F92="oui",+VLOOKUP($A92,DATA!$A:$AG,DATA!$AB$3,FALSE),0)</f>
        <v>#N/A</v>
      </c>
      <c r="N92" s="44" t="e">
        <f>+IF($F92="oui",+VLOOKUP($A92,DATA!$A:$AG,DATA!$AD$3,FALSE),0)</f>
        <v>#N/A</v>
      </c>
      <c r="O92" s="45" t="e">
        <f>+IF($F92="oui",+VLOOKUP($A92,DATA!$A:$AG,DATA!$AF$3,FALSE),0)</f>
        <v>#N/A</v>
      </c>
      <c r="P92" s="116" t="e">
        <f t="shared" si="43"/>
        <v>#N/A</v>
      </c>
      <c r="Q92" s="21" t="e">
        <f>+IF($F92="oui",+VLOOKUP($A92,DATA!$A:$AG,DATA!$Q$3,FALSE),0)</f>
        <v>#N/A</v>
      </c>
      <c r="R92" s="22" t="e">
        <f>+IF($F92="oui",+VLOOKUP($A92,DATA!$A:$AG,DATA!$S$3,FALSE),0)</f>
        <v>#N/A</v>
      </c>
      <c r="S92" s="22" t="e">
        <f>+IF($F92="oui",+VLOOKUP($A92,DATA!$A:$AG,DATA!$U$3,FALSE),0)</f>
        <v>#N/A</v>
      </c>
      <c r="T92" s="22" t="e">
        <f>+IF($F92="oui",+VLOOKUP($A92,DATA!$A:$AG,DATA!$W$3,FALSE),0)</f>
        <v>#N/A</v>
      </c>
      <c r="U92" s="22" t="e">
        <f>+IF($F92="oui",+VLOOKUP($A92,DATA!$A:$AG,DATA!$Y$3,FALSE),0)</f>
        <v>#N/A</v>
      </c>
      <c r="V92" s="22" t="e">
        <f>+IF($F92="oui",+VLOOKUP($A92,DATA!$A:$AG,DATA!$AA$3,FALSE),0)</f>
        <v>#N/A</v>
      </c>
      <c r="W92" s="22" t="e">
        <f>+IF($F92="oui",+VLOOKUP($A92,DATA!$A:$AG,DATA!$AC$3,FALSE),0)</f>
        <v>#N/A</v>
      </c>
      <c r="X92" s="22" t="e">
        <f>+IF($F92="oui",+VLOOKUP($A92,DATA!$A:$AG,DATA!$AE$3,FALSE),0)</f>
        <v>#N/A</v>
      </c>
      <c r="Y92" s="23" t="e">
        <f>+IF($F92="oui",+VLOOKUP($A92,DATA!$A:$AG,DATA!$AG$3,FALSE),0)</f>
        <v>#N/A</v>
      </c>
      <c r="Z92" s="118" t="e">
        <f t="shared" si="31"/>
        <v>#N/A</v>
      </c>
      <c r="AA92" s="43" t="e">
        <f t="shared" si="32"/>
        <v>#N/A</v>
      </c>
      <c r="AB92" s="44" t="e">
        <f t="shared" si="33"/>
        <v>#N/A</v>
      </c>
      <c r="AC92" s="44" t="e">
        <f t="shared" si="34"/>
        <v>#N/A</v>
      </c>
      <c r="AD92" s="44" t="e">
        <f t="shared" si="35"/>
        <v>#N/A</v>
      </c>
      <c r="AE92" s="44" t="e">
        <f t="shared" si="36"/>
        <v>#N/A</v>
      </c>
      <c r="AF92" s="44" t="e">
        <f t="shared" si="37"/>
        <v>#N/A</v>
      </c>
      <c r="AG92" s="44" t="e">
        <f t="shared" si="38"/>
        <v>#N/A</v>
      </c>
      <c r="AH92" s="44" t="e">
        <f t="shared" si="39"/>
        <v>#N/A</v>
      </c>
      <c r="AI92" s="45" t="e">
        <f t="shared" si="40"/>
        <v>#N/A</v>
      </c>
      <c r="AJ92" s="70" t="e">
        <f>+IF(Q92=0," ",+WORKDAY.INTL(+VLOOKUP(AJ$1,POSTE!$B:$G,3,FALSE),+CUM!AA91/+VLOOKUP(AJ$1,POSTE!$B:$H,7,FALSE),,CONGÉ!$C$2:$C$80))</f>
        <v>#N/A</v>
      </c>
      <c r="AK92" s="50" t="e">
        <f>+IF(R92=0," ",+WORKDAY.INTL(+VLOOKUP(AK$1,POSTE!$B:$G,3,FALSE),+CUM!AB91/+VLOOKUP(AK$1,POSTE!$B:$H,7,FALSE),,CONGÉ!$C$2:$C$80))</f>
        <v>#N/A</v>
      </c>
      <c r="AL92" s="50" t="e">
        <f>+IF(S92=0," ",+WORKDAY.INTL(+VLOOKUP(AL$1,POSTE!$B:$G,3,FALSE),+CUM!AC91/+VLOOKUP(AL$1,POSTE!$B:$H,7,FALSE),,CONGÉ!$C$2:$C$80))</f>
        <v>#N/A</v>
      </c>
      <c r="AM92" s="50" t="e">
        <f>+IF(T92=0," ",+WORKDAY.INTL(+VLOOKUP(AM$1,POSTE!$B:$G,3,FALSE),+CUM!AD91/+VLOOKUP(AM$1,POSTE!$B:$H,7,FALSE),,CONGÉ!$C$2:$C$80))</f>
        <v>#N/A</v>
      </c>
      <c r="AN92" s="50" t="e">
        <f>+IF(U92=0," ",+WORKDAY.INTL(+VLOOKUP(AN$1,POSTE!$B:$G,3,FALSE),+CUM!AE91/+VLOOKUP(AN$1,POSTE!$B:$H,7,FALSE),,CONGÉ!$C$2:$C$80))</f>
        <v>#N/A</v>
      </c>
      <c r="AO92" s="50" t="e">
        <f>+IF(V92=0," ",+WORKDAY.INTL(+VLOOKUP(AO$1,POSTE!$B:$G,3,FALSE),+CUM!AF91/+VLOOKUP(AO$1,POSTE!$B:$H,7,FALSE),,CONGÉ!$C$2:$C$80))</f>
        <v>#N/A</v>
      </c>
      <c r="AP92" s="50" t="e">
        <f>+IF(W92=0," ",+WORKDAY.INTL(+VLOOKUP(AP$1,POSTE!$B:$G,3,FALSE),+CUM!AG91/+VLOOKUP(AP$1,POSTE!$B:$H,7,FALSE),,CONGÉ!$C$2:$C$80))</f>
        <v>#N/A</v>
      </c>
      <c r="AQ92" s="50" t="e">
        <f>+IF(X92=0," ",+WORKDAY.INTL(+VLOOKUP(AQ$1,POSTE!$B:$G,3,FALSE),+CUM!AH91/+VLOOKUP(AQ$1,POSTE!$B:$H,7,FALSE),,CONGÉ!$C$2:$C$80))</f>
        <v>#N/A</v>
      </c>
      <c r="AR92" s="71" t="e">
        <f>+IF(Y92=0," ",+WORKDAY.INTL(+VLOOKUP(AR$1,POSTE!$B:$G,3,FALSE),+CUM!AI91/+VLOOKUP(AR$1,POSTE!$B:$H,7,FALSE),,CONGÉ!$C$2:$C$80))</f>
        <v>#N/A</v>
      </c>
      <c r="AS92" s="72" t="e">
        <f>+IF(Q92=0," ",+WORKDAY.INTL(+VLOOKUP(AS$1,POSTE!$B:$G,3,FALSE),+CUM!AA92/+VLOOKUP(AS$1,POSTE!$B:$H,7,FALSE),,CONGÉ!$C$2:$C$80))</f>
        <v>#N/A</v>
      </c>
      <c r="AT92" s="73" t="e">
        <f>+IF(R92=0," ",+WORKDAY.INTL(+VLOOKUP(AT$1,POSTE!$B:$G,3,FALSE),+CUM!AB92/+VLOOKUP(AT$1,POSTE!$B:$H,7,FALSE),,CONGÉ!$C$2:$C$80))</f>
        <v>#N/A</v>
      </c>
      <c r="AU92" s="73" t="e">
        <f>+IF(AND(S92=0,T92=0)," ",+WORKDAY.INTL(+VLOOKUP($AS$1,POSTE!B:J,3,FALSE),+(((AC92*POSTE!$H$5)+(CUM!AD92*POSTE!$H$4))/(POSTE!$H$4*POSTE!$H$5*2)),,CONGÉ!$C$2:$C$80))</f>
        <v>#N/A</v>
      </c>
      <c r="AV92" s="73" t="e">
        <f>+IF(U92=0," ",+WORKDAY.INTL(+VLOOKUP(AV$1,POSTE!$B:$G,3,FALSE),+CUM!AE92/+VLOOKUP(AV$1,POSTE!$B:$H,7,FALSE),,CONGÉ!$C$2:$C$80))</f>
        <v>#N/A</v>
      </c>
      <c r="AW92" s="73" t="e">
        <f>+IF(V92=0," ",+WORKDAY.INTL(+VLOOKUP(AW$1,POSTE!$B:$G,3,FALSE),+CUM!AF92/+VLOOKUP(AW$1,POSTE!$B:$H,7,FALSE),,CONGÉ!$C$2:$C$80))</f>
        <v>#N/A</v>
      </c>
      <c r="AX92" s="73" t="e">
        <f>+IF(W92=0," ",+WORKDAY.INTL(+VLOOKUP(AX$1,POSTE!$B:$G,3,FALSE),+CUM!AG92/+VLOOKUP(AX$1,POSTE!$B:$H,7,FALSE),,CONGÉ!$C$2:$C$80))</f>
        <v>#N/A</v>
      </c>
      <c r="AY92" s="73" t="e">
        <f>+IF(X92=0," ",+WORKDAY.INTL(+VLOOKUP(AY$1,POSTE!$B:$G,3,FALSE),+CUM!AH92/+VLOOKUP(AY$1,POSTE!$B:$H,7,FALSE),,CONGÉ!$C$2:$C$80))</f>
        <v>#N/A</v>
      </c>
      <c r="AZ92" s="73" t="e">
        <f>+IF(Y92=0," ",+WORKDAY.INTL(+VLOOKUP(AZ$1,POSTE!$B:$G,3,FALSE),+CUM!AI92/+VLOOKUP(AZ$1,POSTE!$B:$H,7,FALSE),,CONGÉ!$C$2:$C$80))</f>
        <v>#N/A</v>
      </c>
      <c r="BA92" s="73" t="e">
        <f>+IF(S92=0," ",+WORKDAY.INTL(+VLOOKUP(BA$1,POSTE!$B:$G,3,FALSE),+CUM!AC92/+VLOOKUP(BA$1,POSTE!$B:$H,7,FALSE),,CONGÉ!$C$2:$C$80))</f>
        <v>#N/A</v>
      </c>
      <c r="BB92" s="73" t="e">
        <f>+IF(T92=0," ",+WORKDAY.INTL(+VLOOKUP(BB$1,POSTE!$B:$G,3,FALSE),+CUM!AD92/+VLOOKUP(BB$1,POSTE!$B:$H,7,FALSE),,CONGÉ!$C$2:$C$80))</f>
        <v>#N/A</v>
      </c>
      <c r="BC92" s="70" t="e">
        <f t="shared" si="44"/>
        <v>#N/A</v>
      </c>
      <c r="BD92" s="70" t="e">
        <f t="shared" si="45"/>
        <v>#N/A</v>
      </c>
      <c r="BE92" s="129" t="e">
        <f>+IF($F92="oui",+VLOOKUP($A92,DATA!$A:$AH,DATA!$AH$3,FALSE),0)</f>
        <v>#N/A</v>
      </c>
      <c r="BF92" s="129" t="e">
        <f t="shared" si="46"/>
        <v>#N/A</v>
      </c>
      <c r="BG92" s="136" t="e">
        <f>+IF(BE92&gt;0,+MAX((BH$4:BH91),BD92),"")</f>
        <v>#N/A</v>
      </c>
      <c r="BH92" s="136" t="e">
        <f>+IF(BE92&gt;0,+MAX((BH$4:BH91),+WORKDAY.INTL(BG92,+BE92/8,,CONGÉ!$C$2:$C$73)),"")</f>
        <v>#N/A</v>
      </c>
      <c r="BI92" s="136" t="e">
        <f t="shared" si="47"/>
        <v>#N/A</v>
      </c>
      <c r="BJ92" s="43" t="e">
        <f t="shared" si="41"/>
        <v>#N/A</v>
      </c>
      <c r="BK92" s="77">
        <f t="shared" ca="1" si="48"/>
        <v>45754</v>
      </c>
      <c r="BL92" s="78" t="e">
        <f>+(((AC92*POSTE!$H$5)+(CUM!AD92*POSTE!$H$4))/(POSTE!$H$4*POSTE!$H$5*2))</f>
        <v>#N/A</v>
      </c>
      <c r="BM92" s="90" t="e">
        <f ca="1">+WORKDAY.INTL(BK92,BL92,,CONGÉ!C$4:C$72)</f>
        <v>#N/A</v>
      </c>
      <c r="BN92" s="78" t="e">
        <f t="shared" ca="1" si="49"/>
        <v>#N/A</v>
      </c>
    </row>
    <row r="93" spans="1:66" x14ac:dyDescent="0.25">
      <c r="A93" s="49">
        <f t="shared" si="42"/>
        <v>89</v>
      </c>
      <c r="B93" s="185" cm="1">
        <f t="array" ref="B93">_xlfn.LET(_xlpm.CORR,IF(DATA!$B$4:$B$104="",IF(DATA!$A$4:$A$104="","--",DATA!$A$4:$A$104),DATA!$B$4:$B$104),_xlpm.Rx,SMALL(_xlpm.CORR,A93),IFERROR(MATCH(_xlpm.Rx,_xlpm.CORR,0),0))</f>
        <v>0</v>
      </c>
      <c r="C93" s="18" t="e">
        <f>+VLOOKUP($A93,DATA!$A:$AG,DATA!$E$3,FALSE)</f>
        <v>#N/A</v>
      </c>
      <c r="D93" s="18" t="e">
        <f>+VLOOKUP($A93,DATA!$A:$AG,DATA!$D$3,FALSE)</f>
        <v>#N/A</v>
      </c>
      <c r="E93" s="186" t="e">
        <f>+VLOOKUP($A93,DATA!$A:$AG,DATA!$G$3,FALSE)</f>
        <v>#N/A</v>
      </c>
      <c r="F93" s="19" t="e">
        <f>+VLOOKUP($A93,DATA!$A:$AG,DATA!$O$3,FALSE)</f>
        <v>#N/A</v>
      </c>
      <c r="G93" s="43" t="e">
        <f>+IF($F93="oui",+VLOOKUP($A93,DATA!$A:$AG,DATA!$P$3,FALSE),0)</f>
        <v>#N/A</v>
      </c>
      <c r="H93" s="44" t="e">
        <f>+IF($F93="oui",+VLOOKUP($A93,DATA!$A:$AG,DATA!$R$3,FALSE),0)</f>
        <v>#N/A</v>
      </c>
      <c r="I93" s="44" t="e">
        <f>+IF($F93="oui",+VLOOKUP($A93,DATA!$A:$AG,DATA!$T$3,FALSE),0)</f>
        <v>#N/A</v>
      </c>
      <c r="J93" s="44" t="e">
        <f>+IF($F93="oui",+VLOOKUP($A93,DATA!$A:$AG,DATA!$V$3,FALSE),0)</f>
        <v>#N/A</v>
      </c>
      <c r="K93" s="44" t="e">
        <f>+IF($F93="oui",+VLOOKUP($A93,DATA!$A:$AG,DATA!$X$3,FALSE),0)</f>
        <v>#N/A</v>
      </c>
      <c r="L93" s="44" t="e">
        <f>+IF($F93="oui",+VLOOKUP($A93,DATA!$A:$AG,DATA!$Z$3,FALSE),0)</f>
        <v>#N/A</v>
      </c>
      <c r="M93" s="44" t="e">
        <f>+IF($F93="oui",+VLOOKUP($A93,DATA!$A:$AG,DATA!$AB$3,FALSE),0)</f>
        <v>#N/A</v>
      </c>
      <c r="N93" s="44" t="e">
        <f>+IF($F93="oui",+VLOOKUP($A93,DATA!$A:$AG,DATA!$AD$3,FALSE),0)</f>
        <v>#N/A</v>
      </c>
      <c r="O93" s="45" t="e">
        <f>+IF($F93="oui",+VLOOKUP($A93,DATA!$A:$AG,DATA!$AF$3,FALSE),0)</f>
        <v>#N/A</v>
      </c>
      <c r="P93" s="116" t="e">
        <f t="shared" si="43"/>
        <v>#N/A</v>
      </c>
      <c r="Q93" s="21" t="e">
        <f>+IF($F93="oui",+VLOOKUP($A93,DATA!$A:$AG,DATA!$Q$3,FALSE),0)</f>
        <v>#N/A</v>
      </c>
      <c r="R93" s="22" t="e">
        <f>+IF($F93="oui",+VLOOKUP($A93,DATA!$A:$AG,DATA!$S$3,FALSE),0)</f>
        <v>#N/A</v>
      </c>
      <c r="S93" s="22" t="e">
        <f>+IF($F93="oui",+VLOOKUP($A93,DATA!$A:$AG,DATA!$U$3,FALSE),0)</f>
        <v>#N/A</v>
      </c>
      <c r="T93" s="22" t="e">
        <f>+IF($F93="oui",+VLOOKUP($A93,DATA!$A:$AG,DATA!$W$3,FALSE),0)</f>
        <v>#N/A</v>
      </c>
      <c r="U93" s="22" t="e">
        <f>+IF($F93="oui",+VLOOKUP($A93,DATA!$A:$AG,DATA!$Y$3,FALSE),0)</f>
        <v>#N/A</v>
      </c>
      <c r="V93" s="22" t="e">
        <f>+IF($F93="oui",+VLOOKUP($A93,DATA!$A:$AG,DATA!$AA$3,FALSE),0)</f>
        <v>#N/A</v>
      </c>
      <c r="W93" s="22" t="e">
        <f>+IF($F93="oui",+VLOOKUP($A93,DATA!$A:$AG,DATA!$AC$3,FALSE),0)</f>
        <v>#N/A</v>
      </c>
      <c r="X93" s="22" t="e">
        <f>+IF($F93="oui",+VLOOKUP($A93,DATA!$A:$AG,DATA!$AE$3,FALSE),0)</f>
        <v>#N/A</v>
      </c>
      <c r="Y93" s="23" t="e">
        <f>+IF($F93="oui",+VLOOKUP($A93,DATA!$A:$AG,DATA!$AG$3,FALSE),0)</f>
        <v>#N/A</v>
      </c>
      <c r="Z93" s="118" t="e">
        <f t="shared" si="31"/>
        <v>#N/A</v>
      </c>
      <c r="AA93" s="43" t="e">
        <f t="shared" si="32"/>
        <v>#N/A</v>
      </c>
      <c r="AB93" s="44" t="e">
        <f t="shared" si="33"/>
        <v>#N/A</v>
      </c>
      <c r="AC93" s="44" t="e">
        <f t="shared" si="34"/>
        <v>#N/A</v>
      </c>
      <c r="AD93" s="44" t="e">
        <f t="shared" si="35"/>
        <v>#N/A</v>
      </c>
      <c r="AE93" s="44" t="e">
        <f t="shared" si="36"/>
        <v>#N/A</v>
      </c>
      <c r="AF93" s="44" t="e">
        <f t="shared" si="37"/>
        <v>#N/A</v>
      </c>
      <c r="AG93" s="44" t="e">
        <f t="shared" si="38"/>
        <v>#N/A</v>
      </c>
      <c r="AH93" s="44" t="e">
        <f t="shared" si="39"/>
        <v>#N/A</v>
      </c>
      <c r="AI93" s="45" t="e">
        <f t="shared" si="40"/>
        <v>#N/A</v>
      </c>
      <c r="AJ93" s="70" t="e">
        <f>+IF(Q93=0," ",+WORKDAY.INTL(+VLOOKUP(AJ$1,POSTE!$B:$G,3,FALSE),+CUM!AA92/+VLOOKUP(AJ$1,POSTE!$B:$H,7,FALSE),,CONGÉ!$C$2:$C$80))</f>
        <v>#N/A</v>
      </c>
      <c r="AK93" s="50" t="e">
        <f>+IF(R93=0," ",+WORKDAY.INTL(+VLOOKUP(AK$1,POSTE!$B:$G,3,FALSE),+CUM!AB92/+VLOOKUP(AK$1,POSTE!$B:$H,7,FALSE),,CONGÉ!$C$2:$C$80))</f>
        <v>#N/A</v>
      </c>
      <c r="AL93" s="50" t="e">
        <f>+IF(S93=0," ",+WORKDAY.INTL(+VLOOKUP(AL$1,POSTE!$B:$G,3,FALSE),+CUM!AC92/+VLOOKUP(AL$1,POSTE!$B:$H,7,FALSE),,CONGÉ!$C$2:$C$80))</f>
        <v>#N/A</v>
      </c>
      <c r="AM93" s="50" t="e">
        <f>+IF(T93=0," ",+WORKDAY.INTL(+VLOOKUP(AM$1,POSTE!$B:$G,3,FALSE),+CUM!AD92/+VLOOKUP(AM$1,POSTE!$B:$H,7,FALSE),,CONGÉ!$C$2:$C$80))</f>
        <v>#N/A</v>
      </c>
      <c r="AN93" s="50" t="e">
        <f>+IF(U93=0," ",+WORKDAY.INTL(+VLOOKUP(AN$1,POSTE!$B:$G,3,FALSE),+CUM!AE92/+VLOOKUP(AN$1,POSTE!$B:$H,7,FALSE),,CONGÉ!$C$2:$C$80))</f>
        <v>#N/A</v>
      </c>
      <c r="AO93" s="50" t="e">
        <f>+IF(V93=0," ",+WORKDAY.INTL(+VLOOKUP(AO$1,POSTE!$B:$G,3,FALSE),+CUM!AF92/+VLOOKUP(AO$1,POSTE!$B:$H,7,FALSE),,CONGÉ!$C$2:$C$80))</f>
        <v>#N/A</v>
      </c>
      <c r="AP93" s="50" t="e">
        <f>+IF(W93=0," ",+WORKDAY.INTL(+VLOOKUP(AP$1,POSTE!$B:$G,3,FALSE),+CUM!AG92/+VLOOKUP(AP$1,POSTE!$B:$H,7,FALSE),,CONGÉ!$C$2:$C$80))</f>
        <v>#N/A</v>
      </c>
      <c r="AQ93" s="50" t="e">
        <f>+IF(X93=0," ",+WORKDAY.INTL(+VLOOKUP(AQ$1,POSTE!$B:$G,3,FALSE),+CUM!AH92/+VLOOKUP(AQ$1,POSTE!$B:$H,7,FALSE),,CONGÉ!$C$2:$C$80))</f>
        <v>#N/A</v>
      </c>
      <c r="AR93" s="71" t="e">
        <f>+IF(Y93=0," ",+WORKDAY.INTL(+VLOOKUP(AR$1,POSTE!$B:$G,3,FALSE),+CUM!AI92/+VLOOKUP(AR$1,POSTE!$B:$H,7,FALSE),,CONGÉ!$C$2:$C$80))</f>
        <v>#N/A</v>
      </c>
      <c r="AS93" s="72" t="e">
        <f>+IF(Q93=0," ",+WORKDAY.INTL(+VLOOKUP(AS$1,POSTE!$B:$G,3,FALSE),+CUM!AA93/+VLOOKUP(AS$1,POSTE!$B:$H,7,FALSE),,CONGÉ!$C$2:$C$80))</f>
        <v>#N/A</v>
      </c>
      <c r="AT93" s="73" t="e">
        <f>+IF(R93=0," ",+WORKDAY.INTL(+VLOOKUP(AT$1,POSTE!$B:$G,3,FALSE),+CUM!AB93/+VLOOKUP(AT$1,POSTE!$B:$H,7,FALSE),,CONGÉ!$C$2:$C$80))</f>
        <v>#N/A</v>
      </c>
      <c r="AU93" s="73" t="e">
        <f>+IF(AND(S93=0,T93=0)," ",+WORKDAY.INTL(+VLOOKUP($AS$1,POSTE!B:J,3,FALSE),+(((AC93*POSTE!$H$5)+(CUM!AD93*POSTE!$H$4))/(POSTE!$H$4*POSTE!$H$5*2)),,CONGÉ!$C$2:$C$80))</f>
        <v>#N/A</v>
      </c>
      <c r="AV93" s="73" t="e">
        <f>+IF(U93=0," ",+WORKDAY.INTL(+VLOOKUP(AV$1,POSTE!$B:$G,3,FALSE),+CUM!AE93/+VLOOKUP(AV$1,POSTE!$B:$H,7,FALSE),,CONGÉ!$C$2:$C$80))</f>
        <v>#N/A</v>
      </c>
      <c r="AW93" s="73" t="e">
        <f>+IF(V93=0," ",+WORKDAY.INTL(+VLOOKUP(AW$1,POSTE!$B:$G,3,FALSE),+CUM!AF93/+VLOOKUP(AW$1,POSTE!$B:$H,7,FALSE),,CONGÉ!$C$2:$C$80))</f>
        <v>#N/A</v>
      </c>
      <c r="AX93" s="73" t="e">
        <f>+IF(W93=0," ",+WORKDAY.INTL(+VLOOKUP(AX$1,POSTE!$B:$G,3,FALSE),+CUM!AG93/+VLOOKUP(AX$1,POSTE!$B:$H,7,FALSE),,CONGÉ!$C$2:$C$80))</f>
        <v>#N/A</v>
      </c>
      <c r="AY93" s="73" t="e">
        <f>+IF(X93=0," ",+WORKDAY.INTL(+VLOOKUP(AY$1,POSTE!$B:$G,3,FALSE),+CUM!AH93/+VLOOKUP(AY$1,POSTE!$B:$H,7,FALSE),,CONGÉ!$C$2:$C$80))</f>
        <v>#N/A</v>
      </c>
      <c r="AZ93" s="73" t="e">
        <f>+IF(Y93=0," ",+WORKDAY.INTL(+VLOOKUP(AZ$1,POSTE!$B:$G,3,FALSE),+CUM!AI93/+VLOOKUP(AZ$1,POSTE!$B:$H,7,FALSE),,CONGÉ!$C$2:$C$80))</f>
        <v>#N/A</v>
      </c>
      <c r="BA93" s="73" t="e">
        <f>+IF(S93=0," ",+WORKDAY.INTL(+VLOOKUP(BA$1,POSTE!$B:$G,3,FALSE),+CUM!AC93/+VLOOKUP(BA$1,POSTE!$B:$H,7,FALSE),,CONGÉ!$C$2:$C$80))</f>
        <v>#N/A</v>
      </c>
      <c r="BB93" s="73" t="e">
        <f>+IF(T93=0," ",+WORKDAY.INTL(+VLOOKUP(BB$1,POSTE!$B:$G,3,FALSE),+CUM!AD93/+VLOOKUP(BB$1,POSTE!$B:$H,7,FALSE),,CONGÉ!$C$2:$C$80))</f>
        <v>#N/A</v>
      </c>
      <c r="BC93" s="70" t="e">
        <f t="shared" si="44"/>
        <v>#N/A</v>
      </c>
      <c r="BD93" s="70" t="e">
        <f t="shared" si="45"/>
        <v>#N/A</v>
      </c>
      <c r="BE93" s="129" t="e">
        <f>+IF($F93="oui",+VLOOKUP($A93,DATA!$A:$AH,DATA!$AH$3,FALSE),0)</f>
        <v>#N/A</v>
      </c>
      <c r="BF93" s="129" t="e">
        <f t="shared" si="46"/>
        <v>#N/A</v>
      </c>
      <c r="BG93" s="136" t="e">
        <f>+IF(BE93&gt;0,+MAX((BH$4:BH92),BD93),"")</f>
        <v>#N/A</v>
      </c>
      <c r="BH93" s="136" t="e">
        <f>+IF(BE93&gt;0,+MAX((BH$4:BH92),+WORKDAY.INTL(BG93,+BE93/8,,CONGÉ!$C$2:$C$73)),"")</f>
        <v>#N/A</v>
      </c>
      <c r="BI93" s="136" t="e">
        <f t="shared" si="47"/>
        <v>#N/A</v>
      </c>
      <c r="BJ93" s="43" t="e">
        <f t="shared" si="41"/>
        <v>#N/A</v>
      </c>
      <c r="BK93" s="77">
        <f t="shared" ca="1" si="48"/>
        <v>45754</v>
      </c>
      <c r="BL93" s="78" t="e">
        <f>+(((AC93*POSTE!$H$5)+(CUM!AD93*POSTE!$H$4))/(POSTE!$H$4*POSTE!$H$5*2))</f>
        <v>#N/A</v>
      </c>
      <c r="BM93" s="90" t="e">
        <f ca="1">+WORKDAY.INTL(BK93,BL93,,CONGÉ!C$4:C$72)</f>
        <v>#N/A</v>
      </c>
      <c r="BN93" s="78" t="e">
        <f t="shared" ca="1" si="49"/>
        <v>#N/A</v>
      </c>
    </row>
    <row r="94" spans="1:66" x14ac:dyDescent="0.25">
      <c r="A94" s="49">
        <f t="shared" si="42"/>
        <v>90</v>
      </c>
      <c r="B94" s="185" cm="1">
        <f t="array" ref="B94">_xlfn.LET(_xlpm.CORR,IF(DATA!$B$4:$B$104="",IF(DATA!$A$4:$A$104="","--",DATA!$A$4:$A$104),DATA!$B$4:$B$104),_xlpm.Rx,SMALL(_xlpm.CORR,A94),IFERROR(MATCH(_xlpm.Rx,_xlpm.CORR,0),0))</f>
        <v>0</v>
      </c>
      <c r="C94" s="18" t="e">
        <f>+VLOOKUP($A94,DATA!$A:$AG,DATA!$E$3,FALSE)</f>
        <v>#N/A</v>
      </c>
      <c r="D94" s="18" t="e">
        <f>+VLOOKUP($A94,DATA!$A:$AG,DATA!$D$3,FALSE)</f>
        <v>#N/A</v>
      </c>
      <c r="E94" s="186" t="e">
        <f>+VLOOKUP($A94,DATA!$A:$AG,DATA!$G$3,FALSE)</f>
        <v>#N/A</v>
      </c>
      <c r="F94" s="19" t="e">
        <f>+VLOOKUP($A94,DATA!$A:$AG,DATA!$O$3,FALSE)</f>
        <v>#N/A</v>
      </c>
      <c r="G94" s="43" t="e">
        <f>+IF($F94="oui",+VLOOKUP($A94,DATA!$A:$AG,DATA!$P$3,FALSE),0)</f>
        <v>#N/A</v>
      </c>
      <c r="H94" s="44" t="e">
        <f>+IF($F94="oui",+VLOOKUP($A94,DATA!$A:$AG,DATA!$R$3,FALSE),0)</f>
        <v>#N/A</v>
      </c>
      <c r="I94" s="44" t="e">
        <f>+IF($F94="oui",+VLOOKUP($A94,DATA!$A:$AG,DATA!$T$3,FALSE),0)</f>
        <v>#N/A</v>
      </c>
      <c r="J94" s="44" t="e">
        <f>+IF($F94="oui",+VLOOKUP($A94,DATA!$A:$AG,DATA!$V$3,FALSE),0)</f>
        <v>#N/A</v>
      </c>
      <c r="K94" s="44" t="e">
        <f>+IF($F94="oui",+VLOOKUP($A94,DATA!$A:$AG,DATA!$X$3,FALSE),0)</f>
        <v>#N/A</v>
      </c>
      <c r="L94" s="44" t="e">
        <f>+IF($F94="oui",+VLOOKUP($A94,DATA!$A:$AG,DATA!$Z$3,FALSE),0)</f>
        <v>#N/A</v>
      </c>
      <c r="M94" s="44" t="e">
        <f>+IF($F94="oui",+VLOOKUP($A94,DATA!$A:$AG,DATA!$AB$3,FALSE),0)</f>
        <v>#N/A</v>
      </c>
      <c r="N94" s="44" t="e">
        <f>+IF($F94="oui",+VLOOKUP($A94,DATA!$A:$AG,DATA!$AD$3,FALSE),0)</f>
        <v>#N/A</v>
      </c>
      <c r="O94" s="45" t="e">
        <f>+IF($F94="oui",+VLOOKUP($A94,DATA!$A:$AG,DATA!$AF$3,FALSE),0)</f>
        <v>#N/A</v>
      </c>
      <c r="P94" s="116" t="e">
        <f t="shared" si="43"/>
        <v>#N/A</v>
      </c>
      <c r="Q94" s="21" t="e">
        <f>+IF($F94="oui",+VLOOKUP($A94,DATA!$A:$AG,DATA!$Q$3,FALSE),0)</f>
        <v>#N/A</v>
      </c>
      <c r="R94" s="22" t="e">
        <f>+IF($F94="oui",+VLOOKUP($A94,DATA!$A:$AG,DATA!$S$3,FALSE),0)</f>
        <v>#N/A</v>
      </c>
      <c r="S94" s="22" t="e">
        <f>+IF($F94="oui",+VLOOKUP($A94,DATA!$A:$AG,DATA!$U$3,FALSE),0)</f>
        <v>#N/A</v>
      </c>
      <c r="T94" s="22" t="e">
        <f>+IF($F94="oui",+VLOOKUP($A94,DATA!$A:$AG,DATA!$W$3,FALSE),0)</f>
        <v>#N/A</v>
      </c>
      <c r="U94" s="22" t="e">
        <f>+IF($F94="oui",+VLOOKUP($A94,DATA!$A:$AG,DATA!$Y$3,FALSE),0)</f>
        <v>#N/A</v>
      </c>
      <c r="V94" s="22" t="e">
        <f>+IF($F94="oui",+VLOOKUP($A94,DATA!$A:$AG,DATA!$AA$3,FALSE),0)</f>
        <v>#N/A</v>
      </c>
      <c r="W94" s="22" t="e">
        <f>+IF($F94="oui",+VLOOKUP($A94,DATA!$A:$AG,DATA!$AC$3,FALSE),0)</f>
        <v>#N/A</v>
      </c>
      <c r="X94" s="22" t="e">
        <f>+IF($F94="oui",+VLOOKUP($A94,DATA!$A:$AG,DATA!$AE$3,FALSE),0)</f>
        <v>#N/A</v>
      </c>
      <c r="Y94" s="23" t="e">
        <f>+IF($F94="oui",+VLOOKUP($A94,DATA!$A:$AG,DATA!$AG$3,FALSE),0)</f>
        <v>#N/A</v>
      </c>
      <c r="Z94" s="118" t="e">
        <f t="shared" si="31"/>
        <v>#N/A</v>
      </c>
      <c r="AA94" s="43" t="e">
        <f t="shared" si="32"/>
        <v>#N/A</v>
      </c>
      <c r="AB94" s="44" t="e">
        <f t="shared" si="33"/>
        <v>#N/A</v>
      </c>
      <c r="AC94" s="44" t="e">
        <f t="shared" si="34"/>
        <v>#N/A</v>
      </c>
      <c r="AD94" s="44" t="e">
        <f t="shared" si="35"/>
        <v>#N/A</v>
      </c>
      <c r="AE94" s="44" t="e">
        <f t="shared" si="36"/>
        <v>#N/A</v>
      </c>
      <c r="AF94" s="44" t="e">
        <f t="shared" si="37"/>
        <v>#N/A</v>
      </c>
      <c r="AG94" s="44" t="e">
        <f t="shared" si="38"/>
        <v>#N/A</v>
      </c>
      <c r="AH94" s="44" t="e">
        <f t="shared" si="39"/>
        <v>#N/A</v>
      </c>
      <c r="AI94" s="45" t="e">
        <f t="shared" si="40"/>
        <v>#N/A</v>
      </c>
      <c r="AJ94" s="70" t="e">
        <f>+IF(Q94=0," ",+WORKDAY.INTL(+VLOOKUP(AJ$1,POSTE!$B:$G,3,FALSE),+CUM!AA93/+VLOOKUP(AJ$1,POSTE!$B:$H,7,FALSE),,CONGÉ!$C$2:$C$80))</f>
        <v>#N/A</v>
      </c>
      <c r="AK94" s="50" t="e">
        <f>+IF(R94=0," ",+WORKDAY.INTL(+VLOOKUP(AK$1,POSTE!$B:$G,3,FALSE),+CUM!AB93/+VLOOKUP(AK$1,POSTE!$B:$H,7,FALSE),,CONGÉ!$C$2:$C$80))</f>
        <v>#N/A</v>
      </c>
      <c r="AL94" s="50" t="e">
        <f>+IF(S94=0," ",+WORKDAY.INTL(+VLOOKUP(AL$1,POSTE!$B:$G,3,FALSE),+CUM!AC93/+VLOOKUP(AL$1,POSTE!$B:$H,7,FALSE),,CONGÉ!$C$2:$C$80))</f>
        <v>#N/A</v>
      </c>
      <c r="AM94" s="50" t="e">
        <f>+IF(T94=0," ",+WORKDAY.INTL(+VLOOKUP(AM$1,POSTE!$B:$G,3,FALSE),+CUM!AD93/+VLOOKUP(AM$1,POSTE!$B:$H,7,FALSE),,CONGÉ!$C$2:$C$80))</f>
        <v>#N/A</v>
      </c>
      <c r="AN94" s="50" t="e">
        <f>+IF(U94=0," ",+WORKDAY.INTL(+VLOOKUP(AN$1,POSTE!$B:$G,3,FALSE),+CUM!AE93/+VLOOKUP(AN$1,POSTE!$B:$H,7,FALSE),,CONGÉ!$C$2:$C$80))</f>
        <v>#N/A</v>
      </c>
      <c r="AO94" s="50" t="e">
        <f>+IF(V94=0," ",+WORKDAY.INTL(+VLOOKUP(AO$1,POSTE!$B:$G,3,FALSE),+CUM!AF93/+VLOOKUP(AO$1,POSTE!$B:$H,7,FALSE),,CONGÉ!$C$2:$C$80))</f>
        <v>#N/A</v>
      </c>
      <c r="AP94" s="50" t="e">
        <f>+IF(W94=0," ",+WORKDAY.INTL(+VLOOKUP(AP$1,POSTE!$B:$G,3,FALSE),+CUM!AG93/+VLOOKUP(AP$1,POSTE!$B:$H,7,FALSE),,CONGÉ!$C$2:$C$80))</f>
        <v>#N/A</v>
      </c>
      <c r="AQ94" s="50" t="e">
        <f>+IF(X94=0," ",+WORKDAY.INTL(+VLOOKUP(AQ$1,POSTE!$B:$G,3,FALSE),+CUM!AH93/+VLOOKUP(AQ$1,POSTE!$B:$H,7,FALSE),,CONGÉ!$C$2:$C$80))</f>
        <v>#N/A</v>
      </c>
      <c r="AR94" s="71" t="e">
        <f>+IF(Y94=0," ",+WORKDAY.INTL(+VLOOKUP(AR$1,POSTE!$B:$G,3,FALSE),+CUM!AI93/+VLOOKUP(AR$1,POSTE!$B:$H,7,FALSE),,CONGÉ!$C$2:$C$80))</f>
        <v>#N/A</v>
      </c>
      <c r="AS94" s="72" t="e">
        <f>+IF(Q94=0," ",+WORKDAY.INTL(+VLOOKUP(AS$1,POSTE!$B:$G,3,FALSE),+CUM!AA94/+VLOOKUP(AS$1,POSTE!$B:$H,7,FALSE),,CONGÉ!$C$2:$C$80))</f>
        <v>#N/A</v>
      </c>
      <c r="AT94" s="73" t="e">
        <f>+IF(R94=0," ",+WORKDAY.INTL(+VLOOKUP(AT$1,POSTE!$B:$G,3,FALSE),+CUM!AB94/+VLOOKUP(AT$1,POSTE!$B:$H,7,FALSE),,CONGÉ!$C$2:$C$80))</f>
        <v>#N/A</v>
      </c>
      <c r="AU94" s="73" t="e">
        <f>+IF(AND(S94=0,T94=0)," ",+WORKDAY.INTL(+VLOOKUP($AS$1,POSTE!B:J,3,FALSE),+(((AC94*POSTE!$H$5)+(CUM!AD94*POSTE!$H$4))/(POSTE!$H$4*POSTE!$H$5*2)),,CONGÉ!$C$2:$C$80))</f>
        <v>#N/A</v>
      </c>
      <c r="AV94" s="73" t="e">
        <f>+IF(U94=0," ",+WORKDAY.INTL(+VLOOKUP(AV$1,POSTE!$B:$G,3,FALSE),+CUM!AE94/+VLOOKUP(AV$1,POSTE!$B:$H,7,FALSE),,CONGÉ!$C$2:$C$80))</f>
        <v>#N/A</v>
      </c>
      <c r="AW94" s="73" t="e">
        <f>+IF(V94=0," ",+WORKDAY.INTL(+VLOOKUP(AW$1,POSTE!$B:$G,3,FALSE),+CUM!AF94/+VLOOKUP(AW$1,POSTE!$B:$H,7,FALSE),,CONGÉ!$C$2:$C$80))</f>
        <v>#N/A</v>
      </c>
      <c r="AX94" s="73" t="e">
        <f>+IF(W94=0," ",+WORKDAY.INTL(+VLOOKUP(AX$1,POSTE!$B:$G,3,FALSE),+CUM!AG94/+VLOOKUP(AX$1,POSTE!$B:$H,7,FALSE),,CONGÉ!$C$2:$C$80))</f>
        <v>#N/A</v>
      </c>
      <c r="AY94" s="73" t="e">
        <f>+IF(X94=0," ",+WORKDAY.INTL(+VLOOKUP(AY$1,POSTE!$B:$G,3,FALSE),+CUM!AH94/+VLOOKUP(AY$1,POSTE!$B:$H,7,FALSE),,CONGÉ!$C$2:$C$80))</f>
        <v>#N/A</v>
      </c>
      <c r="AZ94" s="73" t="e">
        <f>+IF(Y94=0," ",+WORKDAY.INTL(+VLOOKUP(AZ$1,POSTE!$B:$G,3,FALSE),+CUM!AI94/+VLOOKUP(AZ$1,POSTE!$B:$H,7,FALSE),,CONGÉ!$C$2:$C$80))</f>
        <v>#N/A</v>
      </c>
      <c r="BA94" s="73" t="e">
        <f>+IF(S94=0," ",+WORKDAY.INTL(+VLOOKUP(BA$1,POSTE!$B:$G,3,FALSE),+CUM!AC94/+VLOOKUP(BA$1,POSTE!$B:$H,7,FALSE),,CONGÉ!$C$2:$C$80))</f>
        <v>#N/A</v>
      </c>
      <c r="BB94" s="73" t="e">
        <f>+IF(T94=0," ",+WORKDAY.INTL(+VLOOKUP(BB$1,POSTE!$B:$G,3,FALSE),+CUM!AD94/+VLOOKUP(BB$1,POSTE!$B:$H,7,FALSE),,CONGÉ!$C$2:$C$80))</f>
        <v>#N/A</v>
      </c>
      <c r="BC94" s="70" t="e">
        <f t="shared" si="44"/>
        <v>#N/A</v>
      </c>
      <c r="BD94" s="70" t="e">
        <f t="shared" si="45"/>
        <v>#N/A</v>
      </c>
      <c r="BE94" s="129" t="e">
        <f>+IF($F94="oui",+VLOOKUP($A94,DATA!$A:$AH,DATA!$AH$3,FALSE),0)</f>
        <v>#N/A</v>
      </c>
      <c r="BF94" s="129" t="e">
        <f t="shared" si="46"/>
        <v>#N/A</v>
      </c>
      <c r="BG94" s="136" t="e">
        <f>+IF(BE94&gt;0,+MAX((BH$4:BH93),BD94),"")</f>
        <v>#N/A</v>
      </c>
      <c r="BH94" s="136" t="e">
        <f>+IF(BE94&gt;0,+MAX((BH$4:BH93),+WORKDAY.INTL(BG94,+BE94/8,,CONGÉ!$C$2:$C$73)),"")</f>
        <v>#N/A</v>
      </c>
      <c r="BI94" s="136" t="e">
        <f t="shared" si="47"/>
        <v>#N/A</v>
      </c>
      <c r="BJ94" s="43" t="e">
        <f t="shared" si="41"/>
        <v>#N/A</v>
      </c>
      <c r="BK94" s="77">
        <f t="shared" ca="1" si="48"/>
        <v>45754</v>
      </c>
      <c r="BL94" s="78" t="e">
        <f>+(((AC94*POSTE!$H$5)+(CUM!AD94*POSTE!$H$4))/(POSTE!$H$4*POSTE!$H$5*2))</f>
        <v>#N/A</v>
      </c>
      <c r="BM94" s="90" t="e">
        <f ca="1">+WORKDAY.INTL(BK94,BL94,,CONGÉ!C$4:C$72)</f>
        <v>#N/A</v>
      </c>
      <c r="BN94" s="78" t="e">
        <f t="shared" ca="1" si="49"/>
        <v>#N/A</v>
      </c>
    </row>
    <row r="95" spans="1:66" x14ac:dyDescent="0.25">
      <c r="A95" s="49">
        <f t="shared" si="42"/>
        <v>91</v>
      </c>
      <c r="B95" s="185" cm="1">
        <f t="array" ref="B95">_xlfn.LET(_xlpm.CORR,IF(DATA!$B$4:$B$104="",IF(DATA!$A$4:$A$104="","--",DATA!$A$4:$A$104),DATA!$B$4:$B$104),_xlpm.Rx,SMALL(_xlpm.CORR,A95),IFERROR(MATCH(_xlpm.Rx,_xlpm.CORR,0),0))</f>
        <v>0</v>
      </c>
      <c r="C95" s="18" t="e">
        <f>+VLOOKUP($A95,DATA!$A:$AG,DATA!$E$3,FALSE)</f>
        <v>#N/A</v>
      </c>
      <c r="D95" s="18" t="e">
        <f>+VLOOKUP($A95,DATA!$A:$AG,DATA!$D$3,FALSE)</f>
        <v>#N/A</v>
      </c>
      <c r="E95" s="186" t="e">
        <f>+VLOOKUP($A95,DATA!$A:$AG,DATA!$G$3,FALSE)</f>
        <v>#N/A</v>
      </c>
      <c r="F95" s="19" t="e">
        <f>+VLOOKUP($A95,DATA!$A:$AG,DATA!$O$3,FALSE)</f>
        <v>#N/A</v>
      </c>
      <c r="G95" s="43" t="e">
        <f>+IF($F95="oui",+VLOOKUP($A95,DATA!$A:$AG,DATA!$P$3,FALSE),0)</f>
        <v>#N/A</v>
      </c>
      <c r="H95" s="44" t="e">
        <f>+IF($F95="oui",+VLOOKUP($A95,DATA!$A:$AG,DATA!$R$3,FALSE),0)</f>
        <v>#N/A</v>
      </c>
      <c r="I95" s="44" t="e">
        <f>+IF($F95="oui",+VLOOKUP($A95,DATA!$A:$AG,DATA!$T$3,FALSE),0)</f>
        <v>#N/A</v>
      </c>
      <c r="J95" s="44" t="e">
        <f>+IF($F95="oui",+VLOOKUP($A95,DATA!$A:$AG,DATA!$V$3,FALSE),0)</f>
        <v>#N/A</v>
      </c>
      <c r="K95" s="44" t="e">
        <f>+IF($F95="oui",+VLOOKUP($A95,DATA!$A:$AG,DATA!$X$3,FALSE),0)</f>
        <v>#N/A</v>
      </c>
      <c r="L95" s="44" t="e">
        <f>+IF($F95="oui",+VLOOKUP($A95,DATA!$A:$AG,DATA!$Z$3,FALSE),0)</f>
        <v>#N/A</v>
      </c>
      <c r="M95" s="44" t="e">
        <f>+IF($F95="oui",+VLOOKUP($A95,DATA!$A:$AG,DATA!$AB$3,FALSE),0)</f>
        <v>#N/A</v>
      </c>
      <c r="N95" s="44" t="e">
        <f>+IF($F95="oui",+VLOOKUP($A95,DATA!$A:$AG,DATA!$AD$3,FALSE),0)</f>
        <v>#N/A</v>
      </c>
      <c r="O95" s="45" t="e">
        <f>+IF($F95="oui",+VLOOKUP($A95,DATA!$A:$AG,DATA!$AF$3,FALSE),0)</f>
        <v>#N/A</v>
      </c>
      <c r="P95" s="116" t="e">
        <f t="shared" si="43"/>
        <v>#N/A</v>
      </c>
      <c r="Q95" s="21" t="e">
        <f>+IF($F95="oui",+VLOOKUP($A95,DATA!$A:$AG,DATA!$Q$3,FALSE),0)</f>
        <v>#N/A</v>
      </c>
      <c r="R95" s="22" t="e">
        <f>+IF($F95="oui",+VLOOKUP($A95,DATA!$A:$AG,DATA!$S$3,FALSE),0)</f>
        <v>#N/A</v>
      </c>
      <c r="S95" s="22" t="e">
        <f>+IF($F95="oui",+VLOOKUP($A95,DATA!$A:$AG,DATA!$U$3,FALSE),0)</f>
        <v>#N/A</v>
      </c>
      <c r="T95" s="22" t="e">
        <f>+IF($F95="oui",+VLOOKUP($A95,DATA!$A:$AG,DATA!$W$3,FALSE),0)</f>
        <v>#N/A</v>
      </c>
      <c r="U95" s="22" t="e">
        <f>+IF($F95="oui",+VLOOKUP($A95,DATA!$A:$AG,DATA!$Y$3,FALSE),0)</f>
        <v>#N/A</v>
      </c>
      <c r="V95" s="22" t="e">
        <f>+IF($F95="oui",+VLOOKUP($A95,DATA!$A:$AG,DATA!$AA$3,FALSE),0)</f>
        <v>#N/A</v>
      </c>
      <c r="W95" s="22" t="e">
        <f>+IF($F95="oui",+VLOOKUP($A95,DATA!$A:$AG,DATA!$AC$3,FALSE),0)</f>
        <v>#N/A</v>
      </c>
      <c r="X95" s="22" t="e">
        <f>+IF($F95="oui",+VLOOKUP($A95,DATA!$A:$AG,DATA!$AE$3,FALSE),0)</f>
        <v>#N/A</v>
      </c>
      <c r="Y95" s="23" t="e">
        <f>+IF($F95="oui",+VLOOKUP($A95,DATA!$A:$AG,DATA!$AG$3,FALSE),0)</f>
        <v>#N/A</v>
      </c>
      <c r="Z95" s="118" t="e">
        <f t="shared" si="31"/>
        <v>#N/A</v>
      </c>
      <c r="AA95" s="43" t="e">
        <f t="shared" si="32"/>
        <v>#N/A</v>
      </c>
      <c r="AB95" s="44" t="e">
        <f t="shared" si="33"/>
        <v>#N/A</v>
      </c>
      <c r="AC95" s="44" t="e">
        <f t="shared" si="34"/>
        <v>#N/A</v>
      </c>
      <c r="AD95" s="44" t="e">
        <f t="shared" si="35"/>
        <v>#N/A</v>
      </c>
      <c r="AE95" s="44" t="e">
        <f t="shared" si="36"/>
        <v>#N/A</v>
      </c>
      <c r="AF95" s="44" t="e">
        <f t="shared" si="37"/>
        <v>#N/A</v>
      </c>
      <c r="AG95" s="44" t="e">
        <f t="shared" si="38"/>
        <v>#N/A</v>
      </c>
      <c r="AH95" s="44" t="e">
        <f t="shared" si="39"/>
        <v>#N/A</v>
      </c>
      <c r="AI95" s="45" t="e">
        <f t="shared" si="40"/>
        <v>#N/A</v>
      </c>
      <c r="AJ95" s="70" t="e">
        <f>+IF(Q95=0," ",+WORKDAY.INTL(+VLOOKUP(AJ$1,POSTE!$B:$G,3,FALSE),+CUM!AA94/+VLOOKUP(AJ$1,POSTE!$B:$H,7,FALSE),,CONGÉ!$C$2:$C$80))</f>
        <v>#N/A</v>
      </c>
      <c r="AK95" s="50" t="e">
        <f>+IF(R95=0," ",+WORKDAY.INTL(+VLOOKUP(AK$1,POSTE!$B:$G,3,FALSE),+CUM!AB94/+VLOOKUP(AK$1,POSTE!$B:$H,7,FALSE),,CONGÉ!$C$2:$C$80))</f>
        <v>#N/A</v>
      </c>
      <c r="AL95" s="50" t="e">
        <f>+IF(S95=0," ",+WORKDAY.INTL(+VLOOKUP(AL$1,POSTE!$B:$G,3,FALSE),+CUM!AC94/+VLOOKUP(AL$1,POSTE!$B:$H,7,FALSE),,CONGÉ!$C$2:$C$80))</f>
        <v>#N/A</v>
      </c>
      <c r="AM95" s="50" t="e">
        <f>+IF(T95=0," ",+WORKDAY.INTL(+VLOOKUP(AM$1,POSTE!$B:$G,3,FALSE),+CUM!AD94/+VLOOKUP(AM$1,POSTE!$B:$H,7,FALSE),,CONGÉ!$C$2:$C$80))</f>
        <v>#N/A</v>
      </c>
      <c r="AN95" s="50" t="e">
        <f>+IF(U95=0," ",+WORKDAY.INTL(+VLOOKUP(AN$1,POSTE!$B:$G,3,FALSE),+CUM!AE94/+VLOOKUP(AN$1,POSTE!$B:$H,7,FALSE),,CONGÉ!$C$2:$C$80))</f>
        <v>#N/A</v>
      </c>
      <c r="AO95" s="50" t="e">
        <f>+IF(V95=0," ",+WORKDAY.INTL(+VLOOKUP(AO$1,POSTE!$B:$G,3,FALSE),+CUM!AF94/+VLOOKUP(AO$1,POSTE!$B:$H,7,FALSE),,CONGÉ!$C$2:$C$80))</f>
        <v>#N/A</v>
      </c>
      <c r="AP95" s="50" t="e">
        <f>+IF(W95=0," ",+WORKDAY.INTL(+VLOOKUP(AP$1,POSTE!$B:$G,3,FALSE),+CUM!AG94/+VLOOKUP(AP$1,POSTE!$B:$H,7,FALSE),,CONGÉ!$C$2:$C$80))</f>
        <v>#N/A</v>
      </c>
      <c r="AQ95" s="50" t="e">
        <f>+IF(X95=0," ",+WORKDAY.INTL(+VLOOKUP(AQ$1,POSTE!$B:$G,3,FALSE),+CUM!AH94/+VLOOKUP(AQ$1,POSTE!$B:$H,7,FALSE),,CONGÉ!$C$2:$C$80))</f>
        <v>#N/A</v>
      </c>
      <c r="AR95" s="71" t="e">
        <f>+IF(Y95=0," ",+WORKDAY.INTL(+VLOOKUP(AR$1,POSTE!$B:$G,3,FALSE),+CUM!AI94/+VLOOKUP(AR$1,POSTE!$B:$H,7,FALSE),,CONGÉ!$C$2:$C$80))</f>
        <v>#N/A</v>
      </c>
      <c r="AS95" s="72" t="e">
        <f>+IF(Q95=0," ",+WORKDAY.INTL(+VLOOKUP(AS$1,POSTE!$B:$G,3,FALSE),+CUM!AA95/+VLOOKUP(AS$1,POSTE!$B:$H,7,FALSE),,CONGÉ!$C$2:$C$80))</f>
        <v>#N/A</v>
      </c>
      <c r="AT95" s="73" t="e">
        <f>+IF(R95=0," ",+WORKDAY.INTL(+VLOOKUP(AT$1,POSTE!$B:$G,3,FALSE),+CUM!AB95/+VLOOKUP(AT$1,POSTE!$B:$H,7,FALSE),,CONGÉ!$C$2:$C$80))</f>
        <v>#N/A</v>
      </c>
      <c r="AU95" s="73" t="e">
        <f>+IF(AND(S95=0,T95=0)," ",+WORKDAY.INTL(+VLOOKUP($AS$1,POSTE!B:J,3,FALSE),+(((AC95*POSTE!$H$5)+(CUM!AD95*POSTE!$H$4))/(POSTE!$H$4*POSTE!$H$5*2)),,CONGÉ!$C$2:$C$80))</f>
        <v>#N/A</v>
      </c>
      <c r="AV95" s="73" t="e">
        <f>+IF(U95=0," ",+WORKDAY.INTL(+VLOOKUP(AV$1,POSTE!$B:$G,3,FALSE),+CUM!AE95/+VLOOKUP(AV$1,POSTE!$B:$H,7,FALSE),,CONGÉ!$C$2:$C$80))</f>
        <v>#N/A</v>
      </c>
      <c r="AW95" s="73" t="e">
        <f>+IF(V95=0," ",+WORKDAY.INTL(+VLOOKUP(AW$1,POSTE!$B:$G,3,FALSE),+CUM!AF95/+VLOOKUP(AW$1,POSTE!$B:$H,7,FALSE),,CONGÉ!$C$2:$C$80))</f>
        <v>#N/A</v>
      </c>
      <c r="AX95" s="73" t="e">
        <f>+IF(W95=0," ",+WORKDAY.INTL(+VLOOKUP(AX$1,POSTE!$B:$G,3,FALSE),+CUM!AG95/+VLOOKUP(AX$1,POSTE!$B:$H,7,FALSE),,CONGÉ!$C$2:$C$80))</f>
        <v>#N/A</v>
      </c>
      <c r="AY95" s="73" t="e">
        <f>+IF(X95=0," ",+WORKDAY.INTL(+VLOOKUP(AY$1,POSTE!$B:$G,3,FALSE),+CUM!AH95/+VLOOKUP(AY$1,POSTE!$B:$H,7,FALSE),,CONGÉ!$C$2:$C$80))</f>
        <v>#N/A</v>
      </c>
      <c r="AZ95" s="73" t="e">
        <f>+IF(Y95=0," ",+WORKDAY.INTL(+VLOOKUP(AZ$1,POSTE!$B:$G,3,FALSE),+CUM!AI95/+VLOOKUP(AZ$1,POSTE!$B:$H,7,FALSE),,CONGÉ!$C$2:$C$80))</f>
        <v>#N/A</v>
      </c>
      <c r="BA95" s="73" t="e">
        <f>+IF(S95=0," ",+WORKDAY.INTL(+VLOOKUP(BA$1,POSTE!$B:$G,3,FALSE),+CUM!AC95/+VLOOKUP(BA$1,POSTE!$B:$H,7,FALSE),,CONGÉ!$C$2:$C$80))</f>
        <v>#N/A</v>
      </c>
      <c r="BB95" s="73" t="e">
        <f>+IF(T95=0," ",+WORKDAY.INTL(+VLOOKUP(BB$1,POSTE!$B:$G,3,FALSE),+CUM!AD95/+VLOOKUP(BB$1,POSTE!$B:$H,7,FALSE),,CONGÉ!$C$2:$C$80))</f>
        <v>#N/A</v>
      </c>
      <c r="BC95" s="70" t="e">
        <f t="shared" si="44"/>
        <v>#N/A</v>
      </c>
      <c r="BD95" s="70" t="e">
        <f t="shared" si="45"/>
        <v>#N/A</v>
      </c>
      <c r="BE95" s="129" t="e">
        <f>+IF($F95="oui",+VLOOKUP($A95,DATA!$A:$AH,DATA!$AH$3,FALSE),0)</f>
        <v>#N/A</v>
      </c>
      <c r="BF95" s="129" t="e">
        <f t="shared" si="46"/>
        <v>#N/A</v>
      </c>
      <c r="BG95" s="136" t="e">
        <f>+IF(BE95&gt;0,+MAX((BH$4:BH94),BD95),"")</f>
        <v>#N/A</v>
      </c>
      <c r="BH95" s="136" t="e">
        <f>+IF(BE95&gt;0,+MAX((BH$4:BH94),+WORKDAY.INTL(BG95,+BE95/8,,CONGÉ!$C$2:$C$73)),"")</f>
        <v>#N/A</v>
      </c>
      <c r="BI95" s="136" t="e">
        <f t="shared" si="47"/>
        <v>#N/A</v>
      </c>
      <c r="BJ95" s="43" t="e">
        <f t="shared" si="41"/>
        <v>#N/A</v>
      </c>
      <c r="BK95" s="77">
        <f t="shared" ca="1" si="48"/>
        <v>45754</v>
      </c>
      <c r="BL95" s="78" t="e">
        <f>+(((AC95*POSTE!$H$5)+(CUM!AD95*POSTE!$H$4))/(POSTE!$H$4*POSTE!$H$5*2))</f>
        <v>#N/A</v>
      </c>
      <c r="BM95" s="90" t="e">
        <f ca="1">+WORKDAY.INTL(BK95,BL95,,CONGÉ!C$4:C$72)</f>
        <v>#N/A</v>
      </c>
      <c r="BN95" s="78" t="e">
        <f t="shared" ca="1" si="49"/>
        <v>#N/A</v>
      </c>
    </row>
    <row r="96" spans="1:66" x14ac:dyDescent="0.25">
      <c r="A96" s="49">
        <f t="shared" si="42"/>
        <v>92</v>
      </c>
      <c r="B96" s="185" cm="1">
        <f t="array" ref="B96">_xlfn.LET(_xlpm.CORR,IF(DATA!$B$4:$B$104="",IF(DATA!$A$4:$A$104="","--",DATA!$A$4:$A$104),DATA!$B$4:$B$104),_xlpm.Rx,SMALL(_xlpm.CORR,A96),IFERROR(MATCH(_xlpm.Rx,_xlpm.CORR,0),0))</f>
        <v>0</v>
      </c>
      <c r="C96" s="18" t="e">
        <f>+VLOOKUP($A96,DATA!$A:$AG,DATA!$E$3,FALSE)</f>
        <v>#N/A</v>
      </c>
      <c r="D96" s="18" t="e">
        <f>+VLOOKUP($A96,DATA!$A:$AG,DATA!$D$3,FALSE)</f>
        <v>#N/A</v>
      </c>
      <c r="E96" s="186" t="e">
        <f>+VLOOKUP($A96,DATA!$A:$AG,DATA!$G$3,FALSE)</f>
        <v>#N/A</v>
      </c>
      <c r="F96" s="19" t="e">
        <f>+VLOOKUP($A96,DATA!$A:$AG,DATA!$O$3,FALSE)</f>
        <v>#N/A</v>
      </c>
      <c r="G96" s="43" t="e">
        <f>+IF($F96="oui",+VLOOKUP($A96,DATA!$A:$AG,DATA!$P$3,FALSE),0)</f>
        <v>#N/A</v>
      </c>
      <c r="H96" s="44" t="e">
        <f>+IF($F96="oui",+VLOOKUP($A96,DATA!$A:$AG,DATA!$R$3,FALSE),0)</f>
        <v>#N/A</v>
      </c>
      <c r="I96" s="44" t="e">
        <f>+IF($F96="oui",+VLOOKUP($A96,DATA!$A:$AG,DATA!$T$3,FALSE),0)</f>
        <v>#N/A</v>
      </c>
      <c r="J96" s="44" t="e">
        <f>+IF($F96="oui",+VLOOKUP($A96,DATA!$A:$AG,DATA!$V$3,FALSE),0)</f>
        <v>#N/A</v>
      </c>
      <c r="K96" s="44" t="e">
        <f>+IF($F96="oui",+VLOOKUP($A96,DATA!$A:$AG,DATA!$X$3,FALSE),0)</f>
        <v>#N/A</v>
      </c>
      <c r="L96" s="44" t="e">
        <f>+IF($F96="oui",+VLOOKUP($A96,DATA!$A:$AG,DATA!$Z$3,FALSE),0)</f>
        <v>#N/A</v>
      </c>
      <c r="M96" s="44" t="e">
        <f>+IF($F96="oui",+VLOOKUP($A96,DATA!$A:$AG,DATA!$AB$3,FALSE),0)</f>
        <v>#N/A</v>
      </c>
      <c r="N96" s="44" t="e">
        <f>+IF($F96="oui",+VLOOKUP($A96,DATA!$A:$AG,DATA!$AD$3,FALSE),0)</f>
        <v>#N/A</v>
      </c>
      <c r="O96" s="45" t="e">
        <f>+IF($F96="oui",+VLOOKUP($A96,DATA!$A:$AG,DATA!$AF$3,FALSE),0)</f>
        <v>#N/A</v>
      </c>
      <c r="P96" s="116" t="e">
        <f t="shared" si="43"/>
        <v>#N/A</v>
      </c>
      <c r="Q96" s="21" t="e">
        <f>+IF($F96="oui",+VLOOKUP($A96,DATA!$A:$AG,DATA!$Q$3,FALSE),0)</f>
        <v>#N/A</v>
      </c>
      <c r="R96" s="22" t="e">
        <f>+IF($F96="oui",+VLOOKUP($A96,DATA!$A:$AG,DATA!$S$3,FALSE),0)</f>
        <v>#N/A</v>
      </c>
      <c r="S96" s="22" t="e">
        <f>+IF($F96="oui",+VLOOKUP($A96,DATA!$A:$AG,DATA!$U$3,FALSE),0)</f>
        <v>#N/A</v>
      </c>
      <c r="T96" s="22" t="e">
        <f>+IF($F96="oui",+VLOOKUP($A96,DATA!$A:$AG,DATA!$W$3,FALSE),0)</f>
        <v>#N/A</v>
      </c>
      <c r="U96" s="22" t="e">
        <f>+IF($F96="oui",+VLOOKUP($A96,DATA!$A:$AG,DATA!$Y$3,FALSE),0)</f>
        <v>#N/A</v>
      </c>
      <c r="V96" s="22" t="e">
        <f>+IF($F96="oui",+VLOOKUP($A96,DATA!$A:$AG,DATA!$AA$3,FALSE),0)</f>
        <v>#N/A</v>
      </c>
      <c r="W96" s="22" t="e">
        <f>+IF($F96="oui",+VLOOKUP($A96,DATA!$A:$AG,DATA!$AC$3,FALSE),0)</f>
        <v>#N/A</v>
      </c>
      <c r="X96" s="22" t="e">
        <f>+IF($F96="oui",+VLOOKUP($A96,DATA!$A:$AG,DATA!$AE$3,FALSE),0)</f>
        <v>#N/A</v>
      </c>
      <c r="Y96" s="23" t="e">
        <f>+IF($F96="oui",+VLOOKUP($A96,DATA!$A:$AG,DATA!$AG$3,FALSE),0)</f>
        <v>#N/A</v>
      </c>
      <c r="Z96" s="118" t="e">
        <f t="shared" si="31"/>
        <v>#N/A</v>
      </c>
      <c r="AA96" s="43" t="e">
        <f t="shared" si="32"/>
        <v>#N/A</v>
      </c>
      <c r="AB96" s="44" t="e">
        <f t="shared" si="33"/>
        <v>#N/A</v>
      </c>
      <c r="AC96" s="44" t="e">
        <f t="shared" si="34"/>
        <v>#N/A</v>
      </c>
      <c r="AD96" s="44" t="e">
        <f t="shared" si="35"/>
        <v>#N/A</v>
      </c>
      <c r="AE96" s="44" t="e">
        <f t="shared" si="36"/>
        <v>#N/A</v>
      </c>
      <c r="AF96" s="44" t="e">
        <f t="shared" si="37"/>
        <v>#N/A</v>
      </c>
      <c r="AG96" s="44" t="e">
        <f t="shared" si="38"/>
        <v>#N/A</v>
      </c>
      <c r="AH96" s="44" t="e">
        <f t="shared" si="39"/>
        <v>#N/A</v>
      </c>
      <c r="AI96" s="45" t="e">
        <f t="shared" si="40"/>
        <v>#N/A</v>
      </c>
      <c r="AJ96" s="70" t="e">
        <f>+IF(Q96=0," ",+WORKDAY.INTL(+VLOOKUP(AJ$1,POSTE!$B:$G,3,FALSE),+CUM!AA95/+VLOOKUP(AJ$1,POSTE!$B:$H,7,FALSE),,CONGÉ!$C$2:$C$80))</f>
        <v>#N/A</v>
      </c>
      <c r="AK96" s="50" t="e">
        <f>+IF(R96=0," ",+WORKDAY.INTL(+VLOOKUP(AK$1,POSTE!$B:$G,3,FALSE),+CUM!AB95/+VLOOKUP(AK$1,POSTE!$B:$H,7,FALSE),,CONGÉ!$C$2:$C$80))</f>
        <v>#N/A</v>
      </c>
      <c r="AL96" s="50" t="e">
        <f>+IF(S96=0," ",+WORKDAY.INTL(+VLOOKUP(AL$1,POSTE!$B:$G,3,FALSE),+CUM!AC95/+VLOOKUP(AL$1,POSTE!$B:$H,7,FALSE),,CONGÉ!$C$2:$C$80))</f>
        <v>#N/A</v>
      </c>
      <c r="AM96" s="50" t="e">
        <f>+IF(T96=0," ",+WORKDAY.INTL(+VLOOKUP(AM$1,POSTE!$B:$G,3,FALSE),+CUM!AD95/+VLOOKUP(AM$1,POSTE!$B:$H,7,FALSE),,CONGÉ!$C$2:$C$80))</f>
        <v>#N/A</v>
      </c>
      <c r="AN96" s="50" t="e">
        <f>+IF(U96=0," ",+WORKDAY.INTL(+VLOOKUP(AN$1,POSTE!$B:$G,3,FALSE),+CUM!AE95/+VLOOKUP(AN$1,POSTE!$B:$H,7,FALSE),,CONGÉ!$C$2:$C$80))</f>
        <v>#N/A</v>
      </c>
      <c r="AO96" s="50" t="e">
        <f>+IF(V96=0," ",+WORKDAY.INTL(+VLOOKUP(AO$1,POSTE!$B:$G,3,FALSE),+CUM!AF95/+VLOOKUP(AO$1,POSTE!$B:$H,7,FALSE),,CONGÉ!$C$2:$C$80))</f>
        <v>#N/A</v>
      </c>
      <c r="AP96" s="50" t="e">
        <f>+IF(W96=0," ",+WORKDAY.INTL(+VLOOKUP(AP$1,POSTE!$B:$G,3,FALSE),+CUM!AG95/+VLOOKUP(AP$1,POSTE!$B:$H,7,FALSE),,CONGÉ!$C$2:$C$80))</f>
        <v>#N/A</v>
      </c>
      <c r="AQ96" s="50" t="e">
        <f>+IF(X96=0," ",+WORKDAY.INTL(+VLOOKUP(AQ$1,POSTE!$B:$G,3,FALSE),+CUM!AH95/+VLOOKUP(AQ$1,POSTE!$B:$H,7,FALSE),,CONGÉ!$C$2:$C$80))</f>
        <v>#N/A</v>
      </c>
      <c r="AR96" s="71" t="e">
        <f>+IF(Y96=0," ",+WORKDAY.INTL(+VLOOKUP(AR$1,POSTE!$B:$G,3,FALSE),+CUM!AI95/+VLOOKUP(AR$1,POSTE!$B:$H,7,FALSE),,CONGÉ!$C$2:$C$80))</f>
        <v>#N/A</v>
      </c>
      <c r="AS96" s="72" t="e">
        <f>+IF(Q96=0," ",+WORKDAY.INTL(+VLOOKUP(AS$1,POSTE!$B:$G,3,FALSE),+CUM!AA96/+VLOOKUP(AS$1,POSTE!$B:$H,7,FALSE),,CONGÉ!$C$2:$C$80))</f>
        <v>#N/A</v>
      </c>
      <c r="AT96" s="73" t="e">
        <f>+IF(R96=0," ",+WORKDAY.INTL(+VLOOKUP(AT$1,POSTE!$B:$G,3,FALSE),+CUM!AB96/+VLOOKUP(AT$1,POSTE!$B:$H,7,FALSE),,CONGÉ!$C$2:$C$80))</f>
        <v>#N/A</v>
      </c>
      <c r="AU96" s="73" t="e">
        <f>+IF(AND(S96=0,T96=0)," ",+WORKDAY.INTL(+VLOOKUP($AS$1,POSTE!B:J,3,FALSE),+(((AC96*POSTE!$H$5)+(CUM!AD96*POSTE!$H$4))/(POSTE!$H$4*POSTE!$H$5*2)),,CONGÉ!$C$2:$C$80))</f>
        <v>#N/A</v>
      </c>
      <c r="AV96" s="73" t="e">
        <f>+IF(U96=0," ",+WORKDAY.INTL(+VLOOKUP(AV$1,POSTE!$B:$G,3,FALSE),+CUM!AE96/+VLOOKUP(AV$1,POSTE!$B:$H,7,FALSE),,CONGÉ!$C$2:$C$80))</f>
        <v>#N/A</v>
      </c>
      <c r="AW96" s="73" t="e">
        <f>+IF(V96=0," ",+WORKDAY.INTL(+VLOOKUP(AW$1,POSTE!$B:$G,3,FALSE),+CUM!AF96/+VLOOKUP(AW$1,POSTE!$B:$H,7,FALSE),,CONGÉ!$C$2:$C$80))</f>
        <v>#N/A</v>
      </c>
      <c r="AX96" s="73" t="e">
        <f>+IF(W96=0," ",+WORKDAY.INTL(+VLOOKUP(AX$1,POSTE!$B:$G,3,FALSE),+CUM!AG96/+VLOOKUP(AX$1,POSTE!$B:$H,7,FALSE),,CONGÉ!$C$2:$C$80))</f>
        <v>#N/A</v>
      </c>
      <c r="AY96" s="73" t="e">
        <f>+IF(X96=0," ",+WORKDAY.INTL(+VLOOKUP(AY$1,POSTE!$B:$G,3,FALSE),+CUM!AH96/+VLOOKUP(AY$1,POSTE!$B:$H,7,FALSE),,CONGÉ!$C$2:$C$80))</f>
        <v>#N/A</v>
      </c>
      <c r="AZ96" s="73" t="e">
        <f>+IF(Y96=0," ",+WORKDAY.INTL(+VLOOKUP(AZ$1,POSTE!$B:$G,3,FALSE),+CUM!AI96/+VLOOKUP(AZ$1,POSTE!$B:$H,7,FALSE),,CONGÉ!$C$2:$C$80))</f>
        <v>#N/A</v>
      </c>
      <c r="BA96" s="73" t="e">
        <f>+IF(S96=0," ",+WORKDAY.INTL(+VLOOKUP(BA$1,POSTE!$B:$G,3,FALSE),+CUM!AC96/+VLOOKUP(BA$1,POSTE!$B:$H,7,FALSE),,CONGÉ!$C$2:$C$80))</f>
        <v>#N/A</v>
      </c>
      <c r="BB96" s="73" t="e">
        <f>+IF(T96=0," ",+WORKDAY.INTL(+VLOOKUP(BB$1,POSTE!$B:$G,3,FALSE),+CUM!AD96/+VLOOKUP(BB$1,POSTE!$B:$H,7,FALSE),,CONGÉ!$C$2:$C$80))</f>
        <v>#N/A</v>
      </c>
      <c r="BC96" s="70" t="e">
        <f t="shared" si="44"/>
        <v>#N/A</v>
      </c>
      <c r="BD96" s="70" t="e">
        <f t="shared" si="45"/>
        <v>#N/A</v>
      </c>
      <c r="BE96" s="129" t="e">
        <f>+IF($F96="oui",+VLOOKUP($A96,DATA!$A:$AH,DATA!$AH$3,FALSE),0)</f>
        <v>#N/A</v>
      </c>
      <c r="BF96" s="129" t="e">
        <f t="shared" si="46"/>
        <v>#N/A</v>
      </c>
      <c r="BG96" s="136" t="e">
        <f>+IF(BE96&gt;0,+MAX((BH$4:BH95),BD96),"")</f>
        <v>#N/A</v>
      </c>
      <c r="BH96" s="136" t="e">
        <f>+IF(BE96&gt;0,+MAX((BH$4:BH95),+WORKDAY.INTL(BG96,+BE96/8,,CONGÉ!$C$2:$C$73)),"")</f>
        <v>#N/A</v>
      </c>
      <c r="BI96" s="136" t="e">
        <f t="shared" si="47"/>
        <v>#N/A</v>
      </c>
      <c r="BJ96" s="43" t="e">
        <f t="shared" si="41"/>
        <v>#N/A</v>
      </c>
      <c r="BK96" s="77">
        <f t="shared" ca="1" si="48"/>
        <v>45754</v>
      </c>
      <c r="BL96" s="78" t="e">
        <f>+(((AC96*POSTE!$H$5)+(CUM!AD96*POSTE!$H$4))/(POSTE!$H$4*POSTE!$H$5*2))</f>
        <v>#N/A</v>
      </c>
      <c r="BM96" s="90" t="e">
        <f ca="1">+WORKDAY.INTL(BK96,BL96,,CONGÉ!C$4:C$72)</f>
        <v>#N/A</v>
      </c>
      <c r="BN96" s="78" t="e">
        <f t="shared" ca="1" si="49"/>
        <v>#N/A</v>
      </c>
    </row>
    <row r="97" spans="1:66" x14ac:dyDescent="0.25">
      <c r="A97" s="49">
        <f t="shared" si="42"/>
        <v>93</v>
      </c>
      <c r="B97" s="185" cm="1">
        <f t="array" ref="B97">_xlfn.LET(_xlpm.CORR,IF(DATA!$B$4:$B$104="",IF(DATA!$A$4:$A$104="","--",DATA!$A$4:$A$104),DATA!$B$4:$B$104),_xlpm.Rx,SMALL(_xlpm.CORR,A97),IFERROR(MATCH(_xlpm.Rx,_xlpm.CORR,0),0))</f>
        <v>0</v>
      </c>
      <c r="C97" s="18" t="e">
        <f>+VLOOKUP($A97,DATA!$A:$AG,DATA!$E$3,FALSE)</f>
        <v>#N/A</v>
      </c>
      <c r="D97" s="18" t="e">
        <f>+VLOOKUP($A97,DATA!$A:$AG,DATA!$D$3,FALSE)</f>
        <v>#N/A</v>
      </c>
      <c r="E97" s="186" t="e">
        <f>+VLOOKUP($A97,DATA!$A:$AG,DATA!$G$3,FALSE)</f>
        <v>#N/A</v>
      </c>
      <c r="F97" s="19" t="e">
        <f>+VLOOKUP($A97,DATA!$A:$AG,DATA!$O$3,FALSE)</f>
        <v>#N/A</v>
      </c>
      <c r="G97" s="43" t="e">
        <f>+IF($F97="oui",+VLOOKUP($A97,DATA!$A:$AG,DATA!$P$3,FALSE),0)</f>
        <v>#N/A</v>
      </c>
      <c r="H97" s="44" t="e">
        <f>+IF($F97="oui",+VLOOKUP($A97,DATA!$A:$AG,DATA!$R$3,FALSE),0)</f>
        <v>#N/A</v>
      </c>
      <c r="I97" s="44" t="e">
        <f>+IF($F97="oui",+VLOOKUP($A97,DATA!$A:$AG,DATA!$T$3,FALSE),0)</f>
        <v>#N/A</v>
      </c>
      <c r="J97" s="44" t="e">
        <f>+IF($F97="oui",+VLOOKUP($A97,DATA!$A:$AG,DATA!$V$3,FALSE),0)</f>
        <v>#N/A</v>
      </c>
      <c r="K97" s="44" t="e">
        <f>+IF($F97="oui",+VLOOKUP($A97,DATA!$A:$AG,DATA!$X$3,FALSE),0)</f>
        <v>#N/A</v>
      </c>
      <c r="L97" s="44" t="e">
        <f>+IF($F97="oui",+VLOOKUP($A97,DATA!$A:$AG,DATA!$Z$3,FALSE),0)</f>
        <v>#N/A</v>
      </c>
      <c r="M97" s="44" t="e">
        <f>+IF($F97="oui",+VLOOKUP($A97,DATA!$A:$AG,DATA!$AB$3,FALSE),0)</f>
        <v>#N/A</v>
      </c>
      <c r="N97" s="44" t="e">
        <f>+IF($F97="oui",+VLOOKUP($A97,DATA!$A:$AG,DATA!$AD$3,FALSE),0)</f>
        <v>#N/A</v>
      </c>
      <c r="O97" s="45" t="e">
        <f>+IF($F97="oui",+VLOOKUP($A97,DATA!$A:$AG,DATA!$AF$3,FALSE),0)</f>
        <v>#N/A</v>
      </c>
      <c r="P97" s="116" t="e">
        <f t="shared" si="43"/>
        <v>#N/A</v>
      </c>
      <c r="Q97" s="21" t="e">
        <f>+IF($F97="oui",+VLOOKUP($A97,DATA!$A:$AG,DATA!$Q$3,FALSE),0)</f>
        <v>#N/A</v>
      </c>
      <c r="R97" s="22" t="e">
        <f>+IF($F97="oui",+VLOOKUP($A97,DATA!$A:$AG,DATA!$S$3,FALSE),0)</f>
        <v>#N/A</v>
      </c>
      <c r="S97" s="22" t="e">
        <f>+IF($F97="oui",+VLOOKUP($A97,DATA!$A:$AG,DATA!$U$3,FALSE),0)</f>
        <v>#N/A</v>
      </c>
      <c r="T97" s="22" t="e">
        <f>+IF($F97="oui",+VLOOKUP($A97,DATA!$A:$AG,DATA!$W$3,FALSE),0)</f>
        <v>#N/A</v>
      </c>
      <c r="U97" s="22" t="e">
        <f>+IF($F97="oui",+VLOOKUP($A97,DATA!$A:$AG,DATA!$Y$3,FALSE),0)</f>
        <v>#N/A</v>
      </c>
      <c r="V97" s="22" t="e">
        <f>+IF($F97="oui",+VLOOKUP($A97,DATA!$A:$AG,DATA!$AA$3,FALSE),0)</f>
        <v>#N/A</v>
      </c>
      <c r="W97" s="22" t="e">
        <f>+IF($F97="oui",+VLOOKUP($A97,DATA!$A:$AG,DATA!$AC$3,FALSE),0)</f>
        <v>#N/A</v>
      </c>
      <c r="X97" s="22" t="e">
        <f>+IF($F97="oui",+VLOOKUP($A97,DATA!$A:$AG,DATA!$AE$3,FALSE),0)</f>
        <v>#N/A</v>
      </c>
      <c r="Y97" s="23" t="e">
        <f>+IF($F97="oui",+VLOOKUP($A97,DATA!$A:$AG,DATA!$AG$3,FALSE),0)</f>
        <v>#N/A</v>
      </c>
      <c r="Z97" s="118" t="e">
        <f t="shared" si="31"/>
        <v>#N/A</v>
      </c>
      <c r="AA97" s="43" t="e">
        <f t="shared" si="32"/>
        <v>#N/A</v>
      </c>
      <c r="AB97" s="44" t="e">
        <f t="shared" si="33"/>
        <v>#N/A</v>
      </c>
      <c r="AC97" s="44" t="e">
        <f t="shared" si="34"/>
        <v>#N/A</v>
      </c>
      <c r="AD97" s="44" t="e">
        <f t="shared" si="35"/>
        <v>#N/A</v>
      </c>
      <c r="AE97" s="44" t="e">
        <f t="shared" si="36"/>
        <v>#N/A</v>
      </c>
      <c r="AF97" s="44" t="e">
        <f t="shared" si="37"/>
        <v>#N/A</v>
      </c>
      <c r="AG97" s="44" t="e">
        <f t="shared" si="38"/>
        <v>#N/A</v>
      </c>
      <c r="AH97" s="44" t="e">
        <f t="shared" si="39"/>
        <v>#N/A</v>
      </c>
      <c r="AI97" s="45" t="e">
        <f t="shared" si="40"/>
        <v>#N/A</v>
      </c>
      <c r="AJ97" s="70" t="e">
        <f>+IF(Q97=0," ",+WORKDAY.INTL(+VLOOKUP(AJ$1,POSTE!$B:$G,3,FALSE),+CUM!AA96/+VLOOKUP(AJ$1,POSTE!$B:$H,7,FALSE),,CONGÉ!$C$2:$C$80))</f>
        <v>#N/A</v>
      </c>
      <c r="AK97" s="50" t="e">
        <f>+IF(R97=0," ",+WORKDAY.INTL(+VLOOKUP(AK$1,POSTE!$B:$G,3,FALSE),+CUM!AB96/+VLOOKUP(AK$1,POSTE!$B:$H,7,FALSE),,CONGÉ!$C$2:$C$80))</f>
        <v>#N/A</v>
      </c>
      <c r="AL97" s="50" t="e">
        <f>+IF(S97=0," ",+WORKDAY.INTL(+VLOOKUP(AL$1,POSTE!$B:$G,3,FALSE),+CUM!AC96/+VLOOKUP(AL$1,POSTE!$B:$H,7,FALSE),,CONGÉ!$C$2:$C$80))</f>
        <v>#N/A</v>
      </c>
      <c r="AM97" s="50" t="e">
        <f>+IF(T97=0," ",+WORKDAY.INTL(+VLOOKUP(AM$1,POSTE!$B:$G,3,FALSE),+CUM!AD96/+VLOOKUP(AM$1,POSTE!$B:$H,7,FALSE),,CONGÉ!$C$2:$C$80))</f>
        <v>#N/A</v>
      </c>
      <c r="AN97" s="50" t="e">
        <f>+IF(U97=0," ",+WORKDAY.INTL(+VLOOKUP(AN$1,POSTE!$B:$G,3,FALSE),+CUM!AE96/+VLOOKUP(AN$1,POSTE!$B:$H,7,FALSE),,CONGÉ!$C$2:$C$80))</f>
        <v>#N/A</v>
      </c>
      <c r="AO97" s="50" t="e">
        <f>+IF(V97=0," ",+WORKDAY.INTL(+VLOOKUP(AO$1,POSTE!$B:$G,3,FALSE),+CUM!AF96/+VLOOKUP(AO$1,POSTE!$B:$H,7,FALSE),,CONGÉ!$C$2:$C$80))</f>
        <v>#N/A</v>
      </c>
      <c r="AP97" s="50" t="e">
        <f>+IF(W97=0," ",+WORKDAY.INTL(+VLOOKUP(AP$1,POSTE!$B:$G,3,FALSE),+CUM!AG96/+VLOOKUP(AP$1,POSTE!$B:$H,7,FALSE),,CONGÉ!$C$2:$C$80))</f>
        <v>#N/A</v>
      </c>
      <c r="AQ97" s="50" t="e">
        <f>+IF(X97=0," ",+WORKDAY.INTL(+VLOOKUP(AQ$1,POSTE!$B:$G,3,FALSE),+CUM!AH96/+VLOOKUP(AQ$1,POSTE!$B:$H,7,FALSE),,CONGÉ!$C$2:$C$80))</f>
        <v>#N/A</v>
      </c>
      <c r="AR97" s="71" t="e">
        <f>+IF(Y97=0," ",+WORKDAY.INTL(+VLOOKUP(AR$1,POSTE!$B:$G,3,FALSE),+CUM!AI96/+VLOOKUP(AR$1,POSTE!$B:$H,7,FALSE),,CONGÉ!$C$2:$C$80))</f>
        <v>#N/A</v>
      </c>
      <c r="AS97" s="72" t="e">
        <f>+IF(Q97=0," ",+WORKDAY.INTL(+VLOOKUP(AS$1,POSTE!$B:$G,3,FALSE),+CUM!AA97/+VLOOKUP(AS$1,POSTE!$B:$H,7,FALSE),,CONGÉ!$C$2:$C$80))</f>
        <v>#N/A</v>
      </c>
      <c r="AT97" s="73" t="e">
        <f>+IF(R97=0," ",+WORKDAY.INTL(+VLOOKUP(AT$1,POSTE!$B:$G,3,FALSE),+CUM!AB97/+VLOOKUP(AT$1,POSTE!$B:$H,7,FALSE),,CONGÉ!$C$2:$C$80))</f>
        <v>#N/A</v>
      </c>
      <c r="AU97" s="73" t="e">
        <f>+IF(AND(S97=0,T97=0)," ",+WORKDAY.INTL(+VLOOKUP($AS$1,POSTE!B:J,3,FALSE),+(((AC97*POSTE!$H$5)+(CUM!AD97*POSTE!$H$4))/(POSTE!$H$4*POSTE!$H$5*2)),,CONGÉ!$C$2:$C$80))</f>
        <v>#N/A</v>
      </c>
      <c r="AV97" s="73" t="e">
        <f>+IF(U97=0," ",+WORKDAY.INTL(+VLOOKUP(AV$1,POSTE!$B:$G,3,FALSE),+CUM!AE97/+VLOOKUP(AV$1,POSTE!$B:$H,7,FALSE),,CONGÉ!$C$2:$C$80))</f>
        <v>#N/A</v>
      </c>
      <c r="AW97" s="73" t="e">
        <f>+IF(V97=0," ",+WORKDAY.INTL(+VLOOKUP(AW$1,POSTE!$B:$G,3,FALSE),+CUM!AF97/+VLOOKUP(AW$1,POSTE!$B:$H,7,FALSE),,CONGÉ!$C$2:$C$80))</f>
        <v>#N/A</v>
      </c>
      <c r="AX97" s="73" t="e">
        <f>+IF(W97=0," ",+WORKDAY.INTL(+VLOOKUP(AX$1,POSTE!$B:$G,3,FALSE),+CUM!AG97/+VLOOKUP(AX$1,POSTE!$B:$H,7,FALSE),,CONGÉ!$C$2:$C$80))</f>
        <v>#N/A</v>
      </c>
      <c r="AY97" s="73" t="e">
        <f>+IF(X97=0," ",+WORKDAY.INTL(+VLOOKUP(AY$1,POSTE!$B:$G,3,FALSE),+CUM!AH97/+VLOOKUP(AY$1,POSTE!$B:$H,7,FALSE),,CONGÉ!$C$2:$C$80))</f>
        <v>#N/A</v>
      </c>
      <c r="AZ97" s="73" t="e">
        <f>+IF(Y97=0," ",+WORKDAY.INTL(+VLOOKUP(AZ$1,POSTE!$B:$G,3,FALSE),+CUM!AI97/+VLOOKUP(AZ$1,POSTE!$B:$H,7,FALSE),,CONGÉ!$C$2:$C$80))</f>
        <v>#N/A</v>
      </c>
      <c r="BA97" s="73" t="e">
        <f>+IF(S97=0," ",+WORKDAY.INTL(+VLOOKUP(BA$1,POSTE!$B:$G,3,FALSE),+CUM!AC97/+VLOOKUP(BA$1,POSTE!$B:$H,7,FALSE),,CONGÉ!$C$2:$C$80))</f>
        <v>#N/A</v>
      </c>
      <c r="BB97" s="73" t="e">
        <f>+IF(T97=0," ",+WORKDAY.INTL(+VLOOKUP(BB$1,POSTE!$B:$G,3,FALSE),+CUM!AD97/+VLOOKUP(BB$1,POSTE!$B:$H,7,FALSE),,CONGÉ!$C$2:$C$80))</f>
        <v>#N/A</v>
      </c>
      <c r="BC97" s="70" t="e">
        <f t="shared" si="44"/>
        <v>#N/A</v>
      </c>
      <c r="BD97" s="70" t="e">
        <f t="shared" si="45"/>
        <v>#N/A</v>
      </c>
      <c r="BE97" s="129" t="e">
        <f>+IF($F97="oui",+VLOOKUP($A97,DATA!$A:$AH,DATA!$AH$3,FALSE),0)</f>
        <v>#N/A</v>
      </c>
      <c r="BF97" s="129" t="e">
        <f t="shared" si="46"/>
        <v>#N/A</v>
      </c>
      <c r="BG97" s="136" t="e">
        <f>+IF(BE97&gt;0,+MAX((BH$4:BH96),BD97),"")</f>
        <v>#N/A</v>
      </c>
      <c r="BH97" s="136" t="e">
        <f>+IF(BE97&gt;0,+MAX((BH$4:BH96),+WORKDAY.INTL(BG97,+BE97/8,,CONGÉ!$C$2:$C$73)),"")</f>
        <v>#N/A</v>
      </c>
      <c r="BI97" s="136" t="e">
        <f t="shared" si="47"/>
        <v>#N/A</v>
      </c>
      <c r="BJ97" s="43" t="e">
        <f t="shared" si="41"/>
        <v>#N/A</v>
      </c>
      <c r="BK97" s="77">
        <f t="shared" ca="1" si="48"/>
        <v>45754</v>
      </c>
      <c r="BL97" s="78" t="e">
        <f>+(((AC97*POSTE!$H$5)+(CUM!AD97*POSTE!$H$4))/(POSTE!$H$4*POSTE!$H$5*2))</f>
        <v>#N/A</v>
      </c>
      <c r="BM97" s="90" t="e">
        <f ca="1">+WORKDAY.INTL(BK97,BL97,,CONGÉ!C$4:C$72)</f>
        <v>#N/A</v>
      </c>
      <c r="BN97" s="78" t="e">
        <f t="shared" ca="1" si="49"/>
        <v>#N/A</v>
      </c>
    </row>
    <row r="98" spans="1:66" x14ac:dyDescent="0.25">
      <c r="A98" s="49">
        <f t="shared" si="42"/>
        <v>94</v>
      </c>
      <c r="B98" s="185" cm="1">
        <f t="array" ref="B98">_xlfn.LET(_xlpm.CORR,IF(DATA!$B$4:$B$104="",IF(DATA!$A$4:$A$104="","--",DATA!$A$4:$A$104),DATA!$B$4:$B$104),_xlpm.Rx,SMALL(_xlpm.CORR,A98),IFERROR(MATCH(_xlpm.Rx,_xlpm.CORR,0),0))</f>
        <v>0</v>
      </c>
      <c r="C98" s="18" t="e">
        <f>+VLOOKUP($A98,DATA!$A:$AG,DATA!$E$3,FALSE)</f>
        <v>#N/A</v>
      </c>
      <c r="D98" s="18" t="e">
        <f>+VLOOKUP($A98,DATA!$A:$AG,DATA!$D$3,FALSE)</f>
        <v>#N/A</v>
      </c>
      <c r="E98" s="186" t="e">
        <f>+VLOOKUP($A98,DATA!$A:$AG,DATA!$G$3,FALSE)</f>
        <v>#N/A</v>
      </c>
      <c r="F98" s="19" t="e">
        <f>+VLOOKUP($A98,DATA!$A:$AG,DATA!$O$3,FALSE)</f>
        <v>#N/A</v>
      </c>
      <c r="G98" s="43" t="e">
        <f>+IF($F98="oui",+VLOOKUP($A98,DATA!$A:$AG,DATA!$P$3,FALSE),0)</f>
        <v>#N/A</v>
      </c>
      <c r="H98" s="44" t="e">
        <f>+IF($F98="oui",+VLOOKUP($A98,DATA!$A:$AG,DATA!$R$3,FALSE),0)</f>
        <v>#N/A</v>
      </c>
      <c r="I98" s="44" t="e">
        <f>+IF($F98="oui",+VLOOKUP($A98,DATA!$A:$AG,DATA!$T$3,FALSE),0)</f>
        <v>#N/A</v>
      </c>
      <c r="J98" s="44" t="e">
        <f>+IF($F98="oui",+VLOOKUP($A98,DATA!$A:$AG,DATA!$V$3,FALSE),0)</f>
        <v>#N/A</v>
      </c>
      <c r="K98" s="44" t="e">
        <f>+IF($F98="oui",+VLOOKUP($A98,DATA!$A:$AG,DATA!$X$3,FALSE),0)</f>
        <v>#N/A</v>
      </c>
      <c r="L98" s="44" t="e">
        <f>+IF($F98="oui",+VLOOKUP($A98,DATA!$A:$AG,DATA!$Z$3,FALSE),0)</f>
        <v>#N/A</v>
      </c>
      <c r="M98" s="44" t="e">
        <f>+IF($F98="oui",+VLOOKUP($A98,DATA!$A:$AG,DATA!$AB$3,FALSE),0)</f>
        <v>#N/A</v>
      </c>
      <c r="N98" s="44" t="e">
        <f>+IF($F98="oui",+VLOOKUP($A98,DATA!$A:$AG,DATA!$AD$3,FALSE),0)</f>
        <v>#N/A</v>
      </c>
      <c r="O98" s="45" t="e">
        <f>+IF($F98="oui",+VLOOKUP($A98,DATA!$A:$AG,DATA!$AF$3,FALSE),0)</f>
        <v>#N/A</v>
      </c>
      <c r="P98" s="116" t="e">
        <f t="shared" si="43"/>
        <v>#N/A</v>
      </c>
      <c r="Q98" s="21" t="e">
        <f>+IF($F98="oui",+VLOOKUP($A98,DATA!$A:$AG,DATA!$Q$3,FALSE),0)</f>
        <v>#N/A</v>
      </c>
      <c r="R98" s="22" t="e">
        <f>+IF($F98="oui",+VLOOKUP($A98,DATA!$A:$AG,DATA!$S$3,FALSE),0)</f>
        <v>#N/A</v>
      </c>
      <c r="S98" s="22" t="e">
        <f>+IF($F98="oui",+VLOOKUP($A98,DATA!$A:$AG,DATA!$U$3,FALSE),0)</f>
        <v>#N/A</v>
      </c>
      <c r="T98" s="22" t="e">
        <f>+IF($F98="oui",+VLOOKUP($A98,DATA!$A:$AG,DATA!$W$3,FALSE),0)</f>
        <v>#N/A</v>
      </c>
      <c r="U98" s="22" t="e">
        <f>+IF($F98="oui",+VLOOKUP($A98,DATA!$A:$AG,DATA!$Y$3,FALSE),0)</f>
        <v>#N/A</v>
      </c>
      <c r="V98" s="22" t="e">
        <f>+IF($F98="oui",+VLOOKUP($A98,DATA!$A:$AG,DATA!$AA$3,FALSE),0)</f>
        <v>#N/A</v>
      </c>
      <c r="W98" s="22" t="e">
        <f>+IF($F98="oui",+VLOOKUP($A98,DATA!$A:$AG,DATA!$AC$3,FALSE),0)</f>
        <v>#N/A</v>
      </c>
      <c r="X98" s="22" t="e">
        <f>+IF($F98="oui",+VLOOKUP($A98,DATA!$A:$AG,DATA!$AE$3,FALSE),0)</f>
        <v>#N/A</v>
      </c>
      <c r="Y98" s="23" t="e">
        <f>+IF($F98="oui",+VLOOKUP($A98,DATA!$A:$AG,DATA!$AG$3,FALSE),0)</f>
        <v>#N/A</v>
      </c>
      <c r="Z98" s="118" t="e">
        <f t="shared" si="31"/>
        <v>#N/A</v>
      </c>
      <c r="AA98" s="43" t="e">
        <f t="shared" si="32"/>
        <v>#N/A</v>
      </c>
      <c r="AB98" s="44" t="e">
        <f t="shared" si="33"/>
        <v>#N/A</v>
      </c>
      <c r="AC98" s="44" t="e">
        <f t="shared" si="34"/>
        <v>#N/A</v>
      </c>
      <c r="AD98" s="44" t="e">
        <f t="shared" si="35"/>
        <v>#N/A</v>
      </c>
      <c r="AE98" s="44" t="e">
        <f t="shared" si="36"/>
        <v>#N/A</v>
      </c>
      <c r="AF98" s="44" t="e">
        <f t="shared" si="37"/>
        <v>#N/A</v>
      </c>
      <c r="AG98" s="44" t="e">
        <f t="shared" si="38"/>
        <v>#N/A</v>
      </c>
      <c r="AH98" s="44" t="e">
        <f t="shared" si="39"/>
        <v>#N/A</v>
      </c>
      <c r="AI98" s="45" t="e">
        <f t="shared" si="40"/>
        <v>#N/A</v>
      </c>
      <c r="AJ98" s="70" t="e">
        <f>+IF(Q98=0," ",+WORKDAY.INTL(+VLOOKUP(AJ$1,POSTE!$B:$G,3,FALSE),+CUM!AA97/+VLOOKUP(AJ$1,POSTE!$B:$H,7,FALSE),,CONGÉ!$C$2:$C$80))</f>
        <v>#N/A</v>
      </c>
      <c r="AK98" s="50" t="e">
        <f>+IF(R98=0," ",+WORKDAY.INTL(+VLOOKUP(AK$1,POSTE!$B:$G,3,FALSE),+CUM!AB97/+VLOOKUP(AK$1,POSTE!$B:$H,7,FALSE),,CONGÉ!$C$2:$C$80))</f>
        <v>#N/A</v>
      </c>
      <c r="AL98" s="50" t="e">
        <f>+IF(S98=0," ",+WORKDAY.INTL(+VLOOKUP(AL$1,POSTE!$B:$G,3,FALSE),+CUM!AC97/+VLOOKUP(AL$1,POSTE!$B:$H,7,FALSE),,CONGÉ!$C$2:$C$80))</f>
        <v>#N/A</v>
      </c>
      <c r="AM98" s="50" t="e">
        <f>+IF(T98=0," ",+WORKDAY.INTL(+VLOOKUP(AM$1,POSTE!$B:$G,3,FALSE),+CUM!AD97/+VLOOKUP(AM$1,POSTE!$B:$H,7,FALSE),,CONGÉ!$C$2:$C$80))</f>
        <v>#N/A</v>
      </c>
      <c r="AN98" s="50" t="e">
        <f>+IF(U98=0," ",+WORKDAY.INTL(+VLOOKUP(AN$1,POSTE!$B:$G,3,FALSE),+CUM!AE97/+VLOOKUP(AN$1,POSTE!$B:$H,7,FALSE),,CONGÉ!$C$2:$C$80))</f>
        <v>#N/A</v>
      </c>
      <c r="AO98" s="50" t="e">
        <f>+IF(V98=0," ",+WORKDAY.INTL(+VLOOKUP(AO$1,POSTE!$B:$G,3,FALSE),+CUM!AF97/+VLOOKUP(AO$1,POSTE!$B:$H,7,FALSE),,CONGÉ!$C$2:$C$80))</f>
        <v>#N/A</v>
      </c>
      <c r="AP98" s="50" t="e">
        <f>+IF(W98=0," ",+WORKDAY.INTL(+VLOOKUP(AP$1,POSTE!$B:$G,3,FALSE),+CUM!AG97/+VLOOKUP(AP$1,POSTE!$B:$H,7,FALSE),,CONGÉ!$C$2:$C$80))</f>
        <v>#N/A</v>
      </c>
      <c r="AQ98" s="50" t="e">
        <f>+IF(X98=0," ",+WORKDAY.INTL(+VLOOKUP(AQ$1,POSTE!$B:$G,3,FALSE),+CUM!AH97/+VLOOKUP(AQ$1,POSTE!$B:$H,7,FALSE),,CONGÉ!$C$2:$C$80))</f>
        <v>#N/A</v>
      </c>
      <c r="AR98" s="71" t="e">
        <f>+IF(Y98=0," ",+WORKDAY.INTL(+VLOOKUP(AR$1,POSTE!$B:$G,3,FALSE),+CUM!AI97/+VLOOKUP(AR$1,POSTE!$B:$H,7,FALSE),,CONGÉ!$C$2:$C$80))</f>
        <v>#N/A</v>
      </c>
      <c r="AS98" s="72" t="e">
        <f>+IF(Q98=0," ",+WORKDAY.INTL(+VLOOKUP(AS$1,POSTE!$B:$G,3,FALSE),+CUM!AA98/+VLOOKUP(AS$1,POSTE!$B:$H,7,FALSE),,CONGÉ!$C$2:$C$80))</f>
        <v>#N/A</v>
      </c>
      <c r="AT98" s="73" t="e">
        <f>+IF(R98=0," ",+WORKDAY.INTL(+VLOOKUP(AT$1,POSTE!$B:$G,3,FALSE),+CUM!AB98/+VLOOKUP(AT$1,POSTE!$B:$H,7,FALSE),,CONGÉ!$C$2:$C$80))</f>
        <v>#N/A</v>
      </c>
      <c r="AU98" s="73" t="e">
        <f>+IF(AND(S98=0,T98=0)," ",+WORKDAY.INTL(+VLOOKUP($AS$1,POSTE!B:J,3,FALSE),+(((AC98*POSTE!$H$5)+(CUM!AD98*POSTE!$H$4))/(POSTE!$H$4*POSTE!$H$5*2)),,CONGÉ!$C$2:$C$80))</f>
        <v>#N/A</v>
      </c>
      <c r="AV98" s="73" t="e">
        <f>+IF(U98=0," ",+WORKDAY.INTL(+VLOOKUP(AV$1,POSTE!$B:$G,3,FALSE),+CUM!AE98/+VLOOKUP(AV$1,POSTE!$B:$H,7,FALSE),,CONGÉ!$C$2:$C$80))</f>
        <v>#N/A</v>
      </c>
      <c r="AW98" s="73" t="e">
        <f>+IF(V98=0," ",+WORKDAY.INTL(+VLOOKUP(AW$1,POSTE!$B:$G,3,FALSE),+CUM!AF98/+VLOOKUP(AW$1,POSTE!$B:$H,7,FALSE),,CONGÉ!$C$2:$C$80))</f>
        <v>#N/A</v>
      </c>
      <c r="AX98" s="73" t="e">
        <f>+IF(W98=0," ",+WORKDAY.INTL(+VLOOKUP(AX$1,POSTE!$B:$G,3,FALSE),+CUM!AG98/+VLOOKUP(AX$1,POSTE!$B:$H,7,FALSE),,CONGÉ!$C$2:$C$80))</f>
        <v>#N/A</v>
      </c>
      <c r="AY98" s="73" t="e">
        <f>+IF(X98=0," ",+WORKDAY.INTL(+VLOOKUP(AY$1,POSTE!$B:$G,3,FALSE),+CUM!AH98/+VLOOKUP(AY$1,POSTE!$B:$H,7,FALSE),,CONGÉ!$C$2:$C$80))</f>
        <v>#N/A</v>
      </c>
      <c r="AZ98" s="73" t="e">
        <f>+IF(Y98=0," ",+WORKDAY.INTL(+VLOOKUP(AZ$1,POSTE!$B:$G,3,FALSE),+CUM!AI98/+VLOOKUP(AZ$1,POSTE!$B:$H,7,FALSE),,CONGÉ!$C$2:$C$80))</f>
        <v>#N/A</v>
      </c>
      <c r="BA98" s="73" t="e">
        <f>+IF(S98=0," ",+WORKDAY.INTL(+VLOOKUP(BA$1,POSTE!$B:$G,3,FALSE),+CUM!AC98/+VLOOKUP(BA$1,POSTE!$B:$H,7,FALSE),,CONGÉ!$C$2:$C$80))</f>
        <v>#N/A</v>
      </c>
      <c r="BB98" s="73" t="e">
        <f>+IF(T98=0," ",+WORKDAY.INTL(+VLOOKUP(BB$1,POSTE!$B:$G,3,FALSE),+CUM!AD98/+VLOOKUP(BB$1,POSTE!$B:$H,7,FALSE),,CONGÉ!$C$2:$C$80))</f>
        <v>#N/A</v>
      </c>
      <c r="BC98" s="70" t="e">
        <f t="shared" si="44"/>
        <v>#N/A</v>
      </c>
      <c r="BD98" s="70" t="e">
        <f t="shared" si="45"/>
        <v>#N/A</v>
      </c>
      <c r="BE98" s="129" t="e">
        <f>+IF($F98="oui",+VLOOKUP($A98,DATA!$A:$AH,DATA!$AH$3,FALSE),0)</f>
        <v>#N/A</v>
      </c>
      <c r="BF98" s="129" t="e">
        <f t="shared" si="46"/>
        <v>#N/A</v>
      </c>
      <c r="BG98" s="136" t="e">
        <f>+IF(BE98&gt;0,+MAX((BH$4:BH97),BD98),"")</f>
        <v>#N/A</v>
      </c>
      <c r="BH98" s="136" t="e">
        <f>+IF(BE98&gt;0,+MAX((BH$4:BH97),+WORKDAY.INTL(BG98,+BE98/8,,CONGÉ!$C$2:$C$73)),"")</f>
        <v>#N/A</v>
      </c>
      <c r="BI98" s="136" t="e">
        <f t="shared" si="47"/>
        <v>#N/A</v>
      </c>
      <c r="BJ98" s="43" t="e">
        <f t="shared" si="41"/>
        <v>#N/A</v>
      </c>
      <c r="BK98" s="77">
        <f t="shared" ca="1" si="48"/>
        <v>45754</v>
      </c>
      <c r="BL98" s="78" t="e">
        <f>+(((AC98*POSTE!$H$5)+(CUM!AD98*POSTE!$H$4))/(POSTE!$H$4*POSTE!$H$5*2))</f>
        <v>#N/A</v>
      </c>
      <c r="BM98" s="90" t="e">
        <f ca="1">+WORKDAY.INTL(BK98,BL98,,CONGÉ!C$4:C$72)</f>
        <v>#N/A</v>
      </c>
      <c r="BN98" s="78" t="e">
        <f t="shared" ca="1" si="49"/>
        <v>#N/A</v>
      </c>
    </row>
    <row r="99" spans="1:66" x14ac:dyDescent="0.25">
      <c r="A99" s="49">
        <f t="shared" si="42"/>
        <v>95</v>
      </c>
      <c r="B99" s="185" cm="1">
        <f t="array" ref="B99">_xlfn.LET(_xlpm.CORR,IF(DATA!$B$4:$B$104="",IF(DATA!$A$4:$A$104="","--",DATA!$A$4:$A$104),DATA!$B$4:$B$104),_xlpm.Rx,SMALL(_xlpm.CORR,A99),IFERROR(MATCH(_xlpm.Rx,_xlpm.CORR,0),0))</f>
        <v>0</v>
      </c>
      <c r="C99" s="18" t="e">
        <f>+VLOOKUP($A99,DATA!$A:$AG,DATA!$E$3,FALSE)</f>
        <v>#N/A</v>
      </c>
      <c r="D99" s="18" t="e">
        <f>+VLOOKUP($A99,DATA!$A:$AG,DATA!$D$3,FALSE)</f>
        <v>#N/A</v>
      </c>
      <c r="E99" s="186" t="e">
        <f>+VLOOKUP($A99,DATA!$A:$AG,DATA!$G$3,FALSE)</f>
        <v>#N/A</v>
      </c>
      <c r="F99" s="19" t="e">
        <f>+VLOOKUP($A99,DATA!$A:$AG,DATA!$O$3,FALSE)</f>
        <v>#N/A</v>
      </c>
      <c r="G99" s="43" t="e">
        <f>+IF($F99="oui",+VLOOKUP($A99,DATA!$A:$AG,DATA!$P$3,FALSE),0)</f>
        <v>#N/A</v>
      </c>
      <c r="H99" s="44" t="e">
        <f>+IF($F99="oui",+VLOOKUP($A99,DATA!$A:$AG,DATA!$R$3,FALSE),0)</f>
        <v>#N/A</v>
      </c>
      <c r="I99" s="44" t="e">
        <f>+IF($F99="oui",+VLOOKUP($A99,DATA!$A:$AG,DATA!$T$3,FALSE),0)</f>
        <v>#N/A</v>
      </c>
      <c r="J99" s="44" t="e">
        <f>+IF($F99="oui",+VLOOKUP($A99,DATA!$A:$AG,DATA!$V$3,FALSE),0)</f>
        <v>#N/A</v>
      </c>
      <c r="K99" s="44" t="e">
        <f>+IF($F99="oui",+VLOOKUP($A99,DATA!$A:$AG,DATA!$X$3,FALSE),0)</f>
        <v>#N/A</v>
      </c>
      <c r="L99" s="44" t="e">
        <f>+IF($F99="oui",+VLOOKUP($A99,DATA!$A:$AG,DATA!$Z$3,FALSE),0)</f>
        <v>#N/A</v>
      </c>
      <c r="M99" s="44" t="e">
        <f>+IF($F99="oui",+VLOOKUP($A99,DATA!$A:$AG,DATA!$AB$3,FALSE),0)</f>
        <v>#N/A</v>
      </c>
      <c r="N99" s="44" t="e">
        <f>+IF($F99="oui",+VLOOKUP($A99,DATA!$A:$AG,DATA!$AD$3,FALSE),0)</f>
        <v>#N/A</v>
      </c>
      <c r="O99" s="45" t="e">
        <f>+IF($F99="oui",+VLOOKUP($A99,DATA!$A:$AG,DATA!$AF$3,FALSE),0)</f>
        <v>#N/A</v>
      </c>
      <c r="P99" s="116" t="e">
        <f t="shared" si="43"/>
        <v>#N/A</v>
      </c>
      <c r="Q99" s="21" t="e">
        <f>+IF($F99="oui",+VLOOKUP($A99,DATA!$A:$AG,DATA!$Q$3,FALSE),0)</f>
        <v>#N/A</v>
      </c>
      <c r="R99" s="22" t="e">
        <f>+IF($F99="oui",+VLOOKUP($A99,DATA!$A:$AG,DATA!$S$3,FALSE),0)</f>
        <v>#N/A</v>
      </c>
      <c r="S99" s="22" t="e">
        <f>+IF($F99="oui",+VLOOKUP($A99,DATA!$A:$AG,DATA!$U$3,FALSE),0)</f>
        <v>#N/A</v>
      </c>
      <c r="T99" s="22" t="e">
        <f>+IF($F99="oui",+VLOOKUP($A99,DATA!$A:$AG,DATA!$W$3,FALSE),0)</f>
        <v>#N/A</v>
      </c>
      <c r="U99" s="22" t="e">
        <f>+IF($F99="oui",+VLOOKUP($A99,DATA!$A:$AG,DATA!$Y$3,FALSE),0)</f>
        <v>#N/A</v>
      </c>
      <c r="V99" s="22" t="e">
        <f>+IF($F99="oui",+VLOOKUP($A99,DATA!$A:$AG,DATA!$AA$3,FALSE),0)</f>
        <v>#N/A</v>
      </c>
      <c r="W99" s="22" t="e">
        <f>+IF($F99="oui",+VLOOKUP($A99,DATA!$A:$AG,DATA!$AC$3,FALSE),0)</f>
        <v>#N/A</v>
      </c>
      <c r="X99" s="22" t="e">
        <f>+IF($F99="oui",+VLOOKUP($A99,DATA!$A:$AG,DATA!$AE$3,FALSE),0)</f>
        <v>#N/A</v>
      </c>
      <c r="Y99" s="23" t="e">
        <f>+IF($F99="oui",+VLOOKUP($A99,DATA!$A:$AG,DATA!$AG$3,FALSE),0)</f>
        <v>#N/A</v>
      </c>
      <c r="Z99" s="118" t="e">
        <f t="shared" si="31"/>
        <v>#N/A</v>
      </c>
      <c r="AA99" s="43" t="e">
        <f t="shared" si="32"/>
        <v>#N/A</v>
      </c>
      <c r="AB99" s="44" t="e">
        <f t="shared" si="33"/>
        <v>#N/A</v>
      </c>
      <c r="AC99" s="44" t="e">
        <f t="shared" si="34"/>
        <v>#N/A</v>
      </c>
      <c r="AD99" s="44" t="e">
        <f t="shared" si="35"/>
        <v>#N/A</v>
      </c>
      <c r="AE99" s="44" t="e">
        <f t="shared" si="36"/>
        <v>#N/A</v>
      </c>
      <c r="AF99" s="44" t="e">
        <f t="shared" si="37"/>
        <v>#N/A</v>
      </c>
      <c r="AG99" s="44" t="e">
        <f t="shared" si="38"/>
        <v>#N/A</v>
      </c>
      <c r="AH99" s="44" t="e">
        <f t="shared" si="39"/>
        <v>#N/A</v>
      </c>
      <c r="AI99" s="45" t="e">
        <f t="shared" si="40"/>
        <v>#N/A</v>
      </c>
      <c r="AJ99" s="70" t="e">
        <f>+IF(Q99=0," ",+WORKDAY.INTL(+VLOOKUP(AJ$1,POSTE!$B:$G,3,FALSE),+CUM!AA98/+VLOOKUP(AJ$1,POSTE!$B:$H,7,FALSE),,CONGÉ!$C$2:$C$80))</f>
        <v>#N/A</v>
      </c>
      <c r="AK99" s="50" t="e">
        <f>+IF(R99=0," ",+WORKDAY.INTL(+VLOOKUP(AK$1,POSTE!$B:$G,3,FALSE),+CUM!AB98/+VLOOKUP(AK$1,POSTE!$B:$H,7,FALSE),,CONGÉ!$C$2:$C$80))</f>
        <v>#N/A</v>
      </c>
      <c r="AL99" s="50" t="e">
        <f>+IF(S99=0," ",+WORKDAY.INTL(+VLOOKUP(AL$1,POSTE!$B:$G,3,FALSE),+CUM!AC98/+VLOOKUP(AL$1,POSTE!$B:$H,7,FALSE),,CONGÉ!$C$2:$C$80))</f>
        <v>#N/A</v>
      </c>
      <c r="AM99" s="50" t="e">
        <f>+IF(T99=0," ",+WORKDAY.INTL(+VLOOKUP(AM$1,POSTE!$B:$G,3,FALSE),+CUM!AD98/+VLOOKUP(AM$1,POSTE!$B:$H,7,FALSE),,CONGÉ!$C$2:$C$80))</f>
        <v>#N/A</v>
      </c>
      <c r="AN99" s="50" t="e">
        <f>+IF(U99=0," ",+WORKDAY.INTL(+VLOOKUP(AN$1,POSTE!$B:$G,3,FALSE),+CUM!AE98/+VLOOKUP(AN$1,POSTE!$B:$H,7,FALSE),,CONGÉ!$C$2:$C$80))</f>
        <v>#N/A</v>
      </c>
      <c r="AO99" s="50" t="e">
        <f>+IF(V99=0," ",+WORKDAY.INTL(+VLOOKUP(AO$1,POSTE!$B:$G,3,FALSE),+CUM!AF98/+VLOOKUP(AO$1,POSTE!$B:$H,7,FALSE),,CONGÉ!$C$2:$C$80))</f>
        <v>#N/A</v>
      </c>
      <c r="AP99" s="50" t="e">
        <f>+IF(W99=0," ",+WORKDAY.INTL(+VLOOKUP(AP$1,POSTE!$B:$G,3,FALSE),+CUM!AG98/+VLOOKUP(AP$1,POSTE!$B:$H,7,FALSE),,CONGÉ!$C$2:$C$80))</f>
        <v>#N/A</v>
      </c>
      <c r="AQ99" s="50" t="e">
        <f>+IF(X99=0," ",+WORKDAY.INTL(+VLOOKUP(AQ$1,POSTE!$B:$G,3,FALSE),+CUM!AH98/+VLOOKUP(AQ$1,POSTE!$B:$H,7,FALSE),,CONGÉ!$C$2:$C$80))</f>
        <v>#N/A</v>
      </c>
      <c r="AR99" s="71" t="e">
        <f>+IF(Y99=0," ",+WORKDAY.INTL(+VLOOKUP(AR$1,POSTE!$B:$G,3,FALSE),+CUM!AI98/+VLOOKUP(AR$1,POSTE!$B:$H,7,FALSE),,CONGÉ!$C$2:$C$80))</f>
        <v>#N/A</v>
      </c>
      <c r="AS99" s="72" t="e">
        <f>+IF(Q99=0," ",+WORKDAY.INTL(+VLOOKUP(AS$1,POSTE!$B:$G,3,FALSE),+CUM!AA99/+VLOOKUP(AS$1,POSTE!$B:$H,7,FALSE),,CONGÉ!$C$2:$C$80))</f>
        <v>#N/A</v>
      </c>
      <c r="AT99" s="73" t="e">
        <f>+IF(R99=0," ",+WORKDAY.INTL(+VLOOKUP(AT$1,POSTE!$B:$G,3,FALSE),+CUM!AB99/+VLOOKUP(AT$1,POSTE!$B:$H,7,FALSE),,CONGÉ!$C$2:$C$80))</f>
        <v>#N/A</v>
      </c>
      <c r="AU99" s="73" t="e">
        <f>+IF(AND(S99=0,T99=0)," ",+WORKDAY.INTL(+VLOOKUP($AS$1,POSTE!B:J,3,FALSE),+(((AC99*POSTE!$H$5)+(CUM!AD99*POSTE!$H$4))/(POSTE!$H$4*POSTE!$H$5*2)),,CONGÉ!$C$2:$C$80))</f>
        <v>#N/A</v>
      </c>
      <c r="AV99" s="73" t="e">
        <f>+IF(U99=0," ",+WORKDAY.INTL(+VLOOKUP(AV$1,POSTE!$B:$G,3,FALSE),+CUM!AE99/+VLOOKUP(AV$1,POSTE!$B:$H,7,FALSE),,CONGÉ!$C$2:$C$80))</f>
        <v>#N/A</v>
      </c>
      <c r="AW99" s="73" t="e">
        <f>+IF(V99=0," ",+WORKDAY.INTL(+VLOOKUP(AW$1,POSTE!$B:$G,3,FALSE),+CUM!AF99/+VLOOKUP(AW$1,POSTE!$B:$H,7,FALSE),,CONGÉ!$C$2:$C$80))</f>
        <v>#N/A</v>
      </c>
      <c r="AX99" s="73" t="e">
        <f>+IF(W99=0," ",+WORKDAY.INTL(+VLOOKUP(AX$1,POSTE!$B:$G,3,FALSE),+CUM!AG99/+VLOOKUP(AX$1,POSTE!$B:$H,7,FALSE),,CONGÉ!$C$2:$C$80))</f>
        <v>#N/A</v>
      </c>
      <c r="AY99" s="73" t="e">
        <f>+IF(X99=0," ",+WORKDAY.INTL(+VLOOKUP(AY$1,POSTE!$B:$G,3,FALSE),+CUM!AH99/+VLOOKUP(AY$1,POSTE!$B:$H,7,FALSE),,CONGÉ!$C$2:$C$80))</f>
        <v>#N/A</v>
      </c>
      <c r="AZ99" s="73" t="e">
        <f>+IF(Y99=0," ",+WORKDAY.INTL(+VLOOKUP(AZ$1,POSTE!$B:$G,3,FALSE),+CUM!AI99/+VLOOKUP(AZ$1,POSTE!$B:$H,7,FALSE),,CONGÉ!$C$2:$C$80))</f>
        <v>#N/A</v>
      </c>
      <c r="BA99" s="73" t="e">
        <f>+IF(S99=0," ",+WORKDAY.INTL(+VLOOKUP(BA$1,POSTE!$B:$G,3,FALSE),+CUM!AC99/+VLOOKUP(BA$1,POSTE!$B:$H,7,FALSE),,CONGÉ!$C$2:$C$80))</f>
        <v>#N/A</v>
      </c>
      <c r="BB99" s="73" t="e">
        <f>+IF(T99=0," ",+WORKDAY.INTL(+VLOOKUP(BB$1,POSTE!$B:$G,3,FALSE),+CUM!AD99/+VLOOKUP(BB$1,POSTE!$B:$H,7,FALSE),,CONGÉ!$C$2:$C$80))</f>
        <v>#N/A</v>
      </c>
      <c r="BC99" s="70" t="e">
        <f t="shared" si="44"/>
        <v>#N/A</v>
      </c>
      <c r="BD99" s="70" t="e">
        <f t="shared" si="45"/>
        <v>#N/A</v>
      </c>
      <c r="BE99" s="129" t="e">
        <f>+IF($F99="oui",+VLOOKUP($A99,DATA!$A:$AH,DATA!$AH$3,FALSE),0)</f>
        <v>#N/A</v>
      </c>
      <c r="BF99" s="129" t="e">
        <f t="shared" si="46"/>
        <v>#N/A</v>
      </c>
      <c r="BG99" s="136" t="e">
        <f>+IF(BE99&gt;0,+MAX((BH$4:BH98),BD99),"")</f>
        <v>#N/A</v>
      </c>
      <c r="BH99" s="136" t="e">
        <f>+IF(BE99&gt;0,+MAX((BH$4:BH98),+WORKDAY.INTL(BG99,+BE99/8,,CONGÉ!$C$2:$C$73)),"")</f>
        <v>#N/A</v>
      </c>
      <c r="BI99" s="136" t="e">
        <f t="shared" si="47"/>
        <v>#N/A</v>
      </c>
      <c r="BJ99" s="43" t="e">
        <f t="shared" si="41"/>
        <v>#N/A</v>
      </c>
      <c r="BK99" s="77">
        <f t="shared" ca="1" si="48"/>
        <v>45754</v>
      </c>
      <c r="BL99" s="78" t="e">
        <f>+(((AC99*POSTE!$H$5)+(CUM!AD99*POSTE!$H$4))/(POSTE!$H$4*POSTE!$H$5*2))</f>
        <v>#N/A</v>
      </c>
      <c r="BM99" s="90" t="e">
        <f ca="1">+WORKDAY.INTL(BK99,BL99,,CONGÉ!C$4:C$72)</f>
        <v>#N/A</v>
      </c>
      <c r="BN99" s="78" t="e">
        <f t="shared" ca="1" si="49"/>
        <v>#N/A</v>
      </c>
    </row>
    <row r="100" spans="1:66" x14ac:dyDescent="0.25">
      <c r="A100" s="49">
        <f t="shared" si="42"/>
        <v>96</v>
      </c>
      <c r="B100" s="185" cm="1">
        <f t="array" ref="B100">_xlfn.LET(_xlpm.CORR,IF(DATA!$B$4:$B$104="",IF(DATA!$A$4:$A$104="","--",DATA!$A$4:$A$104),DATA!$B$4:$B$104),_xlpm.Rx,SMALL(_xlpm.CORR,A100),IFERROR(MATCH(_xlpm.Rx,_xlpm.CORR,0),0))</f>
        <v>0</v>
      </c>
      <c r="C100" s="18" t="e">
        <f>+VLOOKUP($A100,DATA!$A:$AG,DATA!$E$3,FALSE)</f>
        <v>#N/A</v>
      </c>
      <c r="D100" s="18" t="e">
        <f>+VLOOKUP($A100,DATA!$A:$AG,DATA!$D$3,FALSE)</f>
        <v>#N/A</v>
      </c>
      <c r="E100" s="186" t="e">
        <f>+VLOOKUP($A100,DATA!$A:$AG,DATA!$G$3,FALSE)</f>
        <v>#N/A</v>
      </c>
      <c r="F100" s="19" t="e">
        <f>+VLOOKUP($A100,DATA!$A:$AG,DATA!$O$3,FALSE)</f>
        <v>#N/A</v>
      </c>
      <c r="G100" s="43" t="e">
        <f>+IF($F100="oui",+VLOOKUP($A100,DATA!$A:$AG,DATA!$P$3,FALSE),0)</f>
        <v>#N/A</v>
      </c>
      <c r="H100" s="44" t="e">
        <f>+IF($F100="oui",+VLOOKUP($A100,DATA!$A:$AG,DATA!$R$3,FALSE),0)</f>
        <v>#N/A</v>
      </c>
      <c r="I100" s="44" t="e">
        <f>+IF($F100="oui",+VLOOKUP($A100,DATA!$A:$AG,DATA!$T$3,FALSE),0)</f>
        <v>#N/A</v>
      </c>
      <c r="J100" s="44" t="e">
        <f>+IF($F100="oui",+VLOOKUP($A100,DATA!$A:$AG,DATA!$V$3,FALSE),0)</f>
        <v>#N/A</v>
      </c>
      <c r="K100" s="44" t="e">
        <f>+IF($F100="oui",+VLOOKUP($A100,DATA!$A:$AG,DATA!$X$3,FALSE),0)</f>
        <v>#N/A</v>
      </c>
      <c r="L100" s="44" t="e">
        <f>+IF($F100="oui",+VLOOKUP($A100,DATA!$A:$AG,DATA!$Z$3,FALSE),0)</f>
        <v>#N/A</v>
      </c>
      <c r="M100" s="44" t="e">
        <f>+IF($F100="oui",+VLOOKUP($A100,DATA!$A:$AG,DATA!$AB$3,FALSE),0)</f>
        <v>#N/A</v>
      </c>
      <c r="N100" s="44" t="e">
        <f>+IF($F100="oui",+VLOOKUP($A100,DATA!$A:$AG,DATA!$AD$3,FALSE),0)</f>
        <v>#N/A</v>
      </c>
      <c r="O100" s="45" t="e">
        <f>+IF($F100="oui",+VLOOKUP($A100,DATA!$A:$AG,DATA!$AF$3,FALSE),0)</f>
        <v>#N/A</v>
      </c>
      <c r="P100" s="116" t="e">
        <f t="shared" si="43"/>
        <v>#N/A</v>
      </c>
      <c r="Q100" s="21" t="e">
        <f>+IF($F100="oui",+VLOOKUP($A100,DATA!$A:$AG,DATA!$Q$3,FALSE),0)</f>
        <v>#N/A</v>
      </c>
      <c r="R100" s="22" t="e">
        <f>+IF($F100="oui",+VLOOKUP($A100,DATA!$A:$AG,DATA!$S$3,FALSE),0)</f>
        <v>#N/A</v>
      </c>
      <c r="S100" s="22" t="e">
        <f>+IF($F100="oui",+VLOOKUP($A100,DATA!$A:$AG,DATA!$U$3,FALSE),0)</f>
        <v>#N/A</v>
      </c>
      <c r="T100" s="22" t="e">
        <f>+IF($F100="oui",+VLOOKUP($A100,DATA!$A:$AG,DATA!$W$3,FALSE),0)</f>
        <v>#N/A</v>
      </c>
      <c r="U100" s="22" t="e">
        <f>+IF($F100="oui",+VLOOKUP($A100,DATA!$A:$AG,DATA!$Y$3,FALSE),0)</f>
        <v>#N/A</v>
      </c>
      <c r="V100" s="22" t="e">
        <f>+IF($F100="oui",+VLOOKUP($A100,DATA!$A:$AG,DATA!$AA$3,FALSE),0)</f>
        <v>#N/A</v>
      </c>
      <c r="W100" s="22" t="e">
        <f>+IF($F100="oui",+VLOOKUP($A100,DATA!$A:$AG,DATA!$AC$3,FALSE),0)</f>
        <v>#N/A</v>
      </c>
      <c r="X100" s="22" t="e">
        <f>+IF($F100="oui",+VLOOKUP($A100,DATA!$A:$AG,DATA!$AE$3,FALSE),0)</f>
        <v>#N/A</v>
      </c>
      <c r="Y100" s="23" t="e">
        <f>+IF($F100="oui",+VLOOKUP($A100,DATA!$A:$AG,DATA!$AG$3,FALSE),0)</f>
        <v>#N/A</v>
      </c>
      <c r="Z100" s="118" t="e">
        <f t="shared" si="31"/>
        <v>#N/A</v>
      </c>
      <c r="AA100" s="43" t="e">
        <f t="shared" si="32"/>
        <v>#N/A</v>
      </c>
      <c r="AB100" s="44" t="e">
        <f t="shared" si="33"/>
        <v>#N/A</v>
      </c>
      <c r="AC100" s="44" t="e">
        <f t="shared" si="34"/>
        <v>#N/A</v>
      </c>
      <c r="AD100" s="44" t="e">
        <f t="shared" si="35"/>
        <v>#N/A</v>
      </c>
      <c r="AE100" s="44" t="e">
        <f t="shared" si="36"/>
        <v>#N/A</v>
      </c>
      <c r="AF100" s="44" t="e">
        <f t="shared" si="37"/>
        <v>#N/A</v>
      </c>
      <c r="AG100" s="44" t="e">
        <f t="shared" si="38"/>
        <v>#N/A</v>
      </c>
      <c r="AH100" s="44" t="e">
        <f t="shared" si="39"/>
        <v>#N/A</v>
      </c>
      <c r="AI100" s="45" t="e">
        <f t="shared" si="40"/>
        <v>#N/A</v>
      </c>
      <c r="AJ100" s="70" t="e">
        <f>+IF(Q100=0," ",+WORKDAY.INTL(+VLOOKUP(AJ$1,POSTE!$B:$G,3,FALSE),+CUM!AA99/+VLOOKUP(AJ$1,POSTE!$B:$H,7,FALSE),,CONGÉ!$C$2:$C$80))</f>
        <v>#N/A</v>
      </c>
      <c r="AK100" s="50" t="e">
        <f>+IF(R100=0," ",+WORKDAY.INTL(+VLOOKUP(AK$1,POSTE!$B:$G,3,FALSE),+CUM!AB99/+VLOOKUP(AK$1,POSTE!$B:$H,7,FALSE),,CONGÉ!$C$2:$C$80))</f>
        <v>#N/A</v>
      </c>
      <c r="AL100" s="50" t="e">
        <f>+IF(S100=0," ",+WORKDAY.INTL(+VLOOKUP(AL$1,POSTE!$B:$G,3,FALSE),+CUM!AC99/+VLOOKUP(AL$1,POSTE!$B:$H,7,FALSE),,CONGÉ!$C$2:$C$80))</f>
        <v>#N/A</v>
      </c>
      <c r="AM100" s="50" t="e">
        <f>+IF(T100=0," ",+WORKDAY.INTL(+VLOOKUP(AM$1,POSTE!$B:$G,3,FALSE),+CUM!AD99/+VLOOKUP(AM$1,POSTE!$B:$H,7,FALSE),,CONGÉ!$C$2:$C$80))</f>
        <v>#N/A</v>
      </c>
      <c r="AN100" s="50" t="e">
        <f>+IF(U100=0," ",+WORKDAY.INTL(+VLOOKUP(AN$1,POSTE!$B:$G,3,FALSE),+CUM!AE99/+VLOOKUP(AN$1,POSTE!$B:$H,7,FALSE),,CONGÉ!$C$2:$C$80))</f>
        <v>#N/A</v>
      </c>
      <c r="AO100" s="50" t="e">
        <f>+IF(V100=0," ",+WORKDAY.INTL(+VLOOKUP(AO$1,POSTE!$B:$G,3,FALSE),+CUM!AF99/+VLOOKUP(AO$1,POSTE!$B:$H,7,FALSE),,CONGÉ!$C$2:$C$80))</f>
        <v>#N/A</v>
      </c>
      <c r="AP100" s="50" t="e">
        <f>+IF(W100=0," ",+WORKDAY.INTL(+VLOOKUP(AP$1,POSTE!$B:$G,3,FALSE),+CUM!AG99/+VLOOKUP(AP$1,POSTE!$B:$H,7,FALSE),,CONGÉ!$C$2:$C$80))</f>
        <v>#N/A</v>
      </c>
      <c r="AQ100" s="50" t="e">
        <f>+IF(X100=0," ",+WORKDAY.INTL(+VLOOKUP(AQ$1,POSTE!$B:$G,3,FALSE),+CUM!AH99/+VLOOKUP(AQ$1,POSTE!$B:$H,7,FALSE),,CONGÉ!$C$2:$C$80))</f>
        <v>#N/A</v>
      </c>
      <c r="AR100" s="71" t="e">
        <f>+IF(Y100=0," ",+WORKDAY.INTL(+VLOOKUP(AR$1,POSTE!$B:$G,3,FALSE),+CUM!AI99/+VLOOKUP(AR$1,POSTE!$B:$H,7,FALSE),,CONGÉ!$C$2:$C$80))</f>
        <v>#N/A</v>
      </c>
      <c r="AS100" s="72" t="e">
        <f>+IF(Q100=0," ",+WORKDAY.INTL(+VLOOKUP(AS$1,POSTE!$B:$G,3,FALSE),+CUM!AA100/+VLOOKUP(AS$1,POSTE!$B:$H,7,FALSE),,CONGÉ!$C$2:$C$80))</f>
        <v>#N/A</v>
      </c>
      <c r="AT100" s="73" t="e">
        <f>+IF(R100=0," ",+WORKDAY.INTL(+VLOOKUP(AT$1,POSTE!$B:$G,3,FALSE),+CUM!AB100/+VLOOKUP(AT$1,POSTE!$B:$H,7,FALSE),,CONGÉ!$C$2:$C$80))</f>
        <v>#N/A</v>
      </c>
      <c r="AU100" s="73" t="e">
        <f>+IF(AND(S100=0,T100=0)," ",+WORKDAY.INTL(+VLOOKUP($AS$1,POSTE!B:J,3,FALSE),+(((AC100*POSTE!$H$5)+(CUM!AD100*POSTE!$H$4))/(POSTE!$H$4*POSTE!$H$5*2)),,CONGÉ!$C$2:$C$80))</f>
        <v>#N/A</v>
      </c>
      <c r="AV100" s="73" t="e">
        <f>+IF(U100=0," ",+WORKDAY.INTL(+VLOOKUP(AV$1,POSTE!$B:$G,3,FALSE),+CUM!AE100/+VLOOKUP(AV$1,POSTE!$B:$H,7,FALSE),,CONGÉ!$C$2:$C$80))</f>
        <v>#N/A</v>
      </c>
      <c r="AW100" s="73" t="e">
        <f>+IF(V100=0," ",+WORKDAY.INTL(+VLOOKUP(AW$1,POSTE!$B:$G,3,FALSE),+CUM!AF100/+VLOOKUP(AW$1,POSTE!$B:$H,7,FALSE),,CONGÉ!$C$2:$C$80))</f>
        <v>#N/A</v>
      </c>
      <c r="AX100" s="73" t="e">
        <f>+IF(W100=0," ",+WORKDAY.INTL(+VLOOKUP(AX$1,POSTE!$B:$G,3,FALSE),+CUM!AG100/+VLOOKUP(AX$1,POSTE!$B:$H,7,FALSE),,CONGÉ!$C$2:$C$80))</f>
        <v>#N/A</v>
      </c>
      <c r="AY100" s="73" t="e">
        <f>+IF(X100=0," ",+WORKDAY.INTL(+VLOOKUP(AY$1,POSTE!$B:$G,3,FALSE),+CUM!AH100/+VLOOKUP(AY$1,POSTE!$B:$H,7,FALSE),,CONGÉ!$C$2:$C$80))</f>
        <v>#N/A</v>
      </c>
      <c r="AZ100" s="73" t="e">
        <f>+IF(Y100=0," ",+WORKDAY.INTL(+VLOOKUP(AZ$1,POSTE!$B:$G,3,FALSE),+CUM!AI100/+VLOOKUP(AZ$1,POSTE!$B:$H,7,FALSE),,CONGÉ!$C$2:$C$80))</f>
        <v>#N/A</v>
      </c>
      <c r="BA100" s="73" t="e">
        <f>+IF(S100=0," ",+WORKDAY.INTL(+VLOOKUP(BA$1,POSTE!$B:$G,3,FALSE),+CUM!AC100/+VLOOKUP(BA$1,POSTE!$B:$H,7,FALSE),,CONGÉ!$C$2:$C$80))</f>
        <v>#N/A</v>
      </c>
      <c r="BB100" s="73" t="e">
        <f>+IF(T100=0," ",+WORKDAY.INTL(+VLOOKUP(BB$1,POSTE!$B:$G,3,FALSE),+CUM!AD100/+VLOOKUP(BB$1,POSTE!$B:$H,7,FALSE),,CONGÉ!$C$2:$C$80))</f>
        <v>#N/A</v>
      </c>
      <c r="BC100" s="70" t="e">
        <f t="shared" si="44"/>
        <v>#N/A</v>
      </c>
      <c r="BD100" s="70" t="e">
        <f t="shared" si="45"/>
        <v>#N/A</v>
      </c>
      <c r="BE100" s="129" t="e">
        <f>+IF($F100="oui",+VLOOKUP($A100,DATA!$A:$AH,DATA!$AH$3,FALSE),0)</f>
        <v>#N/A</v>
      </c>
      <c r="BF100" s="129" t="e">
        <f t="shared" si="46"/>
        <v>#N/A</v>
      </c>
      <c r="BG100" s="136" t="e">
        <f>+IF(BE100&gt;0,+MAX((BH$4:BH99),BD100),"")</f>
        <v>#N/A</v>
      </c>
      <c r="BH100" s="136" t="e">
        <f>+IF(BE100&gt;0,+MAX((BH$4:BH99),+WORKDAY.INTL(BG100,+BE100/8,,CONGÉ!$C$2:$C$73)),"")</f>
        <v>#N/A</v>
      </c>
      <c r="BI100" s="136" t="e">
        <f t="shared" si="47"/>
        <v>#N/A</v>
      </c>
      <c r="BJ100" s="43" t="e">
        <f t="shared" si="41"/>
        <v>#N/A</v>
      </c>
      <c r="BK100" s="77">
        <f t="shared" ca="1" si="48"/>
        <v>45754</v>
      </c>
      <c r="BL100" s="78" t="e">
        <f>+(((AC100*POSTE!$H$5)+(CUM!AD100*POSTE!$H$4))/(POSTE!$H$4*POSTE!$H$5*2))</f>
        <v>#N/A</v>
      </c>
      <c r="BM100" s="90" t="e">
        <f ca="1">+WORKDAY.INTL(BK100,BL100,,CONGÉ!C$4:C$72)</f>
        <v>#N/A</v>
      </c>
      <c r="BN100" s="78" t="e">
        <f t="shared" ca="1" si="49"/>
        <v>#N/A</v>
      </c>
    </row>
    <row r="101" spans="1:66" x14ac:dyDescent="0.25">
      <c r="A101" s="49">
        <f t="shared" si="42"/>
        <v>97</v>
      </c>
      <c r="B101" s="185" cm="1">
        <f t="array" ref="B101">_xlfn.LET(_xlpm.CORR,IF(DATA!$B$4:$B$104="",IF(DATA!$A$4:$A$104="","--",DATA!$A$4:$A$104),DATA!$B$4:$B$104),_xlpm.Rx,SMALL(_xlpm.CORR,A101),IFERROR(MATCH(_xlpm.Rx,_xlpm.CORR,0),0))</f>
        <v>0</v>
      </c>
      <c r="C101" s="18" t="e">
        <f>+VLOOKUP($A101,DATA!$A:$AG,DATA!$E$3,FALSE)</f>
        <v>#N/A</v>
      </c>
      <c r="D101" s="18" t="e">
        <f>+VLOOKUP($A101,DATA!$A:$AG,DATA!$D$3,FALSE)</f>
        <v>#N/A</v>
      </c>
      <c r="E101" s="186" t="e">
        <f>+VLOOKUP($A101,DATA!$A:$AG,DATA!$G$3,FALSE)</f>
        <v>#N/A</v>
      </c>
      <c r="F101" s="19" t="e">
        <f>+VLOOKUP($A101,DATA!$A:$AG,DATA!$O$3,FALSE)</f>
        <v>#N/A</v>
      </c>
      <c r="G101" s="43" t="e">
        <f>+IF($F101="oui",+VLOOKUP($A101,DATA!$A:$AG,DATA!$P$3,FALSE),0)</f>
        <v>#N/A</v>
      </c>
      <c r="H101" s="44" t="e">
        <f>+IF($F101="oui",+VLOOKUP($A101,DATA!$A:$AG,DATA!$R$3,FALSE),0)</f>
        <v>#N/A</v>
      </c>
      <c r="I101" s="44" t="e">
        <f>+IF($F101="oui",+VLOOKUP($A101,DATA!$A:$AG,DATA!$T$3,FALSE),0)</f>
        <v>#N/A</v>
      </c>
      <c r="J101" s="44" t="e">
        <f>+IF($F101="oui",+VLOOKUP($A101,DATA!$A:$AG,DATA!$V$3,FALSE),0)</f>
        <v>#N/A</v>
      </c>
      <c r="K101" s="44" t="e">
        <f>+IF($F101="oui",+VLOOKUP($A101,DATA!$A:$AG,DATA!$X$3,FALSE),0)</f>
        <v>#N/A</v>
      </c>
      <c r="L101" s="44" t="e">
        <f>+IF($F101="oui",+VLOOKUP($A101,DATA!$A:$AG,DATA!$Z$3,FALSE),0)</f>
        <v>#N/A</v>
      </c>
      <c r="M101" s="44" t="e">
        <f>+IF($F101="oui",+VLOOKUP($A101,DATA!$A:$AG,DATA!$AB$3,FALSE),0)</f>
        <v>#N/A</v>
      </c>
      <c r="N101" s="44" t="e">
        <f>+IF($F101="oui",+VLOOKUP($A101,DATA!$A:$AG,DATA!$AD$3,FALSE),0)</f>
        <v>#N/A</v>
      </c>
      <c r="O101" s="45" t="e">
        <f>+IF($F101="oui",+VLOOKUP($A101,DATA!$A:$AG,DATA!$AF$3,FALSE),0)</f>
        <v>#N/A</v>
      </c>
      <c r="P101" s="116" t="e">
        <f t="shared" si="43"/>
        <v>#N/A</v>
      </c>
      <c r="Q101" s="21" t="e">
        <f>+IF($F101="oui",+VLOOKUP($A101,DATA!$A:$AG,DATA!$Q$3,FALSE),0)</f>
        <v>#N/A</v>
      </c>
      <c r="R101" s="22" t="e">
        <f>+IF($F101="oui",+VLOOKUP($A101,DATA!$A:$AG,DATA!$S$3,FALSE),0)</f>
        <v>#N/A</v>
      </c>
      <c r="S101" s="22" t="e">
        <f>+IF($F101="oui",+VLOOKUP($A101,DATA!$A:$AG,DATA!$U$3,FALSE),0)</f>
        <v>#N/A</v>
      </c>
      <c r="T101" s="22" t="e">
        <f>+IF($F101="oui",+VLOOKUP($A101,DATA!$A:$AG,DATA!$W$3,FALSE),0)</f>
        <v>#N/A</v>
      </c>
      <c r="U101" s="22" t="e">
        <f>+IF($F101="oui",+VLOOKUP($A101,DATA!$A:$AG,DATA!$Y$3,FALSE),0)</f>
        <v>#N/A</v>
      </c>
      <c r="V101" s="22" t="e">
        <f>+IF($F101="oui",+VLOOKUP($A101,DATA!$A:$AG,DATA!$AA$3,FALSE),0)</f>
        <v>#N/A</v>
      </c>
      <c r="W101" s="22" t="e">
        <f>+IF($F101="oui",+VLOOKUP($A101,DATA!$A:$AG,DATA!$AC$3,FALSE),0)</f>
        <v>#N/A</v>
      </c>
      <c r="X101" s="22" t="e">
        <f>+IF($F101="oui",+VLOOKUP($A101,DATA!$A:$AG,DATA!$AE$3,FALSE),0)</f>
        <v>#N/A</v>
      </c>
      <c r="Y101" s="23" t="e">
        <f>+IF($F101="oui",+VLOOKUP($A101,DATA!$A:$AG,DATA!$AG$3,FALSE),0)</f>
        <v>#N/A</v>
      </c>
      <c r="Z101" s="118" t="e">
        <f t="shared" ref="Z101:Z103" si="50">SUM(Q101:Y101)</f>
        <v>#N/A</v>
      </c>
      <c r="AA101" s="43" t="e">
        <f t="shared" si="32"/>
        <v>#N/A</v>
      </c>
      <c r="AB101" s="44" t="e">
        <f t="shared" si="33"/>
        <v>#N/A</v>
      </c>
      <c r="AC101" s="44" t="e">
        <f t="shared" si="34"/>
        <v>#N/A</v>
      </c>
      <c r="AD101" s="44" t="e">
        <f t="shared" si="35"/>
        <v>#N/A</v>
      </c>
      <c r="AE101" s="44" t="e">
        <f t="shared" si="36"/>
        <v>#N/A</v>
      </c>
      <c r="AF101" s="44" t="e">
        <f t="shared" si="37"/>
        <v>#N/A</v>
      </c>
      <c r="AG101" s="44" t="e">
        <f t="shared" si="38"/>
        <v>#N/A</v>
      </c>
      <c r="AH101" s="44" t="e">
        <f t="shared" si="39"/>
        <v>#N/A</v>
      </c>
      <c r="AI101" s="45" t="e">
        <f t="shared" si="40"/>
        <v>#N/A</v>
      </c>
      <c r="AJ101" s="70" t="e">
        <f>+IF(Q101=0," ",+WORKDAY.INTL(+VLOOKUP(AJ$1,POSTE!$B:$G,3,FALSE),+CUM!AA100/+VLOOKUP(AJ$1,POSTE!$B:$H,7,FALSE),,CONGÉ!$C$2:$C$80))</f>
        <v>#N/A</v>
      </c>
      <c r="AK101" s="50" t="e">
        <f>+IF(R101=0," ",+WORKDAY.INTL(+VLOOKUP(AK$1,POSTE!$B:$G,3,FALSE),+CUM!AB100/+VLOOKUP(AK$1,POSTE!$B:$H,7,FALSE),,CONGÉ!$C$2:$C$80))</f>
        <v>#N/A</v>
      </c>
      <c r="AL101" s="50" t="e">
        <f>+IF(S101=0," ",+WORKDAY.INTL(+VLOOKUP(AL$1,POSTE!$B:$G,3,FALSE),+CUM!AC100/+VLOOKUP(AL$1,POSTE!$B:$H,7,FALSE),,CONGÉ!$C$2:$C$80))</f>
        <v>#N/A</v>
      </c>
      <c r="AM101" s="50" t="e">
        <f>+IF(T101=0," ",+WORKDAY.INTL(+VLOOKUP(AM$1,POSTE!$B:$G,3,FALSE),+CUM!AD100/+VLOOKUP(AM$1,POSTE!$B:$H,7,FALSE),,CONGÉ!$C$2:$C$80))</f>
        <v>#N/A</v>
      </c>
      <c r="AN101" s="50" t="e">
        <f>+IF(U101=0," ",+WORKDAY.INTL(+VLOOKUP(AN$1,POSTE!$B:$G,3,FALSE),+CUM!AE100/+VLOOKUP(AN$1,POSTE!$B:$H,7,FALSE),,CONGÉ!$C$2:$C$80))</f>
        <v>#N/A</v>
      </c>
      <c r="AO101" s="50" t="e">
        <f>+IF(V101=0," ",+WORKDAY.INTL(+VLOOKUP(AO$1,POSTE!$B:$G,3,FALSE),+CUM!AF100/+VLOOKUP(AO$1,POSTE!$B:$H,7,FALSE),,CONGÉ!$C$2:$C$80))</f>
        <v>#N/A</v>
      </c>
      <c r="AP101" s="50" t="e">
        <f>+IF(W101=0," ",+WORKDAY.INTL(+VLOOKUP(AP$1,POSTE!$B:$G,3,FALSE),+CUM!AG100/+VLOOKUP(AP$1,POSTE!$B:$H,7,FALSE),,CONGÉ!$C$2:$C$80))</f>
        <v>#N/A</v>
      </c>
      <c r="AQ101" s="50" t="e">
        <f>+IF(X101=0," ",+WORKDAY.INTL(+VLOOKUP(AQ$1,POSTE!$B:$G,3,FALSE),+CUM!AH100/+VLOOKUP(AQ$1,POSTE!$B:$H,7,FALSE),,CONGÉ!$C$2:$C$80))</f>
        <v>#N/A</v>
      </c>
      <c r="AR101" s="71" t="e">
        <f>+IF(Y101=0," ",+WORKDAY.INTL(+VLOOKUP(AR$1,POSTE!$B:$G,3,FALSE),+CUM!AI100/+VLOOKUP(AR$1,POSTE!$B:$H,7,FALSE),,CONGÉ!$C$2:$C$80))</f>
        <v>#N/A</v>
      </c>
      <c r="AS101" s="72" t="e">
        <f>+IF(Q101=0," ",+WORKDAY.INTL(+VLOOKUP(AS$1,POSTE!$B:$G,3,FALSE),+CUM!AA101/+VLOOKUP(AS$1,POSTE!$B:$H,7,FALSE),,CONGÉ!$C$2:$C$80))</f>
        <v>#N/A</v>
      </c>
      <c r="AT101" s="73" t="e">
        <f>+IF(R101=0," ",+WORKDAY.INTL(+VLOOKUP(AT$1,POSTE!$B:$G,3,FALSE),+CUM!AB101/+VLOOKUP(AT$1,POSTE!$B:$H,7,FALSE),,CONGÉ!$C$2:$C$80))</f>
        <v>#N/A</v>
      </c>
      <c r="AU101" s="73" t="e">
        <f>+IF(AND(S101=0,T101=0)," ",+WORKDAY.INTL(+VLOOKUP($AS$1,POSTE!B:J,3,FALSE),+(((AC101*POSTE!$H$5)+(CUM!AD101*POSTE!$H$4))/(POSTE!$H$4*POSTE!$H$5*2)),,CONGÉ!$C$2:$C$80))</f>
        <v>#N/A</v>
      </c>
      <c r="AV101" s="73" t="e">
        <f>+IF(U101=0," ",+WORKDAY.INTL(+VLOOKUP(AV$1,POSTE!$B:$G,3,FALSE),+CUM!AE101/+VLOOKUP(AV$1,POSTE!$B:$H,7,FALSE),,CONGÉ!$C$2:$C$80))</f>
        <v>#N/A</v>
      </c>
      <c r="AW101" s="73" t="e">
        <f>+IF(V101=0," ",+WORKDAY.INTL(+VLOOKUP(AW$1,POSTE!$B:$G,3,FALSE),+CUM!AF101/+VLOOKUP(AW$1,POSTE!$B:$H,7,FALSE),,CONGÉ!$C$2:$C$80))</f>
        <v>#N/A</v>
      </c>
      <c r="AX101" s="73" t="e">
        <f>+IF(W101=0," ",+WORKDAY.INTL(+VLOOKUP(AX$1,POSTE!$B:$G,3,FALSE),+CUM!AG101/+VLOOKUP(AX$1,POSTE!$B:$H,7,FALSE),,CONGÉ!$C$2:$C$80))</f>
        <v>#N/A</v>
      </c>
      <c r="AY101" s="73" t="e">
        <f>+IF(X101=0," ",+WORKDAY.INTL(+VLOOKUP(AY$1,POSTE!$B:$G,3,FALSE),+CUM!AH101/+VLOOKUP(AY$1,POSTE!$B:$H,7,FALSE),,CONGÉ!$C$2:$C$80))</f>
        <v>#N/A</v>
      </c>
      <c r="AZ101" s="73" t="e">
        <f>+IF(Y101=0," ",+WORKDAY.INTL(+VLOOKUP(AZ$1,POSTE!$B:$G,3,FALSE),+CUM!AI101/+VLOOKUP(AZ$1,POSTE!$B:$H,7,FALSE),,CONGÉ!$C$2:$C$80))</f>
        <v>#N/A</v>
      </c>
      <c r="BA101" s="73" t="e">
        <f>+IF(S101=0," ",+WORKDAY.INTL(+VLOOKUP(BA$1,POSTE!$B:$G,3,FALSE),+CUM!AC101/+VLOOKUP(BA$1,POSTE!$B:$H,7,FALSE),,CONGÉ!$C$2:$C$80))</f>
        <v>#N/A</v>
      </c>
      <c r="BB101" s="73" t="e">
        <f>+IF(T101=0," ",+WORKDAY.INTL(+VLOOKUP(BB$1,POSTE!$B:$G,3,FALSE),+CUM!AD101/+VLOOKUP(BB$1,POSTE!$B:$H,7,FALSE),,CONGÉ!$C$2:$C$80))</f>
        <v>#N/A</v>
      </c>
      <c r="BC101" s="70" t="e">
        <f t="shared" si="44"/>
        <v>#N/A</v>
      </c>
      <c r="BD101" s="70" t="e">
        <f t="shared" si="45"/>
        <v>#N/A</v>
      </c>
      <c r="BE101" s="129" t="e">
        <f>+IF($F101="oui",+VLOOKUP($A101,DATA!$A:$AH,DATA!$AH$3,FALSE),0)</f>
        <v>#N/A</v>
      </c>
      <c r="BF101" s="129" t="e">
        <f t="shared" si="46"/>
        <v>#N/A</v>
      </c>
      <c r="BG101" s="136" t="e">
        <f>+IF(BE101&gt;0,+MAX((BH$4:BH100),BD101),"")</f>
        <v>#N/A</v>
      </c>
      <c r="BH101" s="136" t="e">
        <f>+IF(BE101&gt;0,+MAX((BH$4:BH100),+WORKDAY.INTL(BG101,+BE101/8,,CONGÉ!$C$2:$C$73)),"")</f>
        <v>#N/A</v>
      </c>
      <c r="BI101" s="136" t="e">
        <f t="shared" si="47"/>
        <v>#N/A</v>
      </c>
      <c r="BJ101" s="43" t="e">
        <f t="shared" si="41"/>
        <v>#N/A</v>
      </c>
      <c r="BK101" s="77">
        <f t="shared" ca="1" si="48"/>
        <v>45754</v>
      </c>
      <c r="BL101" s="78" t="e">
        <f>+(((AC101*POSTE!$H$5)+(CUM!AD101*POSTE!$H$4))/(POSTE!$H$4*POSTE!$H$5*2))</f>
        <v>#N/A</v>
      </c>
      <c r="BM101" s="90" t="e">
        <f ca="1">+WORKDAY.INTL(BK101,BL101,,CONGÉ!C$4:C$72)</f>
        <v>#N/A</v>
      </c>
      <c r="BN101" s="78" t="e">
        <f t="shared" ca="1" si="49"/>
        <v>#N/A</v>
      </c>
    </row>
    <row r="102" spans="1:66" x14ac:dyDescent="0.25">
      <c r="A102" s="49">
        <f t="shared" si="42"/>
        <v>98</v>
      </c>
      <c r="B102" s="185" cm="1">
        <f t="array" ref="B102">_xlfn.LET(_xlpm.CORR,IF(DATA!$B$4:$B$104="",IF(DATA!$A$4:$A$104="","--",DATA!$A$4:$A$104),DATA!$B$4:$B$104),_xlpm.Rx,SMALL(_xlpm.CORR,A102),IFERROR(MATCH(_xlpm.Rx,_xlpm.CORR,0),0))</f>
        <v>0</v>
      </c>
      <c r="C102" s="18" t="e">
        <f>+VLOOKUP($A102,DATA!$A:$AG,DATA!$E$3,FALSE)</f>
        <v>#N/A</v>
      </c>
      <c r="D102" s="18" t="e">
        <f>+VLOOKUP($A102,DATA!$A:$AG,DATA!$D$3,FALSE)</f>
        <v>#N/A</v>
      </c>
      <c r="E102" s="186" t="e">
        <f>+VLOOKUP($A102,DATA!$A:$AG,DATA!$G$3,FALSE)</f>
        <v>#N/A</v>
      </c>
      <c r="F102" s="19" t="e">
        <f>+VLOOKUP($A102,DATA!$A:$AG,DATA!$O$3,FALSE)</f>
        <v>#N/A</v>
      </c>
      <c r="G102" s="43" t="e">
        <f>+IF($F102="oui",+VLOOKUP($A102,DATA!$A:$AG,DATA!$P$3,FALSE),0)</f>
        <v>#N/A</v>
      </c>
      <c r="H102" s="44" t="e">
        <f>+IF($F102="oui",+VLOOKUP($A102,DATA!$A:$AG,DATA!$R$3,FALSE),0)</f>
        <v>#N/A</v>
      </c>
      <c r="I102" s="44" t="e">
        <f>+IF($F102="oui",+VLOOKUP($A102,DATA!$A:$AG,DATA!$T$3,FALSE),0)</f>
        <v>#N/A</v>
      </c>
      <c r="J102" s="44" t="e">
        <f>+IF($F102="oui",+VLOOKUP($A102,DATA!$A:$AG,DATA!$V$3,FALSE),0)</f>
        <v>#N/A</v>
      </c>
      <c r="K102" s="44" t="e">
        <f>+IF($F102="oui",+VLOOKUP($A102,DATA!$A:$AG,DATA!$X$3,FALSE),0)</f>
        <v>#N/A</v>
      </c>
      <c r="L102" s="44" t="e">
        <f>+IF($F102="oui",+VLOOKUP($A102,DATA!$A:$AG,DATA!$Z$3,FALSE),0)</f>
        <v>#N/A</v>
      </c>
      <c r="M102" s="44" t="e">
        <f>+IF($F102="oui",+VLOOKUP($A102,DATA!$A:$AG,DATA!$AB$3,FALSE),0)</f>
        <v>#N/A</v>
      </c>
      <c r="N102" s="44" t="e">
        <f>+IF($F102="oui",+VLOOKUP($A102,DATA!$A:$AG,DATA!$AD$3,FALSE),0)</f>
        <v>#N/A</v>
      </c>
      <c r="O102" s="45" t="e">
        <f>+IF($F102="oui",+VLOOKUP($A102,DATA!$A:$AG,DATA!$AF$3,FALSE),0)</f>
        <v>#N/A</v>
      </c>
      <c r="P102" s="116" t="e">
        <f t="shared" si="43"/>
        <v>#N/A</v>
      </c>
      <c r="Q102" s="21" t="e">
        <f>+IF($F102="oui",+VLOOKUP($A102,DATA!$A:$AG,DATA!$Q$3,FALSE),0)</f>
        <v>#N/A</v>
      </c>
      <c r="R102" s="22" t="e">
        <f>+IF($F102="oui",+VLOOKUP($A102,DATA!$A:$AG,DATA!$S$3,FALSE),0)</f>
        <v>#N/A</v>
      </c>
      <c r="S102" s="22" t="e">
        <f>+IF($F102="oui",+VLOOKUP($A102,DATA!$A:$AG,DATA!$U$3,FALSE),0)</f>
        <v>#N/A</v>
      </c>
      <c r="T102" s="22" t="e">
        <f>+IF($F102="oui",+VLOOKUP($A102,DATA!$A:$AG,DATA!$W$3,FALSE),0)</f>
        <v>#N/A</v>
      </c>
      <c r="U102" s="22" t="e">
        <f>+IF($F102="oui",+VLOOKUP($A102,DATA!$A:$AG,DATA!$Y$3,FALSE),0)</f>
        <v>#N/A</v>
      </c>
      <c r="V102" s="22" t="e">
        <f>+IF($F102="oui",+VLOOKUP($A102,DATA!$A:$AG,DATA!$AA$3,FALSE),0)</f>
        <v>#N/A</v>
      </c>
      <c r="W102" s="22" t="e">
        <f>+IF($F102="oui",+VLOOKUP($A102,DATA!$A:$AG,DATA!$AC$3,FALSE),0)</f>
        <v>#N/A</v>
      </c>
      <c r="X102" s="22" t="e">
        <f>+IF($F102="oui",+VLOOKUP($A102,DATA!$A:$AG,DATA!$AE$3,FALSE),0)</f>
        <v>#N/A</v>
      </c>
      <c r="Y102" s="23" t="e">
        <f>+IF($F102="oui",+VLOOKUP($A102,DATA!$A:$AG,DATA!$AG$3,FALSE),0)</f>
        <v>#N/A</v>
      </c>
      <c r="Z102" s="118" t="e">
        <f t="shared" si="50"/>
        <v>#N/A</v>
      </c>
      <c r="AA102" s="43" t="e">
        <f t="shared" si="32"/>
        <v>#N/A</v>
      </c>
      <c r="AB102" s="44" t="e">
        <f t="shared" si="33"/>
        <v>#N/A</v>
      </c>
      <c r="AC102" s="44" t="e">
        <f t="shared" si="34"/>
        <v>#N/A</v>
      </c>
      <c r="AD102" s="44" t="e">
        <f t="shared" si="35"/>
        <v>#N/A</v>
      </c>
      <c r="AE102" s="44" t="e">
        <f t="shared" si="36"/>
        <v>#N/A</v>
      </c>
      <c r="AF102" s="44" t="e">
        <f t="shared" si="37"/>
        <v>#N/A</v>
      </c>
      <c r="AG102" s="44" t="e">
        <f t="shared" si="38"/>
        <v>#N/A</v>
      </c>
      <c r="AH102" s="44" t="e">
        <f t="shared" si="39"/>
        <v>#N/A</v>
      </c>
      <c r="AI102" s="45" t="e">
        <f t="shared" si="40"/>
        <v>#N/A</v>
      </c>
      <c r="AJ102" s="70" t="e">
        <f>+IF(Q102=0," ",+WORKDAY.INTL(+VLOOKUP(AJ$1,POSTE!$B:$G,3,FALSE),+CUM!AA101/+VLOOKUP(AJ$1,POSTE!$B:$H,7,FALSE),,CONGÉ!$C$2:$C$80))</f>
        <v>#N/A</v>
      </c>
      <c r="AK102" s="50" t="e">
        <f>+IF(R102=0," ",+WORKDAY.INTL(+VLOOKUP(AK$1,POSTE!$B:$G,3,FALSE),+CUM!AB101/+VLOOKUP(AK$1,POSTE!$B:$H,7,FALSE),,CONGÉ!$C$2:$C$80))</f>
        <v>#N/A</v>
      </c>
      <c r="AL102" s="50" t="e">
        <f>+IF(S102=0," ",+WORKDAY.INTL(+VLOOKUP(AL$1,POSTE!$B:$G,3,FALSE),+CUM!AC101/+VLOOKUP(AL$1,POSTE!$B:$H,7,FALSE),,CONGÉ!$C$2:$C$80))</f>
        <v>#N/A</v>
      </c>
      <c r="AM102" s="50" t="e">
        <f>+IF(T102=0," ",+WORKDAY.INTL(+VLOOKUP(AM$1,POSTE!$B:$G,3,FALSE),+CUM!AD101/+VLOOKUP(AM$1,POSTE!$B:$H,7,FALSE),,CONGÉ!$C$2:$C$80))</f>
        <v>#N/A</v>
      </c>
      <c r="AN102" s="50" t="e">
        <f>+IF(U102=0," ",+WORKDAY.INTL(+VLOOKUP(AN$1,POSTE!$B:$G,3,FALSE),+CUM!AE101/+VLOOKUP(AN$1,POSTE!$B:$H,7,FALSE),,CONGÉ!$C$2:$C$80))</f>
        <v>#N/A</v>
      </c>
      <c r="AO102" s="50" t="e">
        <f>+IF(V102=0," ",+WORKDAY.INTL(+VLOOKUP(AO$1,POSTE!$B:$G,3,FALSE),+CUM!AF101/+VLOOKUP(AO$1,POSTE!$B:$H,7,FALSE),,CONGÉ!$C$2:$C$80))</f>
        <v>#N/A</v>
      </c>
      <c r="AP102" s="50" t="e">
        <f>+IF(W102=0," ",+WORKDAY.INTL(+VLOOKUP(AP$1,POSTE!$B:$G,3,FALSE),+CUM!AG101/+VLOOKUP(AP$1,POSTE!$B:$H,7,FALSE),,CONGÉ!$C$2:$C$80))</f>
        <v>#N/A</v>
      </c>
      <c r="AQ102" s="50" t="e">
        <f>+IF(X102=0," ",+WORKDAY.INTL(+VLOOKUP(AQ$1,POSTE!$B:$G,3,FALSE),+CUM!AH101/+VLOOKUP(AQ$1,POSTE!$B:$H,7,FALSE),,CONGÉ!$C$2:$C$80))</f>
        <v>#N/A</v>
      </c>
      <c r="AR102" s="71" t="e">
        <f>+IF(Y102=0," ",+WORKDAY.INTL(+VLOOKUP(AR$1,POSTE!$B:$G,3,FALSE),+CUM!AI101/+VLOOKUP(AR$1,POSTE!$B:$H,7,FALSE),,CONGÉ!$C$2:$C$80))</f>
        <v>#N/A</v>
      </c>
      <c r="AS102" s="72" t="e">
        <f>+IF(Q102=0," ",+WORKDAY.INTL(+VLOOKUP(AS$1,POSTE!$B:$G,3,FALSE),+CUM!AA102/+VLOOKUP(AS$1,POSTE!$B:$H,7,FALSE),,CONGÉ!$C$2:$C$80))</f>
        <v>#N/A</v>
      </c>
      <c r="AT102" s="73" t="e">
        <f>+IF(R102=0," ",+WORKDAY.INTL(+VLOOKUP(AT$1,POSTE!$B:$G,3,FALSE),+CUM!AB102/+VLOOKUP(AT$1,POSTE!$B:$H,7,FALSE),,CONGÉ!$C$2:$C$80))</f>
        <v>#N/A</v>
      </c>
      <c r="AU102" s="73" t="e">
        <f>+IF(AND(S102=0,T102=0)," ",+WORKDAY.INTL(+VLOOKUP($AS$1,POSTE!B:J,3,FALSE),+(((AC102*POSTE!$H$5)+(CUM!AD102*POSTE!$H$4))/(POSTE!$H$4*POSTE!$H$5*2)),,CONGÉ!$C$2:$C$80))</f>
        <v>#N/A</v>
      </c>
      <c r="AV102" s="73" t="e">
        <f>+IF(U102=0," ",+WORKDAY.INTL(+VLOOKUP(AV$1,POSTE!$B:$G,3,FALSE),+CUM!AE102/+VLOOKUP(AV$1,POSTE!$B:$H,7,FALSE),,CONGÉ!$C$2:$C$80))</f>
        <v>#N/A</v>
      </c>
      <c r="AW102" s="73" t="e">
        <f>+IF(V102=0," ",+WORKDAY.INTL(+VLOOKUP(AW$1,POSTE!$B:$G,3,FALSE),+CUM!AF102/+VLOOKUP(AW$1,POSTE!$B:$H,7,FALSE),,CONGÉ!$C$2:$C$80))</f>
        <v>#N/A</v>
      </c>
      <c r="AX102" s="73" t="e">
        <f>+IF(W102=0," ",+WORKDAY.INTL(+VLOOKUP(AX$1,POSTE!$B:$G,3,FALSE),+CUM!AG102/+VLOOKUP(AX$1,POSTE!$B:$H,7,FALSE),,CONGÉ!$C$2:$C$80))</f>
        <v>#N/A</v>
      </c>
      <c r="AY102" s="73" t="e">
        <f>+IF(X102=0," ",+WORKDAY.INTL(+VLOOKUP(AY$1,POSTE!$B:$G,3,FALSE),+CUM!AH102/+VLOOKUP(AY$1,POSTE!$B:$H,7,FALSE),,CONGÉ!$C$2:$C$80))</f>
        <v>#N/A</v>
      </c>
      <c r="AZ102" s="73" t="e">
        <f>+IF(Y102=0," ",+WORKDAY.INTL(+VLOOKUP(AZ$1,POSTE!$B:$G,3,FALSE),+CUM!AI102/+VLOOKUP(AZ$1,POSTE!$B:$H,7,FALSE),,CONGÉ!$C$2:$C$80))</f>
        <v>#N/A</v>
      </c>
      <c r="BA102" s="73" t="e">
        <f>+IF(S102=0," ",+WORKDAY.INTL(+VLOOKUP(BA$1,POSTE!$B:$G,3,FALSE),+CUM!AC102/+VLOOKUP(BA$1,POSTE!$B:$H,7,FALSE),,CONGÉ!$C$2:$C$80))</f>
        <v>#N/A</v>
      </c>
      <c r="BB102" s="73" t="e">
        <f>+IF(T102=0," ",+WORKDAY.INTL(+VLOOKUP(BB$1,POSTE!$B:$G,3,FALSE),+CUM!AD102/+VLOOKUP(BB$1,POSTE!$B:$H,7,FALSE),,CONGÉ!$C$2:$C$80))</f>
        <v>#N/A</v>
      </c>
      <c r="BC102" s="70" t="e">
        <f t="shared" si="44"/>
        <v>#N/A</v>
      </c>
      <c r="BD102" s="70" t="e">
        <f t="shared" si="45"/>
        <v>#N/A</v>
      </c>
      <c r="BE102" s="129" t="e">
        <f>+IF($F102="oui",+VLOOKUP($A102,DATA!$A:$AH,DATA!$AH$3,FALSE),0)</f>
        <v>#N/A</v>
      </c>
      <c r="BF102" s="129" t="e">
        <f t="shared" si="46"/>
        <v>#N/A</v>
      </c>
      <c r="BG102" s="136" t="e">
        <f>+IF(BE102&gt;0,+MAX((BH$4:BH101),BD102),"")</f>
        <v>#N/A</v>
      </c>
      <c r="BH102" s="136" t="e">
        <f>+IF(BE102&gt;0,+MAX((BH$4:BH101),+WORKDAY.INTL(BG102,+BE102/8,,CONGÉ!$C$2:$C$73)),"")</f>
        <v>#N/A</v>
      </c>
      <c r="BI102" s="136" t="e">
        <f t="shared" si="47"/>
        <v>#N/A</v>
      </c>
      <c r="BJ102" s="43" t="e">
        <f t="shared" si="41"/>
        <v>#N/A</v>
      </c>
      <c r="BK102" s="77">
        <f t="shared" ca="1" si="48"/>
        <v>45754</v>
      </c>
      <c r="BL102" s="78" t="e">
        <f>+(((AC102*POSTE!$H$5)+(CUM!AD102*POSTE!$H$4))/(POSTE!$H$4*POSTE!$H$5*2))</f>
        <v>#N/A</v>
      </c>
      <c r="BM102" s="90" t="e">
        <f ca="1">+WORKDAY.INTL(BK102,BL102,,CONGÉ!C$4:C$72)</f>
        <v>#N/A</v>
      </c>
      <c r="BN102" s="78" t="e">
        <f t="shared" ca="1" si="49"/>
        <v>#N/A</v>
      </c>
    </row>
    <row r="103" spans="1:66" x14ac:dyDescent="0.25">
      <c r="A103" s="49">
        <f t="shared" si="42"/>
        <v>99</v>
      </c>
      <c r="B103" s="185" cm="1">
        <f t="array" ref="B103">_xlfn.LET(_xlpm.CORR,IF(DATA!$B$4:$B$104="",IF(DATA!$A$4:$A$104="","--",DATA!$A$4:$A$104),DATA!$B$4:$B$104),_xlpm.Rx,SMALL(_xlpm.CORR,A103),IFERROR(MATCH(_xlpm.Rx,_xlpm.CORR,0),0))</f>
        <v>0</v>
      </c>
      <c r="C103" s="18" t="e">
        <f>+VLOOKUP($A103,DATA!$A:$AG,DATA!$E$3,FALSE)</f>
        <v>#N/A</v>
      </c>
      <c r="D103" s="18" t="e">
        <f>+VLOOKUP($A103,DATA!$A:$AG,DATA!$D$3,FALSE)</f>
        <v>#N/A</v>
      </c>
      <c r="E103" s="186" t="e">
        <f>+VLOOKUP($A103,DATA!$A:$AG,DATA!$G$3,FALSE)</f>
        <v>#N/A</v>
      </c>
      <c r="F103" s="19" t="e">
        <f>+VLOOKUP($A103,DATA!$A:$AG,DATA!$O$3,FALSE)</f>
        <v>#N/A</v>
      </c>
      <c r="G103" s="43" t="e">
        <f>+IF($F103="oui",+VLOOKUP($A103,DATA!$A:$AG,DATA!$P$3,FALSE),0)</f>
        <v>#N/A</v>
      </c>
      <c r="H103" s="44" t="e">
        <f>+IF($F103="oui",+VLOOKUP($A103,DATA!$A:$AG,DATA!$R$3,FALSE),0)</f>
        <v>#N/A</v>
      </c>
      <c r="I103" s="44" t="e">
        <f>+IF($F103="oui",+VLOOKUP($A103,DATA!$A:$AG,DATA!$T$3,FALSE),0)</f>
        <v>#N/A</v>
      </c>
      <c r="J103" s="44" t="e">
        <f>+IF($F103="oui",+VLOOKUP($A103,DATA!$A:$AG,DATA!$V$3,FALSE),0)</f>
        <v>#N/A</v>
      </c>
      <c r="K103" s="44" t="e">
        <f>+IF($F103="oui",+VLOOKUP($A103,DATA!$A:$AG,DATA!$X$3,FALSE),0)</f>
        <v>#N/A</v>
      </c>
      <c r="L103" s="44" t="e">
        <f>+IF($F103="oui",+VLOOKUP($A103,DATA!$A:$AG,DATA!$Z$3,FALSE),0)</f>
        <v>#N/A</v>
      </c>
      <c r="M103" s="44" t="e">
        <f>+IF($F103="oui",+VLOOKUP($A103,DATA!$A:$AG,DATA!$AB$3,FALSE),0)</f>
        <v>#N/A</v>
      </c>
      <c r="N103" s="44" t="e">
        <f>+IF($F103="oui",+VLOOKUP($A103,DATA!$A:$AG,DATA!$AD$3,FALSE),0)</f>
        <v>#N/A</v>
      </c>
      <c r="O103" s="45" t="e">
        <f>+IF($F103="oui",+VLOOKUP($A103,DATA!$A:$AG,DATA!$AF$3,FALSE),0)</f>
        <v>#N/A</v>
      </c>
      <c r="P103" s="116" t="e">
        <f t="shared" si="43"/>
        <v>#N/A</v>
      </c>
      <c r="Q103" s="21" t="e">
        <f>+IF($F103="oui",+VLOOKUP($A103,DATA!$A:$AG,DATA!$Q$3,FALSE),0)</f>
        <v>#N/A</v>
      </c>
      <c r="R103" s="22" t="e">
        <f>+IF($F103="oui",+VLOOKUP($A103,DATA!$A:$AG,DATA!$S$3,FALSE),0)</f>
        <v>#N/A</v>
      </c>
      <c r="S103" s="22" t="e">
        <f>+IF($F103="oui",+VLOOKUP($A103,DATA!$A:$AG,DATA!$U$3,FALSE),0)</f>
        <v>#N/A</v>
      </c>
      <c r="T103" s="22" t="e">
        <f>+IF($F103="oui",+VLOOKUP($A103,DATA!$A:$AG,DATA!$W$3,FALSE),0)</f>
        <v>#N/A</v>
      </c>
      <c r="U103" s="22" t="e">
        <f>+IF($F103="oui",+VLOOKUP($A103,DATA!$A:$AG,DATA!$Y$3,FALSE),0)</f>
        <v>#N/A</v>
      </c>
      <c r="V103" s="22" t="e">
        <f>+IF($F103="oui",+VLOOKUP($A103,DATA!$A:$AG,DATA!$AA$3,FALSE),0)</f>
        <v>#N/A</v>
      </c>
      <c r="W103" s="22" t="e">
        <f>+IF($F103="oui",+VLOOKUP($A103,DATA!$A:$AG,DATA!$AC$3,FALSE),0)</f>
        <v>#N/A</v>
      </c>
      <c r="X103" s="22" t="e">
        <f>+IF($F103="oui",+VLOOKUP($A103,DATA!$A:$AG,DATA!$AE$3,FALSE),0)</f>
        <v>#N/A</v>
      </c>
      <c r="Y103" s="23" t="e">
        <f>+IF($F103="oui",+VLOOKUP($A103,DATA!$A:$AG,DATA!$AG$3,FALSE),0)</f>
        <v>#N/A</v>
      </c>
      <c r="Z103" s="118" t="e">
        <f t="shared" si="50"/>
        <v>#N/A</v>
      </c>
      <c r="AA103" s="43" t="e">
        <f t="shared" si="32"/>
        <v>#N/A</v>
      </c>
      <c r="AB103" s="44" t="e">
        <f t="shared" si="33"/>
        <v>#N/A</v>
      </c>
      <c r="AC103" s="44" t="e">
        <f t="shared" si="34"/>
        <v>#N/A</v>
      </c>
      <c r="AD103" s="44" t="e">
        <f t="shared" si="35"/>
        <v>#N/A</v>
      </c>
      <c r="AE103" s="44" t="e">
        <f t="shared" si="36"/>
        <v>#N/A</v>
      </c>
      <c r="AF103" s="44" t="e">
        <f t="shared" si="37"/>
        <v>#N/A</v>
      </c>
      <c r="AG103" s="44" t="e">
        <f t="shared" si="38"/>
        <v>#N/A</v>
      </c>
      <c r="AH103" s="44" t="e">
        <f t="shared" si="39"/>
        <v>#N/A</v>
      </c>
      <c r="AI103" s="45" t="e">
        <f t="shared" si="40"/>
        <v>#N/A</v>
      </c>
      <c r="AJ103" s="70" t="e">
        <f>+IF(Q103=0," ",+WORKDAY.INTL(+VLOOKUP(AJ$1,POSTE!$B:$G,3,FALSE),+CUM!AA102/+VLOOKUP(AJ$1,POSTE!$B:$H,7,FALSE),,CONGÉ!$C$2:$C$80))</f>
        <v>#N/A</v>
      </c>
      <c r="AK103" s="50" t="e">
        <f>+IF(R103=0," ",+WORKDAY.INTL(+VLOOKUP(AK$1,POSTE!$B:$G,3,FALSE),+CUM!AB102/+VLOOKUP(AK$1,POSTE!$B:$H,7,FALSE),,CONGÉ!$C$2:$C$80))</f>
        <v>#N/A</v>
      </c>
      <c r="AL103" s="50" t="e">
        <f>+IF(S103=0," ",+WORKDAY.INTL(+VLOOKUP(AL$1,POSTE!$B:$G,3,FALSE),+CUM!AC102/+VLOOKUP(AL$1,POSTE!$B:$H,7,FALSE),,CONGÉ!$C$2:$C$80))</f>
        <v>#N/A</v>
      </c>
      <c r="AM103" s="50" t="e">
        <f>+IF(T103=0," ",+WORKDAY.INTL(+VLOOKUP(AM$1,POSTE!$B:$G,3,FALSE),+CUM!AD102/+VLOOKUP(AM$1,POSTE!$B:$H,7,FALSE),,CONGÉ!$C$2:$C$80))</f>
        <v>#N/A</v>
      </c>
      <c r="AN103" s="50" t="e">
        <f>+IF(U103=0," ",+WORKDAY.INTL(+VLOOKUP(AN$1,POSTE!$B:$G,3,FALSE),+CUM!AE102/+VLOOKUP(AN$1,POSTE!$B:$H,7,FALSE),,CONGÉ!$C$2:$C$80))</f>
        <v>#N/A</v>
      </c>
      <c r="AO103" s="50" t="e">
        <f>+IF(V103=0," ",+WORKDAY.INTL(+VLOOKUP(AO$1,POSTE!$B:$G,3,FALSE),+CUM!AF102/+VLOOKUP(AO$1,POSTE!$B:$H,7,FALSE),,CONGÉ!$C$2:$C$80))</f>
        <v>#N/A</v>
      </c>
      <c r="AP103" s="50" t="e">
        <f>+IF(W103=0," ",+WORKDAY.INTL(+VLOOKUP(AP$1,POSTE!$B:$G,3,FALSE),+CUM!AG102/+VLOOKUP(AP$1,POSTE!$B:$H,7,FALSE),,CONGÉ!$C$2:$C$80))</f>
        <v>#N/A</v>
      </c>
      <c r="AQ103" s="50" t="e">
        <f>+IF(X103=0," ",+WORKDAY.INTL(+VLOOKUP(AQ$1,POSTE!$B:$G,3,FALSE),+CUM!AH102/+VLOOKUP(AQ$1,POSTE!$B:$H,7,FALSE),,CONGÉ!$C$2:$C$80))</f>
        <v>#N/A</v>
      </c>
      <c r="AR103" s="71" t="e">
        <f>+IF(Y103=0," ",+WORKDAY.INTL(+VLOOKUP(AR$1,POSTE!$B:$G,3,FALSE),+CUM!AI102/+VLOOKUP(AR$1,POSTE!$B:$H,7,FALSE),,CONGÉ!$C$2:$C$80))</f>
        <v>#N/A</v>
      </c>
      <c r="AS103" s="72" t="e">
        <f>+IF(Q103=0," ",+WORKDAY.INTL(+VLOOKUP(AS$1,POSTE!$B:$G,3,FALSE),+CUM!AA103/+VLOOKUP(AS$1,POSTE!$B:$H,7,FALSE),,CONGÉ!$C$2:$C$80))</f>
        <v>#N/A</v>
      </c>
      <c r="AT103" s="73" t="e">
        <f>+IF(R103=0," ",+WORKDAY.INTL(+VLOOKUP(AT$1,POSTE!$B:$G,3,FALSE),+CUM!AB103/+VLOOKUP(AT$1,POSTE!$B:$H,7,FALSE),,CONGÉ!$C$2:$C$80))</f>
        <v>#N/A</v>
      </c>
      <c r="AU103" s="73" t="e">
        <f>+IF(AND(S103=0,T103=0)," ",+WORKDAY.INTL(+VLOOKUP($AS$1,POSTE!B:J,3,FALSE),+(((AC103*POSTE!$H$5)+(CUM!AD103*POSTE!$H$4))/(POSTE!$H$4*POSTE!$H$5*2)),,CONGÉ!$C$2:$C$80))</f>
        <v>#N/A</v>
      </c>
      <c r="AV103" s="73" t="e">
        <f>+IF(U103=0," ",+WORKDAY.INTL(+VLOOKUP(AV$1,POSTE!$B:$G,3,FALSE),+CUM!AE103/+VLOOKUP(AV$1,POSTE!$B:$H,7,FALSE),,CONGÉ!$C$2:$C$80))</f>
        <v>#N/A</v>
      </c>
      <c r="AW103" s="73" t="e">
        <f>+IF(V103=0," ",+WORKDAY.INTL(+VLOOKUP(AW$1,POSTE!$B:$G,3,FALSE),+CUM!AF103/+VLOOKUP(AW$1,POSTE!$B:$H,7,FALSE),,CONGÉ!$C$2:$C$80))</f>
        <v>#N/A</v>
      </c>
      <c r="AX103" s="73" t="e">
        <f>+IF(W103=0," ",+WORKDAY.INTL(+VLOOKUP(AX$1,POSTE!$B:$G,3,FALSE),+CUM!AG103/+VLOOKUP(AX$1,POSTE!$B:$H,7,FALSE),,CONGÉ!$C$2:$C$80))</f>
        <v>#N/A</v>
      </c>
      <c r="AY103" s="73" t="e">
        <f>+IF(X103=0," ",+WORKDAY.INTL(+VLOOKUP(AY$1,POSTE!$B:$G,3,FALSE),+CUM!AH103/+VLOOKUP(AY$1,POSTE!$B:$H,7,FALSE),,CONGÉ!$C$2:$C$80))</f>
        <v>#N/A</v>
      </c>
      <c r="AZ103" s="73" t="e">
        <f>+IF(Y103=0," ",+WORKDAY.INTL(+VLOOKUP(AZ$1,POSTE!$B:$G,3,FALSE),+CUM!AI103/+VLOOKUP(AZ$1,POSTE!$B:$H,7,FALSE),,CONGÉ!$C$2:$C$80))</f>
        <v>#N/A</v>
      </c>
      <c r="BA103" s="73" t="e">
        <f>+IF(S103=0," ",+WORKDAY.INTL(+VLOOKUP(BA$1,POSTE!$B:$G,3,FALSE),+CUM!AC103/+VLOOKUP(BA$1,POSTE!$B:$H,7,FALSE),,CONGÉ!$C$2:$C$80))</f>
        <v>#N/A</v>
      </c>
      <c r="BB103" s="73" t="e">
        <f>+IF(T103=0," ",+WORKDAY.INTL(+VLOOKUP(BB$1,POSTE!$B:$G,3,FALSE),+CUM!AD103/+VLOOKUP(BB$1,POSTE!$B:$H,7,FALSE),,CONGÉ!$C$2:$C$80))</f>
        <v>#N/A</v>
      </c>
      <c r="BC103" s="70" t="e">
        <f t="shared" si="44"/>
        <v>#N/A</v>
      </c>
      <c r="BD103" s="70" t="e">
        <f t="shared" si="45"/>
        <v>#N/A</v>
      </c>
      <c r="BE103" s="129" t="e">
        <f>+IF($F103="oui",+VLOOKUP($A103,DATA!$A:$AH,DATA!$AH$3,FALSE),0)</f>
        <v>#N/A</v>
      </c>
      <c r="BF103" s="129" t="e">
        <f t="shared" si="46"/>
        <v>#N/A</v>
      </c>
      <c r="BG103" s="136" t="e">
        <f>+IF(BE103&gt;0,+MAX((BH$4:BH102),BD103),"")</f>
        <v>#N/A</v>
      </c>
      <c r="BH103" s="136" t="e">
        <f>+IF(BE103&gt;0,+MAX((BH$4:BH102),+WORKDAY.INTL(BG103,+BE103/8,,CONGÉ!$C$2:$C$73)),"")</f>
        <v>#N/A</v>
      </c>
      <c r="BI103" s="136" t="e">
        <f t="shared" si="47"/>
        <v>#N/A</v>
      </c>
      <c r="BJ103" s="43" t="e">
        <f t="shared" si="41"/>
        <v>#N/A</v>
      </c>
      <c r="BK103" s="77">
        <f t="shared" ca="1" si="48"/>
        <v>45754</v>
      </c>
      <c r="BL103" s="78" t="e">
        <f>+(((AC103*POSTE!$H$5)+(CUM!AD103*POSTE!$H$4))/(POSTE!$H$4*POSTE!$H$5*2))</f>
        <v>#N/A</v>
      </c>
      <c r="BM103" s="90" t="e">
        <f ca="1">+WORKDAY.INTL(BK103,BL103,,CONGÉ!C$4:C$72)</f>
        <v>#N/A</v>
      </c>
      <c r="BN103" s="78" t="e">
        <f t="shared" ca="1" si="49"/>
        <v>#N/A</v>
      </c>
    </row>
    <row r="104" spans="1:66" x14ac:dyDescent="0.25">
      <c r="A104" s="49">
        <f t="shared" si="42"/>
        <v>100</v>
      </c>
      <c r="B104" s="185" cm="1">
        <f t="array" ref="B104">_xlfn.LET(_xlpm.CORR,IF(DATA!$B$4:$B$104="",IF(DATA!$A$4:$A$104="","--",DATA!$A$4:$A$104),DATA!$B$4:$B$104),_xlpm.Rx,SMALL(_xlpm.CORR,A104),IFERROR(MATCH(_xlpm.Rx,_xlpm.CORR,0),0))</f>
        <v>0</v>
      </c>
      <c r="C104" s="37"/>
      <c r="D104" s="37"/>
      <c r="E104" s="188"/>
      <c r="F104" s="25"/>
      <c r="G104" s="39" t="e">
        <f>SUM(G5:G103)</f>
        <v>#N/A</v>
      </c>
      <c r="H104" s="39" t="e">
        <f t="shared" ref="H104:Z104" si="51">SUM(H5:H103)</f>
        <v>#N/A</v>
      </c>
      <c r="I104" s="39" t="e">
        <f t="shared" si="51"/>
        <v>#N/A</v>
      </c>
      <c r="J104" s="39" t="e">
        <f t="shared" si="51"/>
        <v>#N/A</v>
      </c>
      <c r="K104" s="39" t="e">
        <f t="shared" si="51"/>
        <v>#N/A</v>
      </c>
      <c r="L104" s="39" t="e">
        <f t="shared" si="51"/>
        <v>#N/A</v>
      </c>
      <c r="M104" s="39" t="e">
        <f t="shared" si="51"/>
        <v>#N/A</v>
      </c>
      <c r="N104" s="39" t="e">
        <f t="shared" si="51"/>
        <v>#N/A</v>
      </c>
      <c r="O104" s="39" t="e">
        <f t="shared" si="51"/>
        <v>#N/A</v>
      </c>
      <c r="P104" s="39" t="e">
        <f t="shared" si="51"/>
        <v>#N/A</v>
      </c>
      <c r="Q104" s="39" t="e">
        <f t="shared" si="51"/>
        <v>#N/A</v>
      </c>
      <c r="R104" s="39" t="e">
        <f t="shared" si="51"/>
        <v>#N/A</v>
      </c>
      <c r="S104" s="39" t="e">
        <f t="shared" si="51"/>
        <v>#N/A</v>
      </c>
      <c r="T104" s="39" t="e">
        <f t="shared" si="51"/>
        <v>#N/A</v>
      </c>
      <c r="U104" s="39" t="e">
        <f t="shared" si="51"/>
        <v>#N/A</v>
      </c>
      <c r="V104" s="39" t="e">
        <f t="shared" si="51"/>
        <v>#N/A</v>
      </c>
      <c r="W104" s="39" t="e">
        <f t="shared" si="51"/>
        <v>#N/A</v>
      </c>
      <c r="X104" s="39" t="e">
        <f t="shared" si="51"/>
        <v>#N/A</v>
      </c>
      <c r="Y104" s="39" t="e">
        <f t="shared" si="51"/>
        <v>#N/A</v>
      </c>
      <c r="Z104" s="39" t="e">
        <f t="shared" si="51"/>
        <v>#N/A</v>
      </c>
      <c r="AA104" s="39"/>
      <c r="AB104" s="39"/>
      <c r="AC104" s="39"/>
      <c r="AD104" s="39"/>
      <c r="AE104" s="39"/>
      <c r="AF104" s="39"/>
      <c r="AG104" s="39"/>
      <c r="AH104" s="39"/>
      <c r="AI104" s="39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  <c r="BG104" s="38"/>
      <c r="BH104" s="38"/>
      <c r="BI104" s="38"/>
      <c r="BJ104" s="38"/>
      <c r="BK104" s="38"/>
      <c r="BL104" s="79"/>
      <c r="BM104" s="38"/>
      <c r="BN104" s="38"/>
    </row>
    <row r="105" spans="1:66" x14ac:dyDescent="0.25"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 t="e">
        <f t="shared" ref="AA105:AI105" si="52">+SUM(Q5:Q103)</f>
        <v>#N/A</v>
      </c>
      <c r="AB105" s="31" t="e">
        <f t="shared" si="52"/>
        <v>#N/A</v>
      </c>
      <c r="AC105" s="31" t="e">
        <f t="shared" si="52"/>
        <v>#N/A</v>
      </c>
      <c r="AD105" s="31" t="e">
        <f t="shared" si="52"/>
        <v>#N/A</v>
      </c>
      <c r="AE105" s="31" t="e">
        <f t="shared" si="52"/>
        <v>#N/A</v>
      </c>
      <c r="AF105" s="31" t="e">
        <f t="shared" si="52"/>
        <v>#N/A</v>
      </c>
      <c r="AG105" s="31" t="e">
        <f t="shared" si="52"/>
        <v>#N/A</v>
      </c>
      <c r="AH105" s="31" t="e">
        <f t="shared" si="52"/>
        <v>#N/A</v>
      </c>
      <c r="AI105" s="31" t="e">
        <f t="shared" si="52"/>
        <v>#N/A</v>
      </c>
      <c r="AJ105" s="9" t="e">
        <f ca="1">+MIN(AJ5:AJ103)</f>
        <v>#N/A</v>
      </c>
      <c r="AK105" s="9" t="e">
        <f t="shared" ref="AK105:BM105" ca="1" si="53">+MIN(AK5:AK103)</f>
        <v>#N/A</v>
      </c>
      <c r="AL105" s="9" t="e">
        <f t="shared" ca="1" si="53"/>
        <v>#N/A</v>
      </c>
      <c r="AM105" s="9" t="e">
        <f t="shared" ca="1" si="53"/>
        <v>#N/A</v>
      </c>
      <c r="AN105" s="9" t="e">
        <f t="shared" ca="1" si="53"/>
        <v>#N/A</v>
      </c>
      <c r="AO105" s="9" t="e">
        <f t="shared" ca="1" si="53"/>
        <v>#N/A</v>
      </c>
      <c r="AP105" s="9" t="e">
        <f t="shared" si="53"/>
        <v>#N/A</v>
      </c>
      <c r="AQ105" s="9" t="e">
        <f t="shared" ca="1" si="53"/>
        <v>#N/A</v>
      </c>
      <c r="AR105" s="9" t="e">
        <f t="shared" ca="1" si="53"/>
        <v>#N/A</v>
      </c>
      <c r="AS105" s="9" t="e">
        <f t="shared" ca="1" si="53"/>
        <v>#N/A</v>
      </c>
      <c r="AT105" s="9" t="e">
        <f t="shared" ca="1" si="53"/>
        <v>#N/A</v>
      </c>
      <c r="AU105" s="9" t="e">
        <f ca="1">+MIN(AU5:AU103)</f>
        <v>#N/A</v>
      </c>
      <c r="AV105" s="9" t="e">
        <f t="shared" ca="1" si="53"/>
        <v>#N/A</v>
      </c>
      <c r="AW105" s="9" t="e">
        <f t="shared" ca="1" si="53"/>
        <v>#N/A</v>
      </c>
      <c r="AX105" s="9" t="e">
        <f t="shared" si="53"/>
        <v>#N/A</v>
      </c>
      <c r="AY105" s="9" t="e">
        <f t="shared" ca="1" si="53"/>
        <v>#N/A</v>
      </c>
      <c r="AZ105" s="9" t="e">
        <f t="shared" ca="1" si="53"/>
        <v>#N/A</v>
      </c>
      <c r="BA105" s="9" t="e">
        <f ca="1">+MIN(BA5:BA103)</f>
        <v>#N/A</v>
      </c>
      <c r="BB105" s="9" t="e">
        <f ca="1">+MIN(BB5:BB103)</f>
        <v>#N/A</v>
      </c>
      <c r="BC105" s="9" t="e">
        <f t="shared" ca="1" si="53"/>
        <v>#N/A</v>
      </c>
      <c r="BD105" s="9" t="e">
        <f t="shared" ca="1" si="53"/>
        <v>#N/A</v>
      </c>
      <c r="BJ105" s="9"/>
      <c r="BK105" s="9">
        <f t="shared" ca="1" si="53"/>
        <v>45754</v>
      </c>
      <c r="BL105" s="9"/>
      <c r="BM105" s="9" t="e">
        <f t="shared" ca="1" si="53"/>
        <v>#N/A</v>
      </c>
      <c r="BN105" s="8"/>
    </row>
    <row r="106" spans="1:66" s="2" customFormat="1" x14ac:dyDescent="0.25">
      <c r="A106" s="32"/>
      <c r="B106" s="32"/>
      <c r="C106" s="26"/>
      <c r="D106" s="26"/>
      <c r="E106" s="189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9" t="e">
        <f t="shared" ref="AJ106:BK106" ca="1" si="54">+MAX(AJ5:AJ103)</f>
        <v>#N/A</v>
      </c>
      <c r="AK106" s="9" t="e">
        <f t="shared" ca="1" si="54"/>
        <v>#N/A</v>
      </c>
      <c r="AL106" s="9" t="e">
        <f t="shared" ca="1" si="54"/>
        <v>#N/A</v>
      </c>
      <c r="AM106" s="9" t="e">
        <f t="shared" ca="1" si="54"/>
        <v>#N/A</v>
      </c>
      <c r="AN106" s="9" t="e">
        <f t="shared" ca="1" si="54"/>
        <v>#N/A</v>
      </c>
      <c r="AO106" s="9" t="e">
        <f t="shared" ca="1" si="54"/>
        <v>#N/A</v>
      </c>
      <c r="AP106" s="9" t="e">
        <f t="shared" si="54"/>
        <v>#N/A</v>
      </c>
      <c r="AQ106" s="9" t="e">
        <f t="shared" ca="1" si="54"/>
        <v>#N/A</v>
      </c>
      <c r="AR106" s="9" t="e">
        <f t="shared" ca="1" si="54"/>
        <v>#N/A</v>
      </c>
      <c r="AS106" s="9" t="e">
        <f t="shared" ca="1" si="54"/>
        <v>#N/A</v>
      </c>
      <c r="AT106" s="9" t="e">
        <f t="shared" ca="1" si="54"/>
        <v>#N/A</v>
      </c>
      <c r="AU106" s="9" t="e">
        <f ca="1">+MAX(AU5:AU103)</f>
        <v>#N/A</v>
      </c>
      <c r="AV106" s="9" t="e">
        <f t="shared" ca="1" si="54"/>
        <v>#N/A</v>
      </c>
      <c r="AW106" s="9" t="e">
        <f t="shared" ca="1" si="54"/>
        <v>#N/A</v>
      </c>
      <c r="AX106" s="9" t="e">
        <f t="shared" si="54"/>
        <v>#N/A</v>
      </c>
      <c r="AY106" s="9" t="e">
        <f t="shared" ca="1" si="54"/>
        <v>#N/A</v>
      </c>
      <c r="AZ106" s="9" t="e">
        <f t="shared" ca="1" si="54"/>
        <v>#N/A</v>
      </c>
      <c r="BA106" s="9" t="e">
        <f ca="1">+MAX(BA5:BA103)</f>
        <v>#N/A</v>
      </c>
      <c r="BB106" s="9" t="e">
        <f ca="1">+MAX(BB5:BB103)</f>
        <v>#N/A</v>
      </c>
      <c r="BC106" s="9" t="e">
        <f t="shared" ca="1" si="54"/>
        <v>#N/A</v>
      </c>
      <c r="BD106" s="9" t="e">
        <f t="shared" ca="1" si="54"/>
        <v>#N/A</v>
      </c>
      <c r="BE106" s="130"/>
      <c r="BF106" s="130"/>
      <c r="BG106" s="137"/>
      <c r="BH106" s="137"/>
      <c r="BI106" s="137"/>
      <c r="BJ106" s="9"/>
      <c r="BK106" s="9">
        <f t="shared" ca="1" si="54"/>
        <v>45754</v>
      </c>
      <c r="BL106" s="9"/>
      <c r="BM106" s="9" t="e">
        <f ca="1">+MAX(BM5:BM103)</f>
        <v>#N/A</v>
      </c>
      <c r="BN106" s="9"/>
    </row>
    <row r="115" spans="50:50" x14ac:dyDescent="0.25">
      <c r="AX115" s="8"/>
    </row>
  </sheetData>
  <autoFilter ref="A1:BI106" xr:uid="{91D05189-AE78-4EEA-896A-4B9CDAF82742}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DFDE1925-69BB-4686-A1AD-872EEB598B60}">
          <x14:formula1>
            <xm:f>POSTE!$B$2:$B$11</xm:f>
          </x14:formula1>
          <xm:sqref>AJ1:BB1 BE2:BH2 G2:AI2</xm:sqref>
        </x14:dataValidation>
        <x14:dataValidation type="list" allowBlank="1" showInputMessage="1" showErrorMessage="1" xr:uid="{103C5256-9211-409C-A433-BCCDD9E7461A}">
          <x14:formula1>
            <xm:f>POSTE!$B$2:$B$12</xm:f>
          </x14:formula1>
          <xm:sqref>BG1:BH1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A5840-98A7-4F4F-B52B-B6088795B940}">
  <sheetPr>
    <tabColor rgb="FFFF0000"/>
  </sheetPr>
  <dimension ref="A1:BD221"/>
  <sheetViews>
    <sheetView zoomScale="70" zoomScaleNormal="70" workbookViewId="0">
      <pane xSplit="5" ySplit="3" topLeftCell="F4" activePane="bottomRight" state="frozen"/>
      <selection activeCell="L2" sqref="L2"/>
      <selection pane="topRight" activeCell="O2" sqref="O2"/>
      <selection pane="bottomLeft" activeCell="L5" sqref="L5"/>
      <selection pane="bottomRight" activeCell="B15" sqref="B15"/>
    </sheetView>
  </sheetViews>
  <sheetFormatPr defaultColWidth="11.42578125" defaultRowHeight="15" outlineLevelRow="1" outlineLevelCol="1" x14ac:dyDescent="0.25"/>
  <cols>
    <col min="1" max="1" width="16.28515625" style="15" bestFit="1" customWidth="1"/>
    <col min="2" max="2" width="16.28515625" style="15" customWidth="1"/>
    <col min="3" max="3" width="5.140625" style="15" bestFit="1" customWidth="1"/>
    <col min="4" max="4" width="12" style="8" bestFit="1" customWidth="1"/>
    <col min="5" max="5" width="27.7109375" style="8" customWidth="1"/>
    <col min="6" max="6" width="47.7109375" style="8" customWidth="1" outlineLevel="1"/>
    <col min="7" max="7" width="20.42578125" style="9" bestFit="1" customWidth="1"/>
    <col min="8" max="8" width="24" style="8" customWidth="1" outlineLevel="1"/>
    <col min="9" max="9" width="27" style="8" customWidth="1" outlineLevel="1"/>
    <col min="10" max="13" width="24" style="8" customWidth="1" outlineLevel="1"/>
    <col min="14" max="14" width="20.42578125" style="9" customWidth="1"/>
    <col min="15" max="15" width="15.7109375" style="10" bestFit="1" customWidth="1"/>
    <col min="16" max="16" width="12.28515625" style="8" bestFit="1" customWidth="1"/>
    <col min="17" max="17" width="13.85546875" style="8" bestFit="1" customWidth="1"/>
    <col min="18" max="18" width="11.28515625" style="8" bestFit="1" customWidth="1"/>
    <col min="19" max="19" width="13.85546875" style="8" bestFit="1" customWidth="1"/>
    <col min="20" max="20" width="12.5703125" style="8" bestFit="1" customWidth="1"/>
    <col min="21" max="21" width="13.85546875" style="8" bestFit="1" customWidth="1"/>
    <col min="22" max="22" width="12.5703125" style="8" bestFit="1" customWidth="1"/>
    <col min="23" max="23" width="13.85546875" style="8" bestFit="1" customWidth="1"/>
    <col min="24" max="24" width="13.28515625" style="8" bestFit="1" customWidth="1"/>
    <col min="25" max="25" width="13.85546875" style="8" bestFit="1" customWidth="1"/>
    <col min="26" max="26" width="12.5703125" style="8" bestFit="1" customWidth="1"/>
    <col min="27" max="27" width="13.85546875" style="8" bestFit="1" customWidth="1"/>
    <col min="28" max="28" width="11.28515625" style="8" bestFit="1" customWidth="1"/>
    <col min="29" max="29" width="13.85546875" style="8" bestFit="1" customWidth="1"/>
    <col min="30" max="30" width="11.28515625" style="8" bestFit="1" customWidth="1"/>
    <col min="31" max="31" width="12.5703125" style="8" bestFit="1" customWidth="1"/>
    <col min="32" max="32" width="9.28515625" style="8" bestFit="1" customWidth="1"/>
    <col min="33" max="33" width="13.85546875" style="8" bestFit="1" customWidth="1"/>
    <col min="34" max="34" width="11.28515625" style="8" customWidth="1"/>
    <col min="35" max="35" width="12.5703125" style="15" bestFit="1" customWidth="1"/>
    <col min="36" max="36" width="17.28515625" style="15" bestFit="1" customWidth="1"/>
    <col min="37" max="37" width="27.140625" style="171" bestFit="1" customWidth="1"/>
    <col min="38" max="38" width="12.85546875" bestFit="1" customWidth="1"/>
    <col min="39" max="55" width="10.85546875" customWidth="1"/>
    <col min="56" max="16384" width="11.42578125" style="8"/>
  </cols>
  <sheetData>
    <row r="1" spans="1:55" s="15" customFormat="1" ht="15.75" thickBot="1" x14ac:dyDescent="0.3">
      <c r="A1" s="164" t="s">
        <v>0</v>
      </c>
      <c r="B1" s="172" t="s">
        <v>239</v>
      </c>
      <c r="C1" s="172"/>
      <c r="D1" s="27" t="s">
        <v>22</v>
      </c>
      <c r="E1" s="27" t="s">
        <v>1</v>
      </c>
      <c r="F1" s="27" t="s">
        <v>18</v>
      </c>
      <c r="G1" s="28" t="s">
        <v>164</v>
      </c>
      <c r="H1" s="27" t="s">
        <v>189</v>
      </c>
      <c r="I1" s="27" t="s">
        <v>190</v>
      </c>
      <c r="J1" s="27" t="s">
        <v>191</v>
      </c>
      <c r="K1" s="27" t="s">
        <v>192</v>
      </c>
      <c r="L1" s="27" t="s">
        <v>193</v>
      </c>
      <c r="M1" s="160" t="s">
        <v>195</v>
      </c>
      <c r="N1" s="28" t="s">
        <v>196</v>
      </c>
      <c r="O1" s="27" t="s">
        <v>24</v>
      </c>
      <c r="P1" s="176" t="s">
        <v>14</v>
      </c>
      <c r="Q1" s="177"/>
      <c r="R1" s="176" t="s">
        <v>35</v>
      </c>
      <c r="S1" s="177"/>
      <c r="T1" s="176" t="s">
        <v>36</v>
      </c>
      <c r="U1" s="177"/>
      <c r="V1" s="176" t="s">
        <v>37</v>
      </c>
      <c r="W1" s="177"/>
      <c r="X1" s="176" t="s">
        <v>38</v>
      </c>
      <c r="Y1" s="177"/>
      <c r="Z1" s="176" t="s">
        <v>39</v>
      </c>
      <c r="AA1" s="177"/>
      <c r="AB1" s="176" t="s">
        <v>40</v>
      </c>
      <c r="AC1" s="177"/>
      <c r="AD1" s="176" t="s">
        <v>12</v>
      </c>
      <c r="AE1" s="177"/>
      <c r="AF1" s="176" t="s">
        <v>4</v>
      </c>
      <c r="AG1" s="177"/>
      <c r="AH1" s="122" t="s">
        <v>122</v>
      </c>
      <c r="AI1" s="176" t="s">
        <v>101</v>
      </c>
      <c r="AJ1" s="177"/>
      <c r="AK1" s="168" t="s">
        <v>237</v>
      </c>
    </row>
    <row r="2" spans="1:55" s="15" customFormat="1" ht="15.75" thickBot="1" x14ac:dyDescent="0.3">
      <c r="A2" s="164"/>
      <c r="B2" s="172"/>
      <c r="C2" s="172"/>
      <c r="D2" s="27"/>
      <c r="E2" s="27"/>
      <c r="F2" s="27"/>
      <c r="G2" s="28" t="s">
        <v>21</v>
      </c>
      <c r="H2" s="28" t="s">
        <v>21</v>
      </c>
      <c r="I2" s="28" t="s">
        <v>21</v>
      </c>
      <c r="J2" s="28" t="s">
        <v>33</v>
      </c>
      <c r="K2" s="28" t="s">
        <v>33</v>
      </c>
      <c r="L2" s="28" t="s">
        <v>33</v>
      </c>
      <c r="M2" s="161" t="s">
        <v>194</v>
      </c>
      <c r="N2" s="28" t="s">
        <v>21</v>
      </c>
      <c r="O2" s="27" t="s">
        <v>76</v>
      </c>
      <c r="P2" s="27" t="s">
        <v>16</v>
      </c>
      <c r="Q2" s="27" t="s">
        <v>17</v>
      </c>
      <c r="R2" s="27" t="s">
        <v>16</v>
      </c>
      <c r="S2" s="27" t="s">
        <v>17</v>
      </c>
      <c r="T2" s="27" t="s">
        <v>16</v>
      </c>
      <c r="U2" s="27" t="s">
        <v>17</v>
      </c>
      <c r="V2" s="27" t="s">
        <v>16</v>
      </c>
      <c r="W2" s="27" t="s">
        <v>17</v>
      </c>
      <c r="X2" s="27" t="s">
        <v>16</v>
      </c>
      <c r="Y2" s="27" t="s">
        <v>17</v>
      </c>
      <c r="Z2" s="27" t="s">
        <v>16</v>
      </c>
      <c r="AA2" s="27" t="s">
        <v>17</v>
      </c>
      <c r="AB2" s="27" t="s">
        <v>16</v>
      </c>
      <c r="AC2" s="27" t="s">
        <v>17</v>
      </c>
      <c r="AD2" s="27" t="s">
        <v>16</v>
      </c>
      <c r="AE2" s="27" t="s">
        <v>17</v>
      </c>
      <c r="AF2" s="29" t="s">
        <v>16</v>
      </c>
      <c r="AG2" s="147" t="s">
        <v>154</v>
      </c>
      <c r="AH2" s="123" t="s">
        <v>123</v>
      </c>
      <c r="AI2" s="29" t="s">
        <v>16</v>
      </c>
      <c r="AJ2" s="30" t="s">
        <v>17</v>
      </c>
      <c r="AK2" s="168"/>
    </row>
    <row r="3" spans="1:55" s="163" customFormat="1" ht="15.75" outlineLevel="1" thickBot="1" x14ac:dyDescent="0.3">
      <c r="A3" s="162" t="s">
        <v>74</v>
      </c>
      <c r="B3" s="162"/>
      <c r="C3" s="162"/>
      <c r="D3" s="162">
        <f>+COLUMN()</f>
        <v>4</v>
      </c>
      <c r="E3" s="162">
        <f t="shared" ref="E3:AH3" si="0">+COLUMN()</f>
        <v>5</v>
      </c>
      <c r="F3" s="162">
        <f t="shared" si="0"/>
        <v>6</v>
      </c>
      <c r="G3" s="162">
        <f t="shared" si="0"/>
        <v>7</v>
      </c>
      <c r="H3" s="162">
        <f t="shared" si="0"/>
        <v>8</v>
      </c>
      <c r="I3" s="162">
        <f t="shared" si="0"/>
        <v>9</v>
      </c>
      <c r="J3" s="162">
        <f t="shared" si="0"/>
        <v>10</v>
      </c>
      <c r="K3" s="162">
        <f t="shared" si="0"/>
        <v>11</v>
      </c>
      <c r="L3" s="162">
        <f t="shared" si="0"/>
        <v>12</v>
      </c>
      <c r="M3" s="162">
        <f t="shared" si="0"/>
        <v>13</v>
      </c>
      <c r="N3" s="162">
        <f t="shared" si="0"/>
        <v>14</v>
      </c>
      <c r="O3" s="162">
        <f t="shared" si="0"/>
        <v>15</v>
      </c>
      <c r="P3" s="162">
        <f t="shared" si="0"/>
        <v>16</v>
      </c>
      <c r="Q3" s="162">
        <f t="shared" si="0"/>
        <v>17</v>
      </c>
      <c r="R3" s="162">
        <f t="shared" si="0"/>
        <v>18</v>
      </c>
      <c r="S3" s="162">
        <f t="shared" si="0"/>
        <v>19</v>
      </c>
      <c r="T3" s="162">
        <f t="shared" si="0"/>
        <v>20</v>
      </c>
      <c r="U3" s="162">
        <f t="shared" si="0"/>
        <v>21</v>
      </c>
      <c r="V3" s="162">
        <f t="shared" si="0"/>
        <v>22</v>
      </c>
      <c r="W3" s="162">
        <f t="shared" si="0"/>
        <v>23</v>
      </c>
      <c r="X3" s="162">
        <f t="shared" si="0"/>
        <v>24</v>
      </c>
      <c r="Y3" s="162">
        <f t="shared" si="0"/>
        <v>25</v>
      </c>
      <c r="Z3" s="162">
        <f t="shared" si="0"/>
        <v>26</v>
      </c>
      <c r="AA3" s="162">
        <f t="shared" si="0"/>
        <v>27</v>
      </c>
      <c r="AB3" s="162">
        <f t="shared" si="0"/>
        <v>28</v>
      </c>
      <c r="AC3" s="162">
        <f t="shared" si="0"/>
        <v>29</v>
      </c>
      <c r="AD3" s="162">
        <f t="shared" si="0"/>
        <v>30</v>
      </c>
      <c r="AE3" s="162">
        <f t="shared" si="0"/>
        <v>31</v>
      </c>
      <c r="AF3" s="162">
        <f t="shared" si="0"/>
        <v>32</v>
      </c>
      <c r="AG3" s="162">
        <f t="shared" si="0"/>
        <v>33</v>
      </c>
      <c r="AH3" s="162">
        <f t="shared" si="0"/>
        <v>34</v>
      </c>
      <c r="AI3" s="66"/>
      <c r="AJ3" s="66"/>
      <c r="AK3" s="168"/>
    </row>
    <row r="4" spans="1:55" ht="16.5" customHeight="1" x14ac:dyDescent="0.25">
      <c r="A4" s="167">
        <f>IF(I4="","",COUNTIF($AK$4:$AK$109,"&lt;="&amp;AK4))</f>
        <v>4</v>
      </c>
      <c r="B4" s="167"/>
      <c r="C4" s="8">
        <f>ROW()-3</f>
        <v>1</v>
      </c>
      <c r="D4" s="101" t="s">
        <v>225</v>
      </c>
      <c r="E4" s="96" t="s">
        <v>213</v>
      </c>
      <c r="F4" s="96" t="s">
        <v>201</v>
      </c>
      <c r="G4" s="97">
        <v>45855</v>
      </c>
      <c r="H4" s="165">
        <v>45648</v>
      </c>
      <c r="I4" s="165">
        <v>45660</v>
      </c>
      <c r="J4" s="96">
        <v>15</v>
      </c>
      <c r="K4" s="96">
        <v>15</v>
      </c>
      <c r="L4" s="96">
        <v>30</v>
      </c>
      <c r="M4" s="166">
        <f>+IF(+ISBLANK(I4)=TRUE," ",+WORKDAY.INTL(I4,+J4+K4+L4,,CONGÉ!$C$2:$C$80))</f>
        <v>45744</v>
      </c>
      <c r="N4" s="97"/>
      <c r="O4" s="98" t="s">
        <v>2</v>
      </c>
      <c r="P4" s="99"/>
      <c r="Q4" s="100"/>
      <c r="R4" s="99"/>
      <c r="S4" s="100"/>
      <c r="T4" s="99"/>
      <c r="U4" s="100"/>
      <c r="V4" s="99"/>
      <c r="W4" s="100"/>
      <c r="X4" s="99"/>
      <c r="Y4" s="100"/>
      <c r="Z4" s="99">
        <v>5</v>
      </c>
      <c r="AA4" s="100">
        <v>527</v>
      </c>
      <c r="AB4" s="99"/>
      <c r="AC4" s="100"/>
      <c r="AD4" s="99"/>
      <c r="AE4" s="100"/>
      <c r="AF4" s="99"/>
      <c r="AG4" s="100"/>
      <c r="AH4" s="124">
        <v>40</v>
      </c>
      <c r="AI4" s="46">
        <f>P4+R4+T4+V4+X4+Z4+AB4+AD4</f>
        <v>5</v>
      </c>
      <c r="AJ4" s="46">
        <f>Q4+S4+U4+W4+Y4+AA4+AC4+AE4</f>
        <v>527</v>
      </c>
      <c r="AK4" s="169" t="str">
        <f>IF(O4="oui",TEXT(IF(TRIM(M4)="",99999,M4),"0")&amp;TEXT(IF(N4="",99999,N4),"|0")&amp;TEXT(ROW(),"|0000"),"z")</f>
        <v>45744|99999|0004</v>
      </c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</row>
    <row r="5" spans="1:55" ht="16.5" customHeight="1" x14ac:dyDescent="0.25">
      <c r="A5" s="167">
        <f t="shared" ref="A5:A68" si="1">IF(I5="","",COUNTIF($AK$4:$AK$109,"&lt;="&amp;AK5))</f>
        <v>11</v>
      </c>
      <c r="B5" s="167"/>
      <c r="C5" s="8">
        <f t="shared" ref="C5:C68" si="2">ROW()-3</f>
        <v>2</v>
      </c>
      <c r="D5" s="101" t="s">
        <v>226</v>
      </c>
      <c r="E5" s="96" t="s">
        <v>214</v>
      </c>
      <c r="F5" s="96" t="s">
        <v>202</v>
      </c>
      <c r="G5" s="97">
        <v>45843</v>
      </c>
      <c r="H5" s="165">
        <v>45667</v>
      </c>
      <c r="I5" s="165">
        <v>45672</v>
      </c>
      <c r="J5" s="96">
        <v>14</v>
      </c>
      <c r="K5" s="96">
        <v>14</v>
      </c>
      <c r="L5" s="96">
        <v>60</v>
      </c>
      <c r="M5" s="166">
        <f>+IF(+ISBLANK(I5)=TRUE," ",+WORKDAY.INTL(I5,+J5+K5+L5,,CONGÉ!$C$2:$C$80))</f>
        <v>45796</v>
      </c>
      <c r="N5" s="97"/>
      <c r="O5" s="98" t="s">
        <v>2</v>
      </c>
      <c r="P5" s="99"/>
      <c r="Q5" s="100"/>
      <c r="R5" s="99"/>
      <c r="S5" s="100"/>
      <c r="T5" s="99"/>
      <c r="U5" s="100"/>
      <c r="V5" s="99"/>
      <c r="W5" s="100"/>
      <c r="X5" s="99"/>
      <c r="Y5" s="100"/>
      <c r="Z5" s="99"/>
      <c r="AA5" s="100"/>
      <c r="AB5" s="99"/>
      <c r="AC5" s="100"/>
      <c r="AD5" s="99"/>
      <c r="AE5" s="100"/>
      <c r="AF5" s="99">
        <v>3</v>
      </c>
      <c r="AG5" s="100">
        <v>120</v>
      </c>
      <c r="AH5" s="124"/>
      <c r="AI5" s="46">
        <f t="shared" ref="AI5:AJ5" si="3">P5+R5+T5+V5+X5+Z5+AB5+AD5</f>
        <v>0</v>
      </c>
      <c r="AJ5" s="46">
        <f t="shared" si="3"/>
        <v>0</v>
      </c>
      <c r="AK5" s="169" t="str">
        <f t="shared" ref="AK5:AK68" si="4">IF(O5="oui",TEXT(IF(TRIM(M5)="",99999,M5),"0")&amp;TEXT(IF(N5="",99999,N5),"|0")&amp;TEXT(ROW(),"|0000"),"z")</f>
        <v>45796|99999|0005</v>
      </c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</row>
    <row r="6" spans="1:55" ht="16.5" customHeight="1" x14ac:dyDescent="0.25">
      <c r="A6" s="167">
        <f t="shared" si="1"/>
        <v>3</v>
      </c>
      <c r="B6" s="167"/>
      <c r="C6" s="8">
        <f t="shared" si="2"/>
        <v>3</v>
      </c>
      <c r="D6" s="101" t="s">
        <v>227</v>
      </c>
      <c r="E6" s="96" t="s">
        <v>215</v>
      </c>
      <c r="F6" s="96" t="s">
        <v>203</v>
      </c>
      <c r="G6" s="97">
        <v>45898</v>
      </c>
      <c r="H6" s="165">
        <v>45682</v>
      </c>
      <c r="I6" s="165">
        <v>45703</v>
      </c>
      <c r="J6" s="96">
        <v>5</v>
      </c>
      <c r="K6" s="96">
        <v>5</v>
      </c>
      <c r="L6" s="96">
        <v>15</v>
      </c>
      <c r="M6" s="166">
        <f>+IF(+ISBLANK(I6)=TRUE," ",+WORKDAY.INTL(I6,+J6+K6+L6,,CONGÉ!$C$2:$C$80))</f>
        <v>45737</v>
      </c>
      <c r="N6" s="97">
        <v>45747</v>
      </c>
      <c r="O6" s="98" t="s">
        <v>2</v>
      </c>
      <c r="P6" s="99">
        <v>0</v>
      </c>
      <c r="Q6" s="100">
        <v>0</v>
      </c>
      <c r="R6" s="99">
        <v>11</v>
      </c>
      <c r="S6" s="100">
        <v>18233</v>
      </c>
      <c r="T6" s="99">
        <v>19</v>
      </c>
      <c r="U6" s="100">
        <v>2999</v>
      </c>
      <c r="V6" s="99">
        <v>0</v>
      </c>
      <c r="W6" s="100">
        <v>0</v>
      </c>
      <c r="X6" s="99">
        <v>3</v>
      </c>
      <c r="Y6" s="100">
        <v>43</v>
      </c>
      <c r="Z6" s="99">
        <v>3</v>
      </c>
      <c r="AA6" s="100">
        <v>16</v>
      </c>
      <c r="AB6" s="99">
        <v>0</v>
      </c>
      <c r="AC6" s="100">
        <v>0</v>
      </c>
      <c r="AD6" s="99">
        <v>0</v>
      </c>
      <c r="AE6" s="100">
        <v>0</v>
      </c>
      <c r="AF6" s="99">
        <v>24</v>
      </c>
      <c r="AG6" s="100">
        <v>50</v>
      </c>
      <c r="AH6" s="124"/>
      <c r="AI6" s="46">
        <f t="shared" ref="AI6:AJ6" si="5">P6+R6+T6+V6+X6+Z6+AB6+AD6</f>
        <v>36</v>
      </c>
      <c r="AJ6" s="46">
        <f t="shared" si="5"/>
        <v>21291</v>
      </c>
      <c r="AK6" s="169" t="str">
        <f t="shared" si="4"/>
        <v>45737|45747|0006</v>
      </c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</row>
    <row r="7" spans="1:55" ht="16.5" customHeight="1" x14ac:dyDescent="0.25">
      <c r="A7" s="167">
        <f t="shared" si="1"/>
        <v>10</v>
      </c>
      <c r="B7" s="167"/>
      <c r="C7" s="8">
        <f t="shared" si="2"/>
        <v>4</v>
      </c>
      <c r="D7" s="101" t="s">
        <v>228</v>
      </c>
      <c r="E7" s="96" t="s">
        <v>216</v>
      </c>
      <c r="F7" s="96" t="s">
        <v>204</v>
      </c>
      <c r="G7" s="97">
        <v>45898</v>
      </c>
      <c r="H7" s="165">
        <v>45716</v>
      </c>
      <c r="I7" s="165">
        <v>45718</v>
      </c>
      <c r="J7" s="96">
        <v>10</v>
      </c>
      <c r="K7" s="96">
        <v>10</v>
      </c>
      <c r="L7" s="96">
        <v>30</v>
      </c>
      <c r="M7" s="166">
        <f>+IF(+ISBLANK(I7)=TRUE," ",+WORKDAY.INTL(I7,+J7+K7+L7,,CONGÉ!$C$2:$C$80))</f>
        <v>45786</v>
      </c>
      <c r="N7" s="97"/>
      <c r="O7" s="98" t="s">
        <v>2</v>
      </c>
      <c r="P7" s="99">
        <v>0</v>
      </c>
      <c r="Q7" s="100">
        <v>0</v>
      </c>
      <c r="R7" s="99">
        <v>10</v>
      </c>
      <c r="S7" s="100">
        <v>34332</v>
      </c>
      <c r="T7" s="99">
        <v>32</v>
      </c>
      <c r="U7" s="100">
        <v>9558</v>
      </c>
      <c r="V7" s="99">
        <v>1</v>
      </c>
      <c r="W7" s="100">
        <v>21</v>
      </c>
      <c r="X7" s="99">
        <v>1</v>
      </c>
      <c r="Y7" s="100">
        <v>394</v>
      </c>
      <c r="Z7" s="99">
        <v>1</v>
      </c>
      <c r="AA7" s="100">
        <v>10</v>
      </c>
      <c r="AB7" s="99"/>
      <c r="AC7" s="100"/>
      <c r="AD7" s="99"/>
      <c r="AE7" s="100"/>
      <c r="AF7" s="99">
        <v>20</v>
      </c>
      <c r="AG7" s="100">
        <v>150</v>
      </c>
      <c r="AH7" s="124"/>
      <c r="AI7" s="46">
        <f t="shared" ref="AI7:AJ7" si="6">P7+R7+T7+V7+X7+Z7+AB7+AD7</f>
        <v>45</v>
      </c>
      <c r="AJ7" s="46">
        <f t="shared" si="6"/>
        <v>44315</v>
      </c>
      <c r="AK7" s="169" t="str">
        <f t="shared" si="4"/>
        <v>45786|99999|0007</v>
      </c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</row>
    <row r="8" spans="1:55" ht="16.5" customHeight="1" x14ac:dyDescent="0.25">
      <c r="A8" s="167">
        <f t="shared" si="1"/>
        <v>7</v>
      </c>
      <c r="B8" s="167"/>
      <c r="C8" s="8">
        <f t="shared" si="2"/>
        <v>5</v>
      </c>
      <c r="D8" s="101" t="s">
        <v>229</v>
      </c>
      <c r="E8" s="96" t="s">
        <v>217</v>
      </c>
      <c r="F8" s="96" t="s">
        <v>205</v>
      </c>
      <c r="G8" s="97">
        <v>45814</v>
      </c>
      <c r="H8" s="165">
        <v>45672</v>
      </c>
      <c r="I8" s="165">
        <v>45731</v>
      </c>
      <c r="J8" s="96">
        <v>5</v>
      </c>
      <c r="K8" s="96">
        <v>5</v>
      </c>
      <c r="L8" s="96">
        <v>10</v>
      </c>
      <c r="M8" s="166">
        <f>+IF(+ISBLANK(I8)=TRUE," ",+WORKDAY.INTL(I8,+J8+K8+L8,,CONGÉ!$C$2:$C$80))</f>
        <v>45758</v>
      </c>
      <c r="N8" s="97"/>
      <c r="O8" s="98" t="s">
        <v>2</v>
      </c>
      <c r="P8" s="99"/>
      <c r="Q8" s="100"/>
      <c r="R8" s="99">
        <v>10</v>
      </c>
      <c r="S8" s="100">
        <v>29486</v>
      </c>
      <c r="T8" s="99">
        <v>138</v>
      </c>
      <c r="U8" s="100">
        <v>25117</v>
      </c>
      <c r="V8" s="99">
        <v>107</v>
      </c>
      <c r="W8" s="100">
        <v>2407</v>
      </c>
      <c r="X8" s="99">
        <v>109</v>
      </c>
      <c r="Y8" s="100">
        <v>14719</v>
      </c>
      <c r="Z8" s="99">
        <v>151</v>
      </c>
      <c r="AA8" s="100">
        <v>3456</v>
      </c>
      <c r="AB8" s="99">
        <v>0</v>
      </c>
      <c r="AC8" s="100">
        <v>0</v>
      </c>
      <c r="AD8" s="99">
        <v>0</v>
      </c>
      <c r="AE8" s="100">
        <v>0</v>
      </c>
      <c r="AF8" s="99">
        <v>56</v>
      </c>
      <c r="AG8" s="100">
        <v>28</v>
      </c>
      <c r="AH8" s="124">
        <v>220</v>
      </c>
      <c r="AI8" s="46">
        <f t="shared" ref="AI8:AJ8" si="7">P8+R8+T8+V8+X8+Z8+AB8+AD8</f>
        <v>515</v>
      </c>
      <c r="AJ8" s="46">
        <f t="shared" si="7"/>
        <v>75185</v>
      </c>
      <c r="AK8" s="169" t="str">
        <f t="shared" si="4"/>
        <v>45758|99999|0008</v>
      </c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</row>
    <row r="9" spans="1:55" ht="16.5" customHeight="1" x14ac:dyDescent="0.25">
      <c r="A9" s="167">
        <f t="shared" si="1"/>
        <v>5</v>
      </c>
      <c r="B9" s="167"/>
      <c r="C9" s="8">
        <f t="shared" si="2"/>
        <v>6</v>
      </c>
      <c r="D9" s="101" t="s">
        <v>230</v>
      </c>
      <c r="E9" s="96" t="s">
        <v>218</v>
      </c>
      <c r="F9" s="96" t="s">
        <v>206</v>
      </c>
      <c r="G9" s="97">
        <v>45855</v>
      </c>
      <c r="H9" s="165">
        <v>45726</v>
      </c>
      <c r="I9" s="165">
        <v>45731</v>
      </c>
      <c r="J9" s="96">
        <v>2</v>
      </c>
      <c r="K9" s="96">
        <v>2</v>
      </c>
      <c r="L9" s="96">
        <v>6</v>
      </c>
      <c r="M9" s="166">
        <f>+IF(+ISBLANK(I9)=TRUE," ",+WORKDAY.INTL(I9,+J9+K9+L9,,CONGÉ!$C$2:$C$80))</f>
        <v>45744</v>
      </c>
      <c r="N9" s="97"/>
      <c r="O9" s="98" t="s">
        <v>2</v>
      </c>
      <c r="P9" s="99">
        <v>1</v>
      </c>
      <c r="Q9" s="100">
        <v>402</v>
      </c>
      <c r="R9" s="99">
        <v>18</v>
      </c>
      <c r="S9" s="100">
        <v>30336</v>
      </c>
      <c r="T9" s="99">
        <v>146</v>
      </c>
      <c r="U9" s="100">
        <v>45185</v>
      </c>
      <c r="V9" s="99">
        <v>206</v>
      </c>
      <c r="W9" s="100">
        <v>17577</v>
      </c>
      <c r="X9" s="99">
        <v>28</v>
      </c>
      <c r="Y9" s="100">
        <v>3174</v>
      </c>
      <c r="Z9" s="99">
        <v>136</v>
      </c>
      <c r="AA9" s="100">
        <v>12246</v>
      </c>
      <c r="AB9" s="99">
        <v>0</v>
      </c>
      <c r="AC9" s="100">
        <v>0</v>
      </c>
      <c r="AD9" s="99">
        <v>21</v>
      </c>
      <c r="AE9" s="100">
        <v>12160</v>
      </c>
      <c r="AF9" s="99">
        <v>23</v>
      </c>
      <c r="AG9" s="100">
        <v>236</v>
      </c>
      <c r="AH9" s="124"/>
      <c r="AI9" s="46">
        <f>P9+R9+T9+V9+X9+Z9+AB9+AD9</f>
        <v>556</v>
      </c>
      <c r="AJ9" s="46">
        <f>Q9+S9+U9+W9+Y9+AA9+AC9+AE9</f>
        <v>121080</v>
      </c>
      <c r="AK9" s="169" t="str">
        <f t="shared" si="4"/>
        <v>45744|99999|0009</v>
      </c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</row>
    <row r="10" spans="1:55" ht="16.5" customHeight="1" x14ac:dyDescent="0.25">
      <c r="A10" s="167">
        <f t="shared" si="1"/>
        <v>1</v>
      </c>
      <c r="B10" s="167"/>
      <c r="C10" s="8">
        <f t="shared" si="2"/>
        <v>7</v>
      </c>
      <c r="D10" s="101" t="s">
        <v>231</v>
      </c>
      <c r="E10" s="96" t="s">
        <v>219</v>
      </c>
      <c r="F10" s="96" t="s">
        <v>207</v>
      </c>
      <c r="G10" s="97">
        <v>45782</v>
      </c>
      <c r="H10" s="165">
        <v>45636</v>
      </c>
      <c r="I10" s="165">
        <v>45646</v>
      </c>
      <c r="J10" s="96">
        <v>2</v>
      </c>
      <c r="K10" s="96">
        <v>2</v>
      </c>
      <c r="L10" s="96">
        <v>5</v>
      </c>
      <c r="M10" s="166">
        <f>+IF(+ISBLANK(I10)=TRUE," ",+WORKDAY.INTL(I10,+J10+K10+L10,,CONGÉ!$C$2:$C$80))</f>
        <v>45673</v>
      </c>
      <c r="N10" s="97">
        <v>45692</v>
      </c>
      <c r="O10" s="98" t="s">
        <v>2</v>
      </c>
      <c r="P10" s="99">
        <v>7</v>
      </c>
      <c r="Q10" s="100">
        <v>46958</v>
      </c>
      <c r="R10" s="99">
        <v>2</v>
      </c>
      <c r="S10" s="100">
        <v>3672</v>
      </c>
      <c r="T10" s="99">
        <v>0</v>
      </c>
      <c r="U10" s="100">
        <v>0</v>
      </c>
      <c r="V10" s="99">
        <v>0</v>
      </c>
      <c r="W10" s="100">
        <v>0</v>
      </c>
      <c r="X10" s="99">
        <v>0</v>
      </c>
      <c r="Y10" s="100">
        <v>0</v>
      </c>
      <c r="Z10" s="99">
        <v>0</v>
      </c>
      <c r="AA10" s="100">
        <v>0</v>
      </c>
      <c r="AB10" s="99">
        <v>0</v>
      </c>
      <c r="AC10" s="100">
        <v>0</v>
      </c>
      <c r="AD10" s="99">
        <v>0</v>
      </c>
      <c r="AE10" s="100">
        <v>0</v>
      </c>
      <c r="AF10" s="99">
        <v>5</v>
      </c>
      <c r="AG10" s="100">
        <v>384</v>
      </c>
      <c r="AH10" s="124"/>
      <c r="AI10" s="46">
        <f t="shared" ref="AI10:AJ10" si="8">P10+R10+T10+V10+X10+Z10+AB10+AD10</f>
        <v>9</v>
      </c>
      <c r="AJ10" s="46">
        <f t="shared" si="8"/>
        <v>50630</v>
      </c>
      <c r="AK10" s="169" t="str">
        <f t="shared" si="4"/>
        <v>45673|45692|0010</v>
      </c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</row>
    <row r="11" spans="1:55" ht="16.5" customHeight="1" x14ac:dyDescent="0.25">
      <c r="A11" s="167">
        <f t="shared" si="1"/>
        <v>6</v>
      </c>
      <c r="B11" s="167">
        <v>3.1</v>
      </c>
      <c r="C11" s="8">
        <f t="shared" si="2"/>
        <v>8</v>
      </c>
      <c r="D11" s="101" t="s">
        <v>232</v>
      </c>
      <c r="E11" s="96" t="s">
        <v>220</v>
      </c>
      <c r="F11" s="96" t="s">
        <v>208</v>
      </c>
      <c r="G11" s="97">
        <v>45777</v>
      </c>
      <c r="H11" s="165">
        <v>45698</v>
      </c>
      <c r="I11" s="165">
        <v>45703</v>
      </c>
      <c r="J11" s="96">
        <v>10</v>
      </c>
      <c r="K11" s="96">
        <v>5</v>
      </c>
      <c r="L11" s="96">
        <v>15</v>
      </c>
      <c r="M11" s="166">
        <f>+IF(+ISBLANK(I11)=TRUE," ",+WORKDAY.INTL(I11,+J11+K11+L11,,CONGÉ!$C$2:$C$80))</f>
        <v>45744</v>
      </c>
      <c r="N11" s="97"/>
      <c r="O11" s="98" t="s">
        <v>2</v>
      </c>
      <c r="P11" s="99">
        <v>4</v>
      </c>
      <c r="Q11" s="100">
        <v>97</v>
      </c>
      <c r="R11" s="99">
        <v>14</v>
      </c>
      <c r="S11" s="100">
        <v>4882</v>
      </c>
      <c r="T11" s="99">
        <v>155</v>
      </c>
      <c r="U11" s="100">
        <v>21702</v>
      </c>
      <c r="V11" s="99">
        <v>289</v>
      </c>
      <c r="W11" s="100">
        <v>8818</v>
      </c>
      <c r="X11" s="99">
        <v>11</v>
      </c>
      <c r="Y11" s="100">
        <v>695</v>
      </c>
      <c r="Z11" s="99">
        <v>90</v>
      </c>
      <c r="AA11" s="100">
        <v>2116</v>
      </c>
      <c r="AB11" s="99">
        <v>0</v>
      </c>
      <c r="AC11" s="100">
        <v>0</v>
      </c>
      <c r="AD11" s="99">
        <v>3</v>
      </c>
      <c r="AE11" s="100">
        <v>20</v>
      </c>
      <c r="AF11" s="99">
        <v>35</v>
      </c>
      <c r="AG11" s="100">
        <v>19</v>
      </c>
      <c r="AH11" s="124">
        <v>140</v>
      </c>
      <c r="AI11" s="46">
        <f>P11+R11+T11+V11+X11+Z11+AB11+AD11</f>
        <v>566</v>
      </c>
      <c r="AJ11" s="46">
        <f>Q11+S11+U11+W11+Y11+AA11+AC11+AE11</f>
        <v>38330</v>
      </c>
      <c r="AK11" s="169" t="str">
        <f t="shared" si="4"/>
        <v>45744|99999|0011</v>
      </c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</row>
    <row r="12" spans="1:55" x14ac:dyDescent="0.25">
      <c r="A12" s="167">
        <f t="shared" si="1"/>
        <v>9</v>
      </c>
      <c r="B12" s="167">
        <v>3.2</v>
      </c>
      <c r="C12" s="8">
        <f t="shared" si="2"/>
        <v>9</v>
      </c>
      <c r="D12" s="101" t="s">
        <v>233</v>
      </c>
      <c r="E12" s="96" t="s">
        <v>221</v>
      </c>
      <c r="F12" s="96" t="s">
        <v>209</v>
      </c>
      <c r="G12" s="97">
        <v>45777</v>
      </c>
      <c r="H12" s="165">
        <v>45741</v>
      </c>
      <c r="I12" s="165">
        <v>45744</v>
      </c>
      <c r="J12" s="96">
        <v>8</v>
      </c>
      <c r="K12" s="96">
        <v>8</v>
      </c>
      <c r="L12" s="96">
        <v>12</v>
      </c>
      <c r="M12" s="166">
        <f>+IF(+ISBLANK(I12)=TRUE," ",+WORKDAY.INTL(I12,+J12+K12+L12,,CONGÉ!$C$2:$C$80))</f>
        <v>45784</v>
      </c>
      <c r="N12" s="97"/>
      <c r="O12" s="98" t="s">
        <v>2</v>
      </c>
      <c r="P12" s="99">
        <v>8</v>
      </c>
      <c r="Q12" s="100">
        <v>911</v>
      </c>
      <c r="R12" s="99">
        <v>47</v>
      </c>
      <c r="S12" s="100">
        <v>9367</v>
      </c>
      <c r="T12" s="99">
        <v>204</v>
      </c>
      <c r="U12" s="100">
        <v>21847</v>
      </c>
      <c r="V12" s="99">
        <v>206</v>
      </c>
      <c r="W12" s="100">
        <v>4144</v>
      </c>
      <c r="X12" s="99">
        <v>25</v>
      </c>
      <c r="Y12" s="100">
        <v>1365</v>
      </c>
      <c r="Z12" s="99">
        <v>177</v>
      </c>
      <c r="AA12" s="100">
        <v>2529</v>
      </c>
      <c r="AB12" s="99"/>
      <c r="AC12" s="100"/>
      <c r="AD12" s="99">
        <v>2</v>
      </c>
      <c r="AE12" s="100">
        <v>29</v>
      </c>
      <c r="AF12" s="99">
        <v>56</v>
      </c>
      <c r="AG12" s="100">
        <v>37</v>
      </c>
      <c r="AH12" s="124">
        <v>134.66666666666669</v>
      </c>
      <c r="AI12" s="46">
        <f t="shared" ref="AI12:AJ13" si="9">P12+R12+T12+V12+X12+Z12+AB12+AD12</f>
        <v>669</v>
      </c>
      <c r="AJ12" s="46">
        <f t="shared" si="9"/>
        <v>40192</v>
      </c>
      <c r="AK12" s="169" t="str">
        <f t="shared" si="4"/>
        <v>45784|99999|0012</v>
      </c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</row>
    <row r="13" spans="1:55" ht="16.5" customHeight="1" x14ac:dyDescent="0.25">
      <c r="A13" s="167">
        <f t="shared" si="1"/>
        <v>2</v>
      </c>
      <c r="B13" s="167"/>
      <c r="C13" s="8">
        <f t="shared" si="2"/>
        <v>10</v>
      </c>
      <c r="D13" s="101" t="s">
        <v>234</v>
      </c>
      <c r="E13" s="96" t="s">
        <v>222</v>
      </c>
      <c r="F13" s="96" t="s">
        <v>210</v>
      </c>
      <c r="G13" s="97">
        <v>45777</v>
      </c>
      <c r="H13" s="165">
        <v>45713</v>
      </c>
      <c r="I13" s="165">
        <v>45716</v>
      </c>
      <c r="J13" s="96">
        <v>0</v>
      </c>
      <c r="K13" s="96">
        <v>0</v>
      </c>
      <c r="L13" s="96">
        <v>2</v>
      </c>
      <c r="M13" s="166">
        <f>+IF(+ISBLANK(I13)=TRUE," ",+WORKDAY.INTL(I13,+J13+K13+L13,,CONGÉ!$C$2:$C$80))</f>
        <v>45720</v>
      </c>
      <c r="N13" s="97">
        <v>45723</v>
      </c>
      <c r="O13" s="98" t="s">
        <v>2</v>
      </c>
      <c r="P13" s="99">
        <v>6</v>
      </c>
      <c r="Q13" s="100">
        <v>77</v>
      </c>
      <c r="R13" s="99">
        <v>27</v>
      </c>
      <c r="S13" s="100">
        <v>25939</v>
      </c>
      <c r="T13" s="99">
        <v>102</v>
      </c>
      <c r="U13" s="100">
        <v>40115</v>
      </c>
      <c r="V13" s="99">
        <v>76</v>
      </c>
      <c r="W13" s="100">
        <v>3466</v>
      </c>
      <c r="X13" s="99">
        <v>14</v>
      </c>
      <c r="Y13" s="100">
        <v>2223</v>
      </c>
      <c r="Z13" s="99">
        <v>75</v>
      </c>
      <c r="AA13" s="100">
        <v>4177</v>
      </c>
      <c r="AB13" s="99">
        <v>0</v>
      </c>
      <c r="AC13" s="100">
        <v>0</v>
      </c>
      <c r="AD13" s="99">
        <v>0</v>
      </c>
      <c r="AE13" s="100">
        <v>0</v>
      </c>
      <c r="AF13" s="99">
        <v>15</v>
      </c>
      <c r="AG13" s="100">
        <v>23</v>
      </c>
      <c r="AH13" s="124">
        <v>80</v>
      </c>
      <c r="AI13" s="46">
        <f t="shared" si="9"/>
        <v>300</v>
      </c>
      <c r="AJ13" s="46">
        <f t="shared" si="9"/>
        <v>75997</v>
      </c>
      <c r="AK13" s="169" t="str">
        <f t="shared" si="4"/>
        <v>45720|45723|0013</v>
      </c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</row>
    <row r="14" spans="1:55" ht="16.5" customHeight="1" x14ac:dyDescent="0.25">
      <c r="A14" s="167">
        <f t="shared" si="1"/>
        <v>12</v>
      </c>
      <c r="B14" s="167">
        <v>3.3</v>
      </c>
      <c r="C14" s="8">
        <f t="shared" si="2"/>
        <v>11</v>
      </c>
      <c r="D14" s="101" t="s">
        <v>235</v>
      </c>
      <c r="E14" s="96" t="s">
        <v>223</v>
      </c>
      <c r="F14" s="96" t="s">
        <v>211</v>
      </c>
      <c r="G14" s="97">
        <v>45793</v>
      </c>
      <c r="H14" s="165">
        <v>45590</v>
      </c>
      <c r="I14" s="165">
        <v>45626</v>
      </c>
      <c r="J14" s="96">
        <v>30</v>
      </c>
      <c r="K14" s="96">
        <v>30</v>
      </c>
      <c r="L14" s="96">
        <v>90</v>
      </c>
      <c r="M14" s="166">
        <f>+IF(+ISBLANK(I14)=TRUE," ",+WORKDAY.INTL(I14,+J14+K14+L14,,CONGÉ!$C$2:$C$80))</f>
        <v>45853</v>
      </c>
      <c r="N14" s="97"/>
      <c r="O14" s="98" t="s">
        <v>2</v>
      </c>
      <c r="P14" s="99"/>
      <c r="Q14" s="100"/>
      <c r="R14" s="99">
        <v>1</v>
      </c>
      <c r="S14" s="100">
        <v>1054</v>
      </c>
      <c r="T14" s="99">
        <v>1</v>
      </c>
      <c r="U14" s="100">
        <v>130</v>
      </c>
      <c r="V14" s="99"/>
      <c r="W14" s="100"/>
      <c r="X14" s="99">
        <v>8</v>
      </c>
      <c r="Y14" s="100">
        <v>3305</v>
      </c>
      <c r="Z14" s="99">
        <v>0</v>
      </c>
      <c r="AA14" s="100">
        <v>0</v>
      </c>
      <c r="AB14" s="99">
        <v>0</v>
      </c>
      <c r="AC14" s="100">
        <v>0</v>
      </c>
      <c r="AD14" s="99">
        <v>1</v>
      </c>
      <c r="AE14" s="100">
        <v>899</v>
      </c>
      <c r="AF14" s="99">
        <v>1</v>
      </c>
      <c r="AG14" s="100">
        <v>2</v>
      </c>
      <c r="AH14" s="124"/>
      <c r="AI14" s="46">
        <f t="shared" ref="AI14:AJ14" si="10">P14+R14+T14+V14+X14+Z14+AB14+AD14</f>
        <v>11</v>
      </c>
      <c r="AJ14" s="46">
        <f t="shared" si="10"/>
        <v>5388</v>
      </c>
      <c r="AK14" s="169" t="str">
        <f t="shared" si="4"/>
        <v>45853|99999|0014</v>
      </c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</row>
    <row r="15" spans="1:55" ht="16.5" customHeight="1" x14ac:dyDescent="0.25">
      <c r="A15" s="167">
        <f t="shared" si="1"/>
        <v>8</v>
      </c>
      <c r="B15" s="167"/>
      <c r="C15" s="8">
        <f t="shared" si="2"/>
        <v>12</v>
      </c>
      <c r="D15" s="101" t="s">
        <v>236</v>
      </c>
      <c r="E15" s="96" t="s">
        <v>224</v>
      </c>
      <c r="F15" s="96" t="s">
        <v>212</v>
      </c>
      <c r="G15" s="97">
        <v>45814</v>
      </c>
      <c r="H15" s="165">
        <v>45665</v>
      </c>
      <c r="I15" s="165">
        <v>45672</v>
      </c>
      <c r="J15" s="96">
        <v>15</v>
      </c>
      <c r="K15" s="96">
        <v>15</v>
      </c>
      <c r="L15" s="96">
        <v>45</v>
      </c>
      <c r="M15" s="166">
        <f>+IF(+ISBLANK(I15)=TRUE," ",+WORKDAY.INTL(I15,+J15+K15+L15,,CONGÉ!$C$2:$C$80))</f>
        <v>45777</v>
      </c>
      <c r="N15" s="97"/>
      <c r="O15" s="98" t="s">
        <v>2</v>
      </c>
      <c r="P15" s="99"/>
      <c r="Q15" s="100"/>
      <c r="R15" s="99">
        <v>13</v>
      </c>
      <c r="S15" s="100">
        <v>59176</v>
      </c>
      <c r="T15" s="99">
        <v>33</v>
      </c>
      <c r="U15" s="100">
        <v>19337</v>
      </c>
      <c r="V15" s="99">
        <v>14</v>
      </c>
      <c r="W15" s="100">
        <v>1734</v>
      </c>
      <c r="X15" s="99">
        <v>26</v>
      </c>
      <c r="Y15" s="100">
        <v>12980</v>
      </c>
      <c r="Z15" s="99">
        <v>9</v>
      </c>
      <c r="AA15" s="100">
        <v>607</v>
      </c>
      <c r="AB15" s="99">
        <v>0</v>
      </c>
      <c r="AC15" s="100">
        <v>0</v>
      </c>
      <c r="AD15" s="99">
        <v>2</v>
      </c>
      <c r="AE15" s="100">
        <v>1505</v>
      </c>
      <c r="AF15" s="99">
        <v>16</v>
      </c>
      <c r="AG15" s="100">
        <v>440</v>
      </c>
      <c r="AH15" s="124"/>
      <c r="AI15" s="46">
        <f t="shared" ref="AI15:AJ15" si="11">P15+R15+T15+V15+X15+Z15+AB15+AD15</f>
        <v>97</v>
      </c>
      <c r="AJ15" s="46">
        <f t="shared" si="11"/>
        <v>95339</v>
      </c>
      <c r="AK15" s="169" t="str">
        <f t="shared" si="4"/>
        <v>45777|99999|0015</v>
      </c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</row>
    <row r="16" spans="1:55" ht="16.5" customHeight="1" x14ac:dyDescent="0.25">
      <c r="A16" s="167" t="str">
        <f t="shared" si="1"/>
        <v/>
      </c>
      <c r="B16" s="167"/>
      <c r="C16" s="8">
        <f t="shared" si="2"/>
        <v>13</v>
      </c>
      <c r="D16" s="101"/>
      <c r="E16" s="96"/>
      <c r="F16" s="96"/>
      <c r="G16" s="97"/>
      <c r="H16" s="96"/>
      <c r="I16" s="96"/>
      <c r="J16" s="96"/>
      <c r="K16" s="96"/>
      <c r="L16" s="96"/>
      <c r="M16" s="166" t="str">
        <f>+IF(+ISBLANK(I16)=TRUE," ",+WORKDAY.INTL(I16,+J16+K16+L16,,CONGÉ!$C$2:$C$80))</f>
        <v xml:space="preserve"> </v>
      </c>
      <c r="N16" s="97"/>
      <c r="O16" s="98"/>
      <c r="P16" s="99"/>
      <c r="Q16" s="100"/>
      <c r="R16" s="99"/>
      <c r="S16" s="100"/>
      <c r="T16" s="99"/>
      <c r="U16" s="100"/>
      <c r="V16" s="99"/>
      <c r="W16" s="100"/>
      <c r="X16" s="99"/>
      <c r="Y16" s="100"/>
      <c r="Z16" s="99"/>
      <c r="AA16" s="100"/>
      <c r="AB16" s="99"/>
      <c r="AC16" s="100"/>
      <c r="AD16" s="99"/>
      <c r="AE16" s="100"/>
      <c r="AF16" s="99"/>
      <c r="AG16" s="100"/>
      <c r="AH16" s="124"/>
      <c r="AI16" s="46">
        <f t="shared" ref="AI16:AJ16" si="12">P16+R16+T16+V16+X16+Z16+AB16+AD16</f>
        <v>0</v>
      </c>
      <c r="AJ16" s="46">
        <f t="shared" si="12"/>
        <v>0</v>
      </c>
      <c r="AK16" s="169" t="str">
        <f t="shared" si="4"/>
        <v>z</v>
      </c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</row>
    <row r="17" spans="1:55" ht="16.5" customHeight="1" x14ac:dyDescent="0.25">
      <c r="A17" s="167" t="str">
        <f t="shared" si="1"/>
        <v/>
      </c>
      <c r="B17" s="167"/>
      <c r="C17" s="8">
        <f t="shared" si="2"/>
        <v>14</v>
      </c>
      <c r="D17" s="101"/>
      <c r="E17" s="96"/>
      <c r="F17" s="96"/>
      <c r="G17" s="97"/>
      <c r="H17" s="96"/>
      <c r="I17" s="96"/>
      <c r="J17" s="96"/>
      <c r="K17" s="96"/>
      <c r="L17" s="96"/>
      <c r="M17" s="166" t="str">
        <f>+IF(+ISBLANK(I17)=TRUE," ",+WORKDAY.INTL(I17,+J17+K17+L17,,CONGÉ!$C$2:$C$80))</f>
        <v xml:space="preserve"> </v>
      </c>
      <c r="N17" s="97"/>
      <c r="O17" s="98"/>
      <c r="P17" s="99"/>
      <c r="Q17" s="100"/>
      <c r="R17" s="99"/>
      <c r="S17" s="100"/>
      <c r="T17" s="99"/>
      <c r="U17" s="100"/>
      <c r="V17" s="99"/>
      <c r="W17" s="100"/>
      <c r="X17" s="99"/>
      <c r="Y17" s="100"/>
      <c r="Z17" s="99"/>
      <c r="AA17" s="100"/>
      <c r="AB17" s="99"/>
      <c r="AC17" s="100"/>
      <c r="AD17" s="99"/>
      <c r="AE17" s="100"/>
      <c r="AF17" s="99"/>
      <c r="AG17" s="100"/>
      <c r="AH17" s="124"/>
      <c r="AI17" s="46">
        <f t="shared" ref="AI17:AJ17" si="13">P17+R17+T17+V17+X17+Z17+AB17+AD17</f>
        <v>0</v>
      </c>
      <c r="AJ17" s="46">
        <f t="shared" si="13"/>
        <v>0</v>
      </c>
      <c r="AK17" s="169" t="str">
        <f t="shared" si="4"/>
        <v>z</v>
      </c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</row>
    <row r="18" spans="1:55" ht="16.5" customHeight="1" x14ac:dyDescent="0.25">
      <c r="A18" s="167" t="str">
        <f t="shared" si="1"/>
        <v/>
      </c>
      <c r="B18" s="167"/>
      <c r="C18" s="8">
        <f t="shared" si="2"/>
        <v>15</v>
      </c>
      <c r="D18" s="101"/>
      <c r="E18" s="96"/>
      <c r="F18" s="96"/>
      <c r="G18" s="97"/>
      <c r="H18" s="96"/>
      <c r="I18" s="96"/>
      <c r="J18" s="96"/>
      <c r="K18" s="96"/>
      <c r="L18" s="96"/>
      <c r="M18" s="166" t="str">
        <f>+IF(+ISBLANK(I18)=TRUE," ",+WORKDAY.INTL(I18,+J18+K18+L18,,CONGÉ!$C$2:$C$80))</f>
        <v xml:space="preserve"> </v>
      </c>
      <c r="N18" s="97"/>
      <c r="O18" s="98"/>
      <c r="P18" s="99"/>
      <c r="Q18" s="100"/>
      <c r="R18" s="99"/>
      <c r="S18" s="100"/>
      <c r="T18" s="99"/>
      <c r="U18" s="100"/>
      <c r="V18" s="99"/>
      <c r="W18" s="100"/>
      <c r="X18" s="99"/>
      <c r="Y18" s="100"/>
      <c r="Z18" s="99"/>
      <c r="AA18" s="100"/>
      <c r="AB18" s="99"/>
      <c r="AC18" s="100"/>
      <c r="AD18" s="99"/>
      <c r="AE18" s="100"/>
      <c r="AF18" s="99"/>
      <c r="AG18" s="100"/>
      <c r="AH18" s="124"/>
      <c r="AI18" s="46">
        <f t="shared" ref="AI18:AJ18" si="14">P18+R18+T18+V18+X18+Z18+AB18+AD18</f>
        <v>0</v>
      </c>
      <c r="AJ18" s="46">
        <f t="shared" si="14"/>
        <v>0</v>
      </c>
      <c r="AK18" s="169" t="str">
        <f t="shared" si="4"/>
        <v>z</v>
      </c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</row>
    <row r="19" spans="1:55" ht="16.5" customHeight="1" x14ac:dyDescent="0.25">
      <c r="A19" s="167" t="str">
        <f t="shared" si="1"/>
        <v/>
      </c>
      <c r="B19" s="167"/>
      <c r="C19" s="8">
        <f t="shared" si="2"/>
        <v>16</v>
      </c>
      <c r="D19" s="101"/>
      <c r="E19" s="96"/>
      <c r="F19" s="96"/>
      <c r="G19" s="97"/>
      <c r="H19" s="96"/>
      <c r="I19" s="96"/>
      <c r="J19" s="96"/>
      <c r="K19" s="96"/>
      <c r="L19" s="96"/>
      <c r="M19" s="166" t="str">
        <f>+IF(+ISBLANK(I19)=TRUE," ",+WORKDAY.INTL(I19,+J19+K19+L19,,CONGÉ!$C$2:$C$80))</f>
        <v xml:space="preserve"> </v>
      </c>
      <c r="N19" s="97"/>
      <c r="O19" s="98"/>
      <c r="P19" s="99"/>
      <c r="Q19" s="100"/>
      <c r="R19" s="99"/>
      <c r="S19" s="100"/>
      <c r="T19" s="99"/>
      <c r="U19" s="100"/>
      <c r="V19" s="99"/>
      <c r="W19" s="100"/>
      <c r="X19" s="99"/>
      <c r="Y19" s="100"/>
      <c r="Z19" s="99"/>
      <c r="AA19" s="100"/>
      <c r="AB19" s="99"/>
      <c r="AC19" s="100"/>
      <c r="AD19" s="99"/>
      <c r="AE19" s="100"/>
      <c r="AF19" s="99"/>
      <c r="AG19" s="100"/>
      <c r="AH19" s="124"/>
      <c r="AI19" s="46">
        <f>P19+R19+T19+V19+X19+Z19+AB19+AD19</f>
        <v>0</v>
      </c>
      <c r="AJ19" s="46">
        <f>Q19+S19+U19+W19+Y19+AA19+AC19+AE19</f>
        <v>0</v>
      </c>
      <c r="AK19" s="169" t="str">
        <f t="shared" si="4"/>
        <v>z</v>
      </c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</row>
    <row r="20" spans="1:55" ht="16.5" customHeight="1" x14ac:dyDescent="0.25">
      <c r="A20" s="167" t="str">
        <f t="shared" si="1"/>
        <v/>
      </c>
      <c r="B20" s="167"/>
      <c r="C20" s="8">
        <f t="shared" si="2"/>
        <v>17</v>
      </c>
      <c r="D20" s="101"/>
      <c r="E20" s="96"/>
      <c r="F20" s="96"/>
      <c r="G20" s="97"/>
      <c r="H20" s="96"/>
      <c r="I20" s="96"/>
      <c r="J20" s="96"/>
      <c r="K20" s="96"/>
      <c r="L20" s="96"/>
      <c r="M20" s="166" t="str">
        <f>+IF(+ISBLANK(I20)=TRUE," ",+WORKDAY.INTL(I20,+J20+K20+L20,,CONGÉ!$C$2:$C$80))</f>
        <v xml:space="preserve"> </v>
      </c>
      <c r="N20" s="97"/>
      <c r="O20" s="98"/>
      <c r="P20" s="99"/>
      <c r="Q20" s="100"/>
      <c r="R20" s="99"/>
      <c r="S20" s="100"/>
      <c r="T20" s="99"/>
      <c r="U20" s="100"/>
      <c r="V20" s="99"/>
      <c r="W20" s="100"/>
      <c r="X20" s="99"/>
      <c r="Y20" s="100"/>
      <c r="Z20" s="99"/>
      <c r="AA20" s="100"/>
      <c r="AB20" s="99"/>
      <c r="AC20" s="100"/>
      <c r="AD20" s="99"/>
      <c r="AE20" s="100"/>
      <c r="AF20" s="99"/>
      <c r="AG20" s="100"/>
      <c r="AH20" s="124"/>
      <c r="AI20" s="46">
        <f t="shared" ref="AI20" si="15">P20+R20+T20+V20+X20+Z20+AB20+AD20</f>
        <v>0</v>
      </c>
      <c r="AJ20" s="46">
        <f t="shared" ref="AJ20" si="16">Q20+S20+U20+W20+Y20+AA20+AC20+AE20</f>
        <v>0</v>
      </c>
      <c r="AK20" s="169" t="str">
        <f t="shared" si="4"/>
        <v>z</v>
      </c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</row>
    <row r="21" spans="1:55" x14ac:dyDescent="0.25">
      <c r="A21" s="167" t="str">
        <f t="shared" si="1"/>
        <v/>
      </c>
      <c r="B21" s="167"/>
      <c r="C21" s="8">
        <f t="shared" si="2"/>
        <v>18</v>
      </c>
      <c r="D21" s="101"/>
      <c r="E21" s="96"/>
      <c r="F21" s="96"/>
      <c r="G21" s="97"/>
      <c r="H21" s="96"/>
      <c r="I21" s="96"/>
      <c r="J21" s="96"/>
      <c r="K21" s="96"/>
      <c r="L21" s="96"/>
      <c r="M21" s="166" t="str">
        <f>+IF(+ISBLANK(I21)=TRUE," ",+WORKDAY.INTL(I21,+J21+K21+L21,,CONGÉ!$C$2:$C$80))</f>
        <v xml:space="preserve"> </v>
      </c>
      <c r="N21" s="97"/>
      <c r="O21" s="98"/>
      <c r="P21" s="99"/>
      <c r="Q21" s="100"/>
      <c r="R21" s="99"/>
      <c r="S21" s="100"/>
      <c r="T21" s="99"/>
      <c r="U21" s="100"/>
      <c r="V21" s="99"/>
      <c r="W21" s="100"/>
      <c r="X21" s="99"/>
      <c r="Y21" s="100"/>
      <c r="Z21" s="99"/>
      <c r="AA21" s="100"/>
      <c r="AB21" s="99"/>
      <c r="AC21" s="100"/>
      <c r="AD21" s="99"/>
      <c r="AE21" s="100"/>
      <c r="AF21" s="99"/>
      <c r="AG21" s="100"/>
      <c r="AH21" s="124"/>
      <c r="AI21" s="46">
        <f t="shared" ref="AI21" si="17">P21+R21+T21+V21+X21+Z21+AB21+AD21</f>
        <v>0</v>
      </c>
      <c r="AJ21" s="46">
        <f t="shared" ref="AJ21" si="18">Q21+S21+U21+W21+Y21+AA21+AC21+AE21</f>
        <v>0</v>
      </c>
      <c r="AK21" s="169" t="str">
        <f t="shared" si="4"/>
        <v>z</v>
      </c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</row>
    <row r="22" spans="1:55" ht="16.5" customHeight="1" x14ac:dyDescent="0.25">
      <c r="A22" s="167" t="str">
        <f t="shared" si="1"/>
        <v/>
      </c>
      <c r="B22" s="167"/>
      <c r="C22" s="8">
        <f t="shared" si="2"/>
        <v>19</v>
      </c>
      <c r="D22" s="101"/>
      <c r="E22" s="96"/>
      <c r="F22" s="96"/>
      <c r="G22" s="97"/>
      <c r="H22" s="96"/>
      <c r="I22" s="96"/>
      <c r="J22" s="96"/>
      <c r="K22" s="96"/>
      <c r="L22" s="96"/>
      <c r="M22" s="166" t="str">
        <f>+IF(+ISBLANK(I22)=TRUE," ",+WORKDAY.INTL(I22,+J22+K22+L22,,CONGÉ!$C$2:$C$80))</f>
        <v xml:space="preserve"> </v>
      </c>
      <c r="N22" s="97"/>
      <c r="O22" s="98"/>
      <c r="P22" s="99"/>
      <c r="Q22" s="100"/>
      <c r="R22" s="99"/>
      <c r="S22" s="100"/>
      <c r="T22" s="99"/>
      <c r="U22" s="100"/>
      <c r="V22" s="99"/>
      <c r="W22" s="100"/>
      <c r="X22" s="99"/>
      <c r="Y22" s="100"/>
      <c r="Z22" s="99"/>
      <c r="AA22" s="100"/>
      <c r="AB22" s="99"/>
      <c r="AC22" s="100"/>
      <c r="AD22" s="99"/>
      <c r="AE22" s="100"/>
      <c r="AF22" s="99"/>
      <c r="AG22" s="100"/>
      <c r="AH22" s="124"/>
      <c r="AI22" s="46">
        <f t="shared" ref="AI22:AJ22" si="19">P22+R22+T22+V22+X22+Z22+AB22+AD22</f>
        <v>0</v>
      </c>
      <c r="AJ22" s="46">
        <f t="shared" si="19"/>
        <v>0</v>
      </c>
      <c r="AK22" s="169" t="str">
        <f t="shared" si="4"/>
        <v>z</v>
      </c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</row>
    <row r="23" spans="1:55" ht="16.5" customHeight="1" x14ac:dyDescent="0.25">
      <c r="A23" s="167" t="str">
        <f t="shared" si="1"/>
        <v/>
      </c>
      <c r="B23" s="167"/>
      <c r="C23" s="8">
        <f t="shared" si="2"/>
        <v>20</v>
      </c>
      <c r="D23" s="101"/>
      <c r="E23" s="96"/>
      <c r="F23" s="96"/>
      <c r="G23" s="97"/>
      <c r="H23" s="96"/>
      <c r="I23" s="96"/>
      <c r="J23" s="96"/>
      <c r="K23" s="96"/>
      <c r="L23" s="96"/>
      <c r="M23" s="166" t="str">
        <f>+IF(+ISBLANK(I23)=TRUE," ",+WORKDAY.INTL(I23,+J23+K23+L23,,CONGÉ!$C$2:$C$80))</f>
        <v xml:space="preserve"> </v>
      </c>
      <c r="N23" s="97"/>
      <c r="O23" s="98"/>
      <c r="P23" s="99"/>
      <c r="Q23" s="100"/>
      <c r="R23" s="99"/>
      <c r="S23" s="100"/>
      <c r="T23" s="99"/>
      <c r="U23" s="100"/>
      <c r="V23" s="99"/>
      <c r="W23" s="100"/>
      <c r="X23" s="99"/>
      <c r="Y23" s="100"/>
      <c r="Z23" s="99"/>
      <c r="AA23" s="100"/>
      <c r="AB23" s="99"/>
      <c r="AC23" s="100"/>
      <c r="AD23" s="99"/>
      <c r="AE23" s="100"/>
      <c r="AF23" s="99"/>
      <c r="AG23" s="100"/>
      <c r="AH23" s="124"/>
      <c r="AI23" s="46">
        <f t="shared" ref="AI23:AJ25" si="20">P23+R23+T23+V23+X23+Z23+AB23+AD23</f>
        <v>0</v>
      </c>
      <c r="AJ23" s="46">
        <f t="shared" si="20"/>
        <v>0</v>
      </c>
      <c r="AK23" s="169" t="str">
        <f t="shared" si="4"/>
        <v>z</v>
      </c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</row>
    <row r="24" spans="1:55" ht="16.5" customHeight="1" x14ac:dyDescent="0.25">
      <c r="A24" s="167" t="str">
        <f t="shared" si="1"/>
        <v/>
      </c>
      <c r="B24" s="167"/>
      <c r="C24" s="8">
        <f t="shared" si="2"/>
        <v>21</v>
      </c>
      <c r="D24" s="101"/>
      <c r="E24" s="96"/>
      <c r="F24" s="96"/>
      <c r="G24" s="97"/>
      <c r="H24" s="96"/>
      <c r="I24" s="96"/>
      <c r="J24" s="96"/>
      <c r="K24" s="96"/>
      <c r="L24" s="96"/>
      <c r="M24" s="166" t="str">
        <f>+IF(+ISBLANK(I24)=TRUE," ",+WORKDAY.INTL(I24,+J24+K24+L24,,CONGÉ!$C$2:$C$80))</f>
        <v xml:space="preserve"> </v>
      </c>
      <c r="N24" s="97"/>
      <c r="O24" s="98"/>
      <c r="P24" s="99"/>
      <c r="Q24" s="100"/>
      <c r="R24" s="99"/>
      <c r="S24" s="100"/>
      <c r="T24" s="99"/>
      <c r="U24" s="100"/>
      <c r="V24" s="99"/>
      <c r="W24" s="100"/>
      <c r="X24" s="99"/>
      <c r="Y24" s="100"/>
      <c r="Z24" s="99"/>
      <c r="AA24" s="100"/>
      <c r="AB24" s="99"/>
      <c r="AC24" s="100"/>
      <c r="AD24" s="99"/>
      <c r="AE24" s="100"/>
      <c r="AF24" s="99"/>
      <c r="AG24" s="100"/>
      <c r="AH24" s="124"/>
      <c r="AI24" s="46">
        <f t="shared" si="20"/>
        <v>0</v>
      </c>
      <c r="AJ24" s="46">
        <f t="shared" si="20"/>
        <v>0</v>
      </c>
      <c r="AK24" s="169" t="str">
        <f t="shared" si="4"/>
        <v>z</v>
      </c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</row>
    <row r="25" spans="1:55" ht="16.5" customHeight="1" x14ac:dyDescent="0.25">
      <c r="A25" s="167" t="str">
        <f t="shared" si="1"/>
        <v/>
      </c>
      <c r="B25" s="167"/>
      <c r="C25" s="8">
        <f t="shared" si="2"/>
        <v>22</v>
      </c>
      <c r="D25" s="101"/>
      <c r="E25" s="96"/>
      <c r="F25" s="96"/>
      <c r="G25" s="97"/>
      <c r="H25" s="96"/>
      <c r="I25" s="96"/>
      <c r="J25" s="96"/>
      <c r="K25" s="96"/>
      <c r="L25" s="96"/>
      <c r="M25" s="166" t="str">
        <f>+IF(+ISBLANK(I25)=TRUE," ",+WORKDAY.INTL(I25,+J25+K25+L25,,CONGÉ!$C$2:$C$80))</f>
        <v xml:space="preserve"> </v>
      </c>
      <c r="N25" s="97"/>
      <c r="O25" s="98"/>
      <c r="P25" s="99"/>
      <c r="Q25" s="100"/>
      <c r="R25" s="99"/>
      <c r="S25" s="100"/>
      <c r="T25" s="99"/>
      <c r="U25" s="100"/>
      <c r="V25" s="99"/>
      <c r="W25" s="100"/>
      <c r="X25" s="99"/>
      <c r="Y25" s="100"/>
      <c r="Z25" s="99"/>
      <c r="AA25" s="100"/>
      <c r="AB25" s="99"/>
      <c r="AC25" s="100"/>
      <c r="AD25" s="99"/>
      <c r="AE25" s="100"/>
      <c r="AF25" s="99"/>
      <c r="AG25" s="100"/>
      <c r="AH25" s="124"/>
      <c r="AI25" s="46">
        <f t="shared" si="20"/>
        <v>0</v>
      </c>
      <c r="AJ25" s="46">
        <f t="shared" si="20"/>
        <v>0</v>
      </c>
      <c r="AK25" s="169" t="str">
        <f t="shared" si="4"/>
        <v>z</v>
      </c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</row>
    <row r="26" spans="1:55" x14ac:dyDescent="0.25">
      <c r="A26" s="167" t="str">
        <f t="shared" si="1"/>
        <v/>
      </c>
      <c r="B26" s="167"/>
      <c r="C26" s="8">
        <f t="shared" si="2"/>
        <v>23</v>
      </c>
      <c r="D26" s="101"/>
      <c r="E26" s="96">
        <f>RANK(5,A4:A31)</f>
        <v>8</v>
      </c>
      <c r="F26" s="96"/>
      <c r="G26" s="97"/>
      <c r="H26" s="96"/>
      <c r="I26" s="96"/>
      <c r="J26" s="96"/>
      <c r="K26" s="96"/>
      <c r="L26" s="96"/>
      <c r="M26" s="166" t="str">
        <f>+IF(+ISBLANK(I26)=TRUE," ",+WORKDAY.INTL(I26,+J26+K26+L26,,CONGÉ!$C$2:$C$80))</f>
        <v xml:space="preserve"> </v>
      </c>
      <c r="N26" s="97"/>
      <c r="O26" s="98"/>
      <c r="P26" s="99"/>
      <c r="Q26" s="100"/>
      <c r="R26" s="99"/>
      <c r="S26" s="100"/>
      <c r="T26" s="99"/>
      <c r="U26" s="100"/>
      <c r="V26" s="99"/>
      <c r="W26" s="100"/>
      <c r="X26" s="99"/>
      <c r="Y26" s="100"/>
      <c r="Z26" s="99"/>
      <c r="AA26" s="100"/>
      <c r="AB26" s="99"/>
      <c r="AC26" s="100"/>
      <c r="AD26" s="99"/>
      <c r="AE26" s="100"/>
      <c r="AF26" s="99"/>
      <c r="AG26" s="100"/>
      <c r="AH26" s="124"/>
      <c r="AI26" s="46">
        <f t="shared" ref="AI26" si="21">P26+R26+T26+V26+X26+Z26+AB26+AD26</f>
        <v>0</v>
      </c>
      <c r="AJ26" s="46">
        <f t="shared" ref="AJ26" si="22">Q26+S26+U26+W26+Y26+AA26+AC26+AE26</f>
        <v>0</v>
      </c>
      <c r="AK26" s="169" t="str">
        <f t="shared" si="4"/>
        <v>z</v>
      </c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</row>
    <row r="27" spans="1:55" ht="16.5" customHeight="1" x14ac:dyDescent="0.25">
      <c r="A27" s="167" t="str">
        <f t="shared" si="1"/>
        <v/>
      </c>
      <c r="B27" s="167"/>
      <c r="C27" s="8">
        <f t="shared" si="2"/>
        <v>24</v>
      </c>
      <c r="D27" s="101"/>
      <c r="E27" s="96"/>
      <c r="F27" s="96"/>
      <c r="G27" s="97"/>
      <c r="H27" s="96"/>
      <c r="I27" s="96"/>
      <c r="J27" s="96"/>
      <c r="K27" s="96"/>
      <c r="L27" s="96"/>
      <c r="M27" s="166" t="str">
        <f>+IF(+ISBLANK(I27)=TRUE," ",+WORKDAY.INTL(I27,+J27+K27+L27,,CONGÉ!$C$2:$C$80))</f>
        <v xml:space="preserve"> </v>
      </c>
      <c r="N27" s="97"/>
      <c r="O27" s="98"/>
      <c r="P27" s="99"/>
      <c r="Q27" s="100"/>
      <c r="R27" s="99"/>
      <c r="S27" s="100"/>
      <c r="T27" s="99"/>
      <c r="U27" s="100"/>
      <c r="V27" s="99"/>
      <c r="W27" s="100"/>
      <c r="X27" s="99"/>
      <c r="Y27" s="100"/>
      <c r="Z27" s="99"/>
      <c r="AA27" s="100"/>
      <c r="AB27" s="99"/>
      <c r="AC27" s="100"/>
      <c r="AD27" s="99"/>
      <c r="AE27" s="100"/>
      <c r="AF27" s="99"/>
      <c r="AG27" s="100"/>
      <c r="AH27" s="124"/>
      <c r="AI27" s="46">
        <f t="shared" ref="AI27:AJ30" si="23">P27+R27+T27+V27+X27+Z27+AB27+AD27</f>
        <v>0</v>
      </c>
      <c r="AJ27" s="46">
        <f t="shared" si="23"/>
        <v>0</v>
      </c>
      <c r="AK27" s="169" t="str">
        <f t="shared" si="4"/>
        <v>z</v>
      </c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</row>
    <row r="28" spans="1:55" ht="16.5" customHeight="1" x14ac:dyDescent="0.25">
      <c r="A28" s="167" t="str">
        <f t="shared" si="1"/>
        <v/>
      </c>
      <c r="B28" s="167"/>
      <c r="C28" s="8">
        <f t="shared" si="2"/>
        <v>25</v>
      </c>
      <c r="D28" s="101"/>
      <c r="E28" s="96"/>
      <c r="F28" s="96"/>
      <c r="G28" s="97"/>
      <c r="H28" s="96"/>
      <c r="I28" s="96"/>
      <c r="J28" s="96"/>
      <c r="K28" s="96"/>
      <c r="L28" s="96"/>
      <c r="M28" s="166" t="str">
        <f>+IF(+ISBLANK(I28)=TRUE," ",+WORKDAY.INTL(I28,+J28+K28+L28,,CONGÉ!$C$2:$C$80))</f>
        <v xml:space="preserve"> </v>
      </c>
      <c r="N28" s="97"/>
      <c r="O28" s="98"/>
      <c r="P28" s="99"/>
      <c r="Q28" s="100"/>
      <c r="R28" s="99"/>
      <c r="S28" s="100"/>
      <c r="T28" s="99"/>
      <c r="U28" s="100"/>
      <c r="V28" s="99"/>
      <c r="W28" s="100"/>
      <c r="X28" s="99"/>
      <c r="Y28" s="100"/>
      <c r="Z28" s="99"/>
      <c r="AA28" s="100"/>
      <c r="AB28" s="99"/>
      <c r="AC28" s="100"/>
      <c r="AD28" s="99"/>
      <c r="AE28" s="100"/>
      <c r="AF28" s="99"/>
      <c r="AG28" s="100"/>
      <c r="AH28" s="124"/>
      <c r="AI28" s="46">
        <f t="shared" si="23"/>
        <v>0</v>
      </c>
      <c r="AJ28" s="46">
        <f t="shared" si="23"/>
        <v>0</v>
      </c>
      <c r="AK28" s="169" t="str">
        <f t="shared" si="4"/>
        <v>z</v>
      </c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</row>
    <row r="29" spans="1:55" ht="16.5" customHeight="1" x14ac:dyDescent="0.25">
      <c r="A29" s="167" t="str">
        <f t="shared" si="1"/>
        <v/>
      </c>
      <c r="B29" s="167"/>
      <c r="C29" s="8">
        <f t="shared" si="2"/>
        <v>26</v>
      </c>
      <c r="D29" s="101"/>
      <c r="E29" s="96"/>
      <c r="F29" s="96"/>
      <c r="G29" s="97"/>
      <c r="H29" s="96"/>
      <c r="I29" s="96"/>
      <c r="J29" s="96"/>
      <c r="K29" s="96"/>
      <c r="L29" s="96"/>
      <c r="M29" s="166" t="str">
        <f>+IF(+ISBLANK(I29)=TRUE," ",+WORKDAY.INTL(I29,+J29+K29+L29,,CONGÉ!$C$2:$C$80))</f>
        <v xml:space="preserve"> </v>
      </c>
      <c r="N29" s="97"/>
      <c r="O29" s="98"/>
      <c r="P29" s="99"/>
      <c r="Q29" s="100"/>
      <c r="R29" s="99"/>
      <c r="S29" s="100"/>
      <c r="T29" s="99"/>
      <c r="U29" s="100"/>
      <c r="V29" s="99"/>
      <c r="W29" s="100"/>
      <c r="X29" s="99"/>
      <c r="Y29" s="100"/>
      <c r="Z29" s="99"/>
      <c r="AA29" s="100"/>
      <c r="AB29" s="99"/>
      <c r="AC29" s="100"/>
      <c r="AD29" s="99"/>
      <c r="AE29" s="100"/>
      <c r="AF29" s="99"/>
      <c r="AG29" s="100"/>
      <c r="AH29" s="124"/>
      <c r="AI29" s="46">
        <f t="shared" si="23"/>
        <v>0</v>
      </c>
      <c r="AJ29" s="46">
        <f t="shared" si="23"/>
        <v>0</v>
      </c>
      <c r="AK29" s="169" t="str">
        <f t="shared" si="4"/>
        <v>z</v>
      </c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</row>
    <row r="30" spans="1:55" ht="16.5" customHeight="1" x14ac:dyDescent="0.25">
      <c r="A30" s="167" t="str">
        <f t="shared" si="1"/>
        <v/>
      </c>
      <c r="B30" s="167"/>
      <c r="C30" s="8">
        <f t="shared" si="2"/>
        <v>27</v>
      </c>
      <c r="D30" s="101"/>
      <c r="E30" s="96"/>
      <c r="F30" s="96"/>
      <c r="G30" s="97"/>
      <c r="H30" s="96"/>
      <c r="I30" s="96"/>
      <c r="J30" s="96"/>
      <c r="K30" s="96"/>
      <c r="L30" s="96"/>
      <c r="M30" s="166" t="str">
        <f>+IF(+ISBLANK(I30)=TRUE," ",+WORKDAY.INTL(I30,+J30+K30+L30,,CONGÉ!$C$2:$C$80))</f>
        <v xml:space="preserve"> </v>
      </c>
      <c r="N30" s="97"/>
      <c r="O30" s="98"/>
      <c r="P30" s="99"/>
      <c r="Q30" s="100"/>
      <c r="R30" s="99"/>
      <c r="S30" s="100"/>
      <c r="T30" s="99"/>
      <c r="U30" s="100"/>
      <c r="V30" s="99"/>
      <c r="W30" s="100"/>
      <c r="X30" s="99"/>
      <c r="Y30" s="100"/>
      <c r="Z30" s="99"/>
      <c r="AA30" s="100"/>
      <c r="AB30" s="99"/>
      <c r="AC30" s="100"/>
      <c r="AD30" s="99"/>
      <c r="AE30" s="100"/>
      <c r="AF30" s="99"/>
      <c r="AG30" s="100"/>
      <c r="AH30" s="124"/>
      <c r="AI30" s="46">
        <f t="shared" si="23"/>
        <v>0</v>
      </c>
      <c r="AJ30" s="46">
        <f t="shared" si="23"/>
        <v>0</v>
      </c>
      <c r="AK30" s="169" t="str">
        <f t="shared" si="4"/>
        <v>z</v>
      </c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</row>
    <row r="31" spans="1:55" ht="16.5" customHeight="1" x14ac:dyDescent="0.25">
      <c r="A31" s="167" t="str">
        <f t="shared" si="1"/>
        <v/>
      </c>
      <c r="B31" s="167"/>
      <c r="C31" s="8">
        <f t="shared" si="2"/>
        <v>28</v>
      </c>
      <c r="D31" s="101"/>
      <c r="E31" s="96"/>
      <c r="F31" s="96"/>
      <c r="G31" s="97"/>
      <c r="H31" s="96"/>
      <c r="I31" s="96"/>
      <c r="J31" s="96"/>
      <c r="K31" s="96"/>
      <c r="L31" s="96"/>
      <c r="M31" s="166" t="str">
        <f>+IF(+ISBLANK(I31)=TRUE," ",+WORKDAY.INTL(I31,+J31+K31+L31,,CONGÉ!$C$2:$C$80))</f>
        <v xml:space="preserve"> </v>
      </c>
      <c r="N31" s="97"/>
      <c r="O31" s="98"/>
      <c r="P31" s="99"/>
      <c r="Q31" s="100"/>
      <c r="R31" s="99"/>
      <c r="S31" s="100"/>
      <c r="T31" s="99"/>
      <c r="U31" s="100"/>
      <c r="V31" s="99"/>
      <c r="W31" s="100"/>
      <c r="X31" s="99"/>
      <c r="Y31" s="100"/>
      <c r="Z31" s="99"/>
      <c r="AA31" s="100"/>
      <c r="AB31" s="99"/>
      <c r="AC31" s="100"/>
      <c r="AD31" s="99"/>
      <c r="AE31" s="100"/>
      <c r="AF31" s="99"/>
      <c r="AG31" s="100"/>
      <c r="AH31" s="99"/>
      <c r="AI31" s="46">
        <f t="shared" ref="AI31:AJ31" si="24">P31+R31+T31+V31+X31+Z31+AB31+AD31</f>
        <v>0</v>
      </c>
      <c r="AJ31" s="46">
        <f t="shared" si="24"/>
        <v>0</v>
      </c>
      <c r="AK31" s="169" t="str">
        <f t="shared" si="4"/>
        <v>z</v>
      </c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</row>
    <row r="32" spans="1:55" ht="16.5" customHeight="1" x14ac:dyDescent="0.25">
      <c r="A32" s="167" t="str">
        <f t="shared" si="1"/>
        <v/>
      </c>
      <c r="B32" s="167"/>
      <c r="C32" s="8">
        <f t="shared" si="2"/>
        <v>29</v>
      </c>
      <c r="D32" s="101"/>
      <c r="E32" s="96"/>
      <c r="F32" s="96"/>
      <c r="G32" s="97"/>
      <c r="H32" s="96"/>
      <c r="I32" s="96"/>
      <c r="J32" s="96"/>
      <c r="K32" s="96"/>
      <c r="L32" s="96"/>
      <c r="M32" s="166" t="str">
        <f>+IF(+ISBLANK(I32)=TRUE," ",+WORKDAY.INTL(I32,+J32+K32+L32,,CONGÉ!$C$2:$C$80))</f>
        <v xml:space="preserve"> </v>
      </c>
      <c r="N32" s="97"/>
      <c r="O32" s="98"/>
      <c r="P32" s="99"/>
      <c r="Q32" s="100"/>
      <c r="R32" s="99"/>
      <c r="S32" s="100"/>
      <c r="T32" s="99"/>
      <c r="U32" s="100"/>
      <c r="V32" s="99"/>
      <c r="W32" s="100"/>
      <c r="X32" s="99"/>
      <c r="Y32" s="100"/>
      <c r="Z32" s="99"/>
      <c r="AA32" s="100"/>
      <c r="AB32" s="99"/>
      <c r="AC32" s="100"/>
      <c r="AD32" s="99"/>
      <c r="AE32" s="100"/>
      <c r="AF32" s="99"/>
      <c r="AG32" s="100"/>
      <c r="AH32" s="124"/>
      <c r="AI32" s="46">
        <f t="shared" ref="AI32" si="25">P32+R32+T32+V32+X32+Z32+AB32+AD32</f>
        <v>0</v>
      </c>
      <c r="AJ32" s="46">
        <f t="shared" ref="AJ32" si="26">Q32+S32+U32+W32+Y32+AA32+AC32+AE32</f>
        <v>0</v>
      </c>
      <c r="AK32" s="169" t="str">
        <f t="shared" si="4"/>
        <v>z</v>
      </c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</row>
    <row r="33" spans="1:55" ht="16.5" customHeight="1" x14ac:dyDescent="0.25">
      <c r="A33" s="167" t="str">
        <f t="shared" si="1"/>
        <v/>
      </c>
      <c r="B33" s="167"/>
      <c r="C33" s="8">
        <f t="shared" si="2"/>
        <v>30</v>
      </c>
      <c r="D33" s="101"/>
      <c r="E33" s="96"/>
      <c r="F33" s="96"/>
      <c r="G33" s="97"/>
      <c r="H33" s="96"/>
      <c r="I33" s="96"/>
      <c r="J33" s="96"/>
      <c r="K33" s="96"/>
      <c r="L33" s="96"/>
      <c r="M33" s="166" t="str">
        <f>+IF(+ISBLANK(I33)=TRUE," ",+WORKDAY.INTL(I33,+J33+K33+L33,,CONGÉ!$C$2:$C$80))</f>
        <v xml:space="preserve"> </v>
      </c>
      <c r="N33" s="97"/>
      <c r="O33" s="98"/>
      <c r="P33" s="99"/>
      <c r="Q33" s="100"/>
      <c r="R33" s="99"/>
      <c r="S33" s="100"/>
      <c r="T33" s="99"/>
      <c r="U33" s="100"/>
      <c r="V33" s="99"/>
      <c r="W33" s="100"/>
      <c r="X33" s="99"/>
      <c r="Y33" s="100"/>
      <c r="Z33" s="99"/>
      <c r="AA33" s="100"/>
      <c r="AB33" s="99"/>
      <c r="AC33" s="100"/>
      <c r="AD33" s="99"/>
      <c r="AE33" s="100"/>
      <c r="AF33" s="99"/>
      <c r="AG33" s="100"/>
      <c r="AH33" s="124"/>
      <c r="AI33" s="46">
        <f t="shared" ref="AI33:AJ36" si="27">P33+R33+T33+V33+X33+Z33+AB33+AD33</f>
        <v>0</v>
      </c>
      <c r="AJ33" s="46">
        <f t="shared" si="27"/>
        <v>0</v>
      </c>
      <c r="AK33" s="169" t="str">
        <f t="shared" si="4"/>
        <v>z</v>
      </c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</row>
    <row r="34" spans="1:55" ht="16.5" customHeight="1" x14ac:dyDescent="0.25">
      <c r="A34" s="167" t="str">
        <f t="shared" si="1"/>
        <v/>
      </c>
      <c r="B34" s="167"/>
      <c r="C34" s="8">
        <f t="shared" si="2"/>
        <v>31</v>
      </c>
      <c r="D34" s="101"/>
      <c r="E34" s="96"/>
      <c r="F34" s="96"/>
      <c r="G34" s="97"/>
      <c r="H34" s="96"/>
      <c r="I34" s="96"/>
      <c r="J34" s="96"/>
      <c r="K34" s="96"/>
      <c r="L34" s="96"/>
      <c r="M34" s="166" t="str">
        <f>+IF(+ISBLANK(I34)=TRUE," ",+WORKDAY.INTL(I34,+J34+K34+L34,,CONGÉ!$C$2:$C$80))</f>
        <v xml:space="preserve"> </v>
      </c>
      <c r="N34" s="97"/>
      <c r="O34" s="98"/>
      <c r="P34" s="99"/>
      <c r="Q34" s="100"/>
      <c r="R34" s="99"/>
      <c r="S34" s="100"/>
      <c r="T34" s="99"/>
      <c r="U34" s="100"/>
      <c r="V34" s="99"/>
      <c r="W34" s="100"/>
      <c r="X34" s="99"/>
      <c r="Y34" s="100"/>
      <c r="Z34" s="99"/>
      <c r="AA34" s="100"/>
      <c r="AB34" s="99"/>
      <c r="AC34" s="100"/>
      <c r="AD34" s="99"/>
      <c r="AE34" s="100"/>
      <c r="AF34" s="99"/>
      <c r="AG34" s="100"/>
      <c r="AH34" s="124"/>
      <c r="AI34" s="46">
        <f t="shared" si="27"/>
        <v>0</v>
      </c>
      <c r="AJ34" s="46">
        <f t="shared" si="27"/>
        <v>0</v>
      </c>
      <c r="AK34" s="169" t="str">
        <f t="shared" si="4"/>
        <v>z</v>
      </c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</row>
    <row r="35" spans="1:55" x14ac:dyDescent="0.25">
      <c r="A35" s="167" t="str">
        <f t="shared" si="1"/>
        <v/>
      </c>
      <c r="B35" s="167"/>
      <c r="C35" s="8">
        <f t="shared" si="2"/>
        <v>32</v>
      </c>
      <c r="D35" s="101"/>
      <c r="E35" s="96"/>
      <c r="F35" s="96"/>
      <c r="G35" s="97"/>
      <c r="H35" s="96"/>
      <c r="I35" s="96"/>
      <c r="J35" s="96"/>
      <c r="K35" s="96"/>
      <c r="L35" s="96"/>
      <c r="M35" s="166" t="str">
        <f>+IF(+ISBLANK(I35)=TRUE," ",+WORKDAY.INTL(I35,+J35+K35+L35,,CONGÉ!$C$2:$C$80))</f>
        <v xml:space="preserve"> </v>
      </c>
      <c r="N35" s="97"/>
      <c r="O35" s="98"/>
      <c r="P35" s="99"/>
      <c r="Q35" s="100"/>
      <c r="R35" s="99"/>
      <c r="S35" s="100"/>
      <c r="T35" s="99"/>
      <c r="U35" s="100"/>
      <c r="V35" s="99"/>
      <c r="W35" s="100"/>
      <c r="X35" s="99"/>
      <c r="Y35" s="100"/>
      <c r="Z35" s="99"/>
      <c r="AA35" s="100"/>
      <c r="AB35" s="99"/>
      <c r="AC35" s="100"/>
      <c r="AD35" s="99"/>
      <c r="AE35" s="100"/>
      <c r="AF35" s="99"/>
      <c r="AG35" s="100"/>
      <c r="AH35" s="124"/>
      <c r="AI35" s="46">
        <f t="shared" si="27"/>
        <v>0</v>
      </c>
      <c r="AJ35" s="46">
        <f t="shared" si="27"/>
        <v>0</v>
      </c>
      <c r="AK35" s="169" t="str">
        <f t="shared" si="4"/>
        <v>z</v>
      </c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</row>
    <row r="36" spans="1:55" ht="16.5" customHeight="1" x14ac:dyDescent="0.25">
      <c r="A36" s="167" t="str">
        <f t="shared" si="1"/>
        <v/>
      </c>
      <c r="B36" s="167"/>
      <c r="C36" s="8">
        <f t="shared" si="2"/>
        <v>33</v>
      </c>
      <c r="D36" s="101"/>
      <c r="E36" s="96"/>
      <c r="F36" s="96"/>
      <c r="G36" s="97"/>
      <c r="H36" s="96"/>
      <c r="I36" s="96"/>
      <c r="J36" s="96"/>
      <c r="K36" s="96"/>
      <c r="L36" s="96"/>
      <c r="M36" s="166" t="str">
        <f>+IF(+ISBLANK(I36)=TRUE," ",+WORKDAY.INTL(I36,+J36+K36+L36,,CONGÉ!$C$2:$C$80))</f>
        <v xml:space="preserve"> </v>
      </c>
      <c r="N36" s="97"/>
      <c r="O36" s="98"/>
      <c r="P36" s="99"/>
      <c r="Q36" s="100"/>
      <c r="R36" s="99"/>
      <c r="S36" s="100"/>
      <c r="T36" s="99"/>
      <c r="U36" s="100"/>
      <c r="V36" s="99"/>
      <c r="W36" s="100"/>
      <c r="X36" s="99"/>
      <c r="Y36" s="100"/>
      <c r="Z36" s="99"/>
      <c r="AA36" s="100"/>
      <c r="AB36" s="99"/>
      <c r="AC36" s="100"/>
      <c r="AD36" s="99"/>
      <c r="AE36" s="100"/>
      <c r="AF36" s="99"/>
      <c r="AG36" s="100"/>
      <c r="AH36" s="124"/>
      <c r="AI36" s="46">
        <f t="shared" si="27"/>
        <v>0</v>
      </c>
      <c r="AJ36" s="46">
        <f t="shared" si="27"/>
        <v>0</v>
      </c>
      <c r="AK36" s="169" t="str">
        <f t="shared" si="4"/>
        <v>z</v>
      </c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</row>
    <row r="37" spans="1:55" ht="16.5" customHeight="1" x14ac:dyDescent="0.25">
      <c r="A37" s="167" t="str">
        <f t="shared" si="1"/>
        <v/>
      </c>
      <c r="B37" s="167"/>
      <c r="C37" s="8">
        <f t="shared" si="2"/>
        <v>34</v>
      </c>
      <c r="D37" s="101"/>
      <c r="E37" s="96"/>
      <c r="F37" s="96"/>
      <c r="G37" s="97"/>
      <c r="H37" s="96"/>
      <c r="I37" s="96"/>
      <c r="J37" s="96"/>
      <c r="K37" s="96"/>
      <c r="L37" s="96"/>
      <c r="M37" s="166" t="str">
        <f>+IF(+ISBLANK(I37)=TRUE," ",+WORKDAY.INTL(I37,+J37+K37+L37,,CONGÉ!$C$2:$C$80))</f>
        <v xml:space="preserve"> </v>
      </c>
      <c r="N37" s="97"/>
      <c r="O37" s="98"/>
      <c r="P37" s="99"/>
      <c r="Q37" s="100"/>
      <c r="R37" s="99"/>
      <c r="S37" s="100"/>
      <c r="T37" s="99"/>
      <c r="U37" s="100"/>
      <c r="V37" s="99"/>
      <c r="W37" s="100"/>
      <c r="X37" s="99"/>
      <c r="Y37" s="100"/>
      <c r="Z37" s="99"/>
      <c r="AA37" s="100"/>
      <c r="AB37" s="99"/>
      <c r="AC37" s="100"/>
      <c r="AD37" s="99"/>
      <c r="AE37" s="100"/>
      <c r="AF37" s="99"/>
      <c r="AG37" s="100"/>
      <c r="AH37" s="124"/>
      <c r="AI37" s="46">
        <f t="shared" ref="AI37:AJ37" si="28">P37+R37+T37+V37+X37+Z37+AB37+AD37</f>
        <v>0</v>
      </c>
      <c r="AJ37" s="46">
        <f t="shared" si="28"/>
        <v>0</v>
      </c>
      <c r="AK37" s="169" t="str">
        <f t="shared" si="4"/>
        <v>z</v>
      </c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</row>
    <row r="38" spans="1:55" ht="16.5" customHeight="1" x14ac:dyDescent="0.25">
      <c r="A38" s="167" t="str">
        <f t="shared" si="1"/>
        <v/>
      </c>
      <c r="B38" s="167"/>
      <c r="C38" s="8">
        <f t="shared" si="2"/>
        <v>35</v>
      </c>
      <c r="D38" s="101"/>
      <c r="E38" s="96"/>
      <c r="F38" s="96"/>
      <c r="G38" s="97"/>
      <c r="H38" s="96"/>
      <c r="I38" s="96"/>
      <c r="J38" s="96"/>
      <c r="K38" s="96"/>
      <c r="L38" s="96"/>
      <c r="M38" s="166" t="str">
        <f>+IF(+ISBLANK(I38)=TRUE," ",+WORKDAY.INTL(I38,+J38+K38+L38,,CONGÉ!$C$2:$C$80))</f>
        <v xml:space="preserve"> </v>
      </c>
      <c r="N38" s="97"/>
      <c r="O38" s="98"/>
      <c r="P38" s="99"/>
      <c r="Q38" s="100"/>
      <c r="R38" s="99"/>
      <c r="S38" s="100"/>
      <c r="T38" s="99"/>
      <c r="U38" s="100"/>
      <c r="V38" s="99"/>
      <c r="W38" s="100"/>
      <c r="X38" s="99"/>
      <c r="Y38" s="100"/>
      <c r="Z38" s="99"/>
      <c r="AA38" s="100"/>
      <c r="AB38" s="99"/>
      <c r="AC38" s="100"/>
      <c r="AD38" s="99"/>
      <c r="AE38" s="100"/>
      <c r="AF38" s="99"/>
      <c r="AG38" s="100"/>
      <c r="AH38" s="124"/>
      <c r="AI38" s="46">
        <f>P38+R38+T38+V38+X38+Z38+AB38+AD38</f>
        <v>0</v>
      </c>
      <c r="AJ38" s="46">
        <f>Q38+S38+U38+W38+Y38+AA38+AC38+AE38</f>
        <v>0</v>
      </c>
      <c r="AK38" s="169" t="str">
        <f t="shared" si="4"/>
        <v>z</v>
      </c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</row>
    <row r="39" spans="1:55" ht="16.5" customHeight="1" x14ac:dyDescent="0.25">
      <c r="A39" s="167" t="str">
        <f t="shared" si="1"/>
        <v/>
      </c>
      <c r="B39" s="167"/>
      <c r="C39" s="8">
        <f t="shared" si="2"/>
        <v>36</v>
      </c>
      <c r="D39" s="101"/>
      <c r="E39" s="96"/>
      <c r="F39" s="96"/>
      <c r="G39" s="97"/>
      <c r="H39" s="96"/>
      <c r="I39" s="96"/>
      <c r="J39" s="96"/>
      <c r="K39" s="96"/>
      <c r="L39" s="96"/>
      <c r="M39" s="166" t="str">
        <f>+IF(+ISBLANK(I39)=TRUE," ",+WORKDAY.INTL(I39,+J39+K39+L39,,CONGÉ!$C$2:$C$80))</f>
        <v xml:space="preserve"> </v>
      </c>
      <c r="N39" s="97"/>
      <c r="O39" s="98"/>
      <c r="P39" s="99"/>
      <c r="Q39" s="100"/>
      <c r="R39" s="99"/>
      <c r="S39" s="100"/>
      <c r="T39" s="99"/>
      <c r="U39" s="100"/>
      <c r="V39" s="99"/>
      <c r="W39" s="100"/>
      <c r="X39" s="99"/>
      <c r="Y39" s="100"/>
      <c r="Z39" s="99"/>
      <c r="AA39" s="100"/>
      <c r="AB39" s="99"/>
      <c r="AC39" s="100"/>
      <c r="AD39" s="99"/>
      <c r="AE39" s="100"/>
      <c r="AF39" s="99"/>
      <c r="AG39" s="100"/>
      <c r="AH39" s="124"/>
      <c r="AI39" s="46">
        <f t="shared" ref="AI39:AJ39" si="29">P39+R39+T39+V39+X39+Z39+AB39+AD39</f>
        <v>0</v>
      </c>
      <c r="AJ39" s="46">
        <f t="shared" si="29"/>
        <v>0</v>
      </c>
      <c r="AK39" s="169" t="str">
        <f t="shared" si="4"/>
        <v>z</v>
      </c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</row>
    <row r="40" spans="1:55" ht="16.5" customHeight="1" x14ac:dyDescent="0.25">
      <c r="A40" s="167" t="str">
        <f t="shared" si="1"/>
        <v/>
      </c>
      <c r="B40" s="167"/>
      <c r="C40" s="8">
        <f t="shared" si="2"/>
        <v>37</v>
      </c>
      <c r="D40" s="101"/>
      <c r="E40" s="96"/>
      <c r="F40" s="96"/>
      <c r="G40" s="97"/>
      <c r="H40" s="96"/>
      <c r="I40" s="96"/>
      <c r="J40" s="96"/>
      <c r="K40" s="96"/>
      <c r="L40" s="96"/>
      <c r="M40" s="166" t="str">
        <f>+IF(+ISBLANK(I40)=TRUE," ",+WORKDAY.INTL(I40,+J40+K40+L40,,CONGÉ!$C$2:$C$80))</f>
        <v xml:space="preserve"> </v>
      </c>
      <c r="N40" s="97"/>
      <c r="O40" s="98"/>
      <c r="P40" s="99"/>
      <c r="Q40" s="100"/>
      <c r="R40" s="99"/>
      <c r="S40" s="100"/>
      <c r="T40" s="99"/>
      <c r="U40" s="100"/>
      <c r="V40" s="99"/>
      <c r="W40" s="100"/>
      <c r="X40" s="99"/>
      <c r="Y40" s="100"/>
      <c r="Z40" s="99"/>
      <c r="AA40" s="100"/>
      <c r="AB40" s="99"/>
      <c r="AC40" s="100"/>
      <c r="AD40" s="99"/>
      <c r="AE40" s="100"/>
      <c r="AF40" s="99"/>
      <c r="AG40" s="100"/>
      <c r="AH40" s="124"/>
      <c r="AI40" s="46">
        <f t="shared" ref="AI40:AJ40" si="30">P40+R40+T40+V40+X40+Z40+AB40+AD40</f>
        <v>0</v>
      </c>
      <c r="AJ40" s="46">
        <f t="shared" si="30"/>
        <v>0</v>
      </c>
      <c r="AK40" s="169" t="str">
        <f t="shared" si="4"/>
        <v>z</v>
      </c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</row>
    <row r="41" spans="1:55" ht="15" customHeight="1" x14ac:dyDescent="0.25">
      <c r="A41" s="167" t="str">
        <f t="shared" si="1"/>
        <v/>
      </c>
      <c r="B41" s="167"/>
      <c r="C41" s="8">
        <f t="shared" si="2"/>
        <v>38</v>
      </c>
      <c r="D41" s="101"/>
      <c r="E41" s="96"/>
      <c r="F41" s="96"/>
      <c r="G41" s="97"/>
      <c r="H41" s="96"/>
      <c r="I41" s="96"/>
      <c r="J41" s="96"/>
      <c r="K41" s="96"/>
      <c r="L41" s="96"/>
      <c r="M41" s="166" t="str">
        <f>+IF(+ISBLANK(I41)=TRUE," ",+WORKDAY.INTL(I41,+J41+K41+L41,,CONGÉ!$C$2:$C$80))</f>
        <v xml:space="preserve"> </v>
      </c>
      <c r="N41" s="97"/>
      <c r="O41" s="98"/>
      <c r="P41" s="99"/>
      <c r="Q41" s="100"/>
      <c r="R41" s="99"/>
      <c r="S41" s="100"/>
      <c r="T41" s="99"/>
      <c r="U41" s="100"/>
      <c r="V41" s="99"/>
      <c r="W41" s="100"/>
      <c r="X41" s="99"/>
      <c r="Y41" s="100"/>
      <c r="Z41" s="99"/>
      <c r="AA41" s="100"/>
      <c r="AB41" s="99"/>
      <c r="AC41" s="100"/>
      <c r="AD41" s="99"/>
      <c r="AE41" s="100"/>
      <c r="AF41" s="99"/>
      <c r="AG41" s="100"/>
      <c r="AH41" s="124"/>
      <c r="AI41" s="46">
        <f t="shared" ref="AI41:AJ41" si="31">P41+R41+T41+V41+X41+Z41+AB41+AD41</f>
        <v>0</v>
      </c>
      <c r="AJ41" s="46">
        <f t="shared" si="31"/>
        <v>0</v>
      </c>
      <c r="AK41" s="169" t="str">
        <f t="shared" si="4"/>
        <v>z</v>
      </c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</row>
    <row r="42" spans="1:55" ht="16.5" customHeight="1" x14ac:dyDescent="0.25">
      <c r="A42" s="167" t="str">
        <f t="shared" si="1"/>
        <v/>
      </c>
      <c r="B42" s="167"/>
      <c r="C42" s="8">
        <f t="shared" si="2"/>
        <v>39</v>
      </c>
      <c r="D42" s="101"/>
      <c r="E42" s="96"/>
      <c r="F42" s="96"/>
      <c r="G42" s="97"/>
      <c r="H42" s="96"/>
      <c r="I42" s="96"/>
      <c r="J42" s="96"/>
      <c r="K42" s="96"/>
      <c r="L42" s="96"/>
      <c r="M42" s="166" t="str">
        <f>+IF(+ISBLANK(I42)=TRUE," ",+WORKDAY.INTL(I42,+J42+K42+L42,,CONGÉ!$C$2:$C$80))</f>
        <v xml:space="preserve"> </v>
      </c>
      <c r="N42" s="97"/>
      <c r="O42" s="98"/>
      <c r="P42" s="99"/>
      <c r="Q42" s="100"/>
      <c r="R42" s="99"/>
      <c r="S42" s="100"/>
      <c r="T42" s="99"/>
      <c r="U42" s="100"/>
      <c r="V42" s="99"/>
      <c r="W42" s="100"/>
      <c r="X42" s="99"/>
      <c r="Y42" s="100"/>
      <c r="Z42" s="99"/>
      <c r="AA42" s="100"/>
      <c r="AB42" s="99"/>
      <c r="AC42" s="100"/>
      <c r="AD42" s="99"/>
      <c r="AE42" s="100"/>
      <c r="AF42" s="99"/>
      <c r="AG42" s="100"/>
      <c r="AH42" s="124"/>
      <c r="AI42" s="46">
        <f t="shared" ref="AI42:AJ42" si="32">P42+R42+T42+V42+X42+Z42+AB42+AD42</f>
        <v>0</v>
      </c>
      <c r="AJ42" s="46">
        <f t="shared" si="32"/>
        <v>0</v>
      </c>
      <c r="AK42" s="169" t="str">
        <f t="shared" si="4"/>
        <v>z</v>
      </c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</row>
    <row r="43" spans="1:55" ht="16.5" customHeight="1" x14ac:dyDescent="0.25">
      <c r="A43" s="167" t="str">
        <f t="shared" si="1"/>
        <v/>
      </c>
      <c r="B43" s="167"/>
      <c r="C43" s="8">
        <f t="shared" si="2"/>
        <v>40</v>
      </c>
      <c r="D43" s="101"/>
      <c r="E43" s="96"/>
      <c r="F43" s="96"/>
      <c r="G43" s="97"/>
      <c r="H43" s="96"/>
      <c r="I43" s="96"/>
      <c r="J43" s="96"/>
      <c r="K43" s="96"/>
      <c r="L43" s="96"/>
      <c r="M43" s="166" t="str">
        <f>+IF(+ISBLANK(I43)=TRUE," ",+WORKDAY.INTL(I43,+J43+K43+L43,,CONGÉ!$C$2:$C$80))</f>
        <v xml:space="preserve"> </v>
      </c>
      <c r="N43" s="97"/>
      <c r="O43" s="98"/>
      <c r="P43" s="99"/>
      <c r="Q43" s="100"/>
      <c r="R43" s="99"/>
      <c r="S43" s="100"/>
      <c r="T43" s="99"/>
      <c r="U43" s="100"/>
      <c r="V43" s="99"/>
      <c r="W43" s="100"/>
      <c r="X43" s="99"/>
      <c r="Y43" s="100"/>
      <c r="Z43" s="99"/>
      <c r="AA43" s="100"/>
      <c r="AB43" s="99"/>
      <c r="AC43" s="100"/>
      <c r="AD43" s="99"/>
      <c r="AE43" s="100"/>
      <c r="AF43" s="99"/>
      <c r="AG43" s="100"/>
      <c r="AH43" s="124"/>
      <c r="AI43" s="46">
        <f>P43+R43+T43+V43+X43+Z43+AB43+AD43</f>
        <v>0</v>
      </c>
      <c r="AJ43" s="46">
        <f>Q43+S43+U43+W43+Y43+AA43+AC43+AE43</f>
        <v>0</v>
      </c>
      <c r="AK43" s="169" t="str">
        <f t="shared" si="4"/>
        <v>z</v>
      </c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</row>
    <row r="44" spans="1:55" ht="16.5" customHeight="1" x14ac:dyDescent="0.25">
      <c r="A44" s="167" t="str">
        <f t="shared" si="1"/>
        <v/>
      </c>
      <c r="B44" s="167"/>
      <c r="C44" s="8">
        <f t="shared" si="2"/>
        <v>41</v>
      </c>
      <c r="D44" s="101"/>
      <c r="E44" s="96"/>
      <c r="F44" s="96"/>
      <c r="G44" s="97"/>
      <c r="H44" s="96"/>
      <c r="I44" s="96"/>
      <c r="J44" s="96"/>
      <c r="K44" s="96"/>
      <c r="L44" s="96"/>
      <c r="M44" s="166" t="str">
        <f>+IF(+ISBLANK(I44)=TRUE," ",+WORKDAY.INTL(I44,+J44+K44+L44,,CONGÉ!$C$2:$C$80))</f>
        <v xml:space="preserve"> </v>
      </c>
      <c r="N44" s="97"/>
      <c r="O44" s="98"/>
      <c r="P44" s="99"/>
      <c r="Q44" s="100"/>
      <c r="R44" s="99"/>
      <c r="S44" s="100"/>
      <c r="T44" s="99"/>
      <c r="U44" s="100"/>
      <c r="V44" s="99"/>
      <c r="W44" s="100"/>
      <c r="X44" s="99"/>
      <c r="Y44" s="100"/>
      <c r="Z44" s="99"/>
      <c r="AA44" s="100"/>
      <c r="AB44" s="99"/>
      <c r="AC44" s="100"/>
      <c r="AD44" s="99"/>
      <c r="AE44" s="100"/>
      <c r="AF44" s="99"/>
      <c r="AG44" s="100"/>
      <c r="AH44" s="124"/>
      <c r="AI44" s="46">
        <f>P44+R44+T44+V44+X44+Z44+AB44+AD44</f>
        <v>0</v>
      </c>
      <c r="AJ44" s="46">
        <f>Q44+S44+U44+W44+Y44+AA44+AC44+AE44</f>
        <v>0</v>
      </c>
      <c r="AK44" s="169" t="str">
        <f t="shared" si="4"/>
        <v>z</v>
      </c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</row>
    <row r="45" spans="1:55" ht="16.5" customHeight="1" x14ac:dyDescent="0.25">
      <c r="A45" s="167" t="str">
        <f t="shared" si="1"/>
        <v/>
      </c>
      <c r="B45" s="167"/>
      <c r="C45" s="8">
        <f t="shared" si="2"/>
        <v>42</v>
      </c>
      <c r="D45" s="101"/>
      <c r="E45" s="96"/>
      <c r="F45" s="96"/>
      <c r="G45" s="97"/>
      <c r="H45" s="96"/>
      <c r="I45" s="96"/>
      <c r="J45" s="96"/>
      <c r="K45" s="96"/>
      <c r="L45" s="96"/>
      <c r="M45" s="166" t="str">
        <f>+IF(+ISBLANK(I45)=TRUE," ",+WORKDAY.INTL(I45,+J45+K45+L45,,CONGÉ!$C$2:$C$80))</f>
        <v xml:space="preserve"> </v>
      </c>
      <c r="N45" s="97"/>
      <c r="O45" s="98"/>
      <c r="P45" s="99"/>
      <c r="Q45" s="100"/>
      <c r="R45" s="99"/>
      <c r="S45" s="100"/>
      <c r="T45" s="99"/>
      <c r="U45" s="100"/>
      <c r="V45" s="99"/>
      <c r="W45" s="100"/>
      <c r="X45" s="99"/>
      <c r="Y45" s="100"/>
      <c r="Z45" s="99"/>
      <c r="AA45" s="100"/>
      <c r="AB45" s="99"/>
      <c r="AC45" s="100"/>
      <c r="AD45" s="99"/>
      <c r="AE45" s="100"/>
      <c r="AF45" s="99"/>
      <c r="AG45" s="100"/>
      <c r="AH45" s="124"/>
      <c r="AI45" s="46">
        <f t="shared" ref="AI45:AJ45" si="33">P45+R45+T45+V45+X45+Z45+AB45+AD45</f>
        <v>0</v>
      </c>
      <c r="AJ45" s="46">
        <f t="shared" si="33"/>
        <v>0</v>
      </c>
      <c r="AK45" s="169" t="str">
        <f t="shared" si="4"/>
        <v>z</v>
      </c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</row>
    <row r="46" spans="1:55" x14ac:dyDescent="0.25">
      <c r="A46" s="167" t="str">
        <f t="shared" si="1"/>
        <v/>
      </c>
      <c r="B46" s="167"/>
      <c r="C46" s="8">
        <f t="shared" si="2"/>
        <v>43</v>
      </c>
      <c r="D46" s="101"/>
      <c r="E46" s="96"/>
      <c r="F46" s="96"/>
      <c r="G46" s="97"/>
      <c r="H46" s="96"/>
      <c r="I46" s="96"/>
      <c r="J46" s="96"/>
      <c r="K46" s="96"/>
      <c r="L46" s="96"/>
      <c r="M46" s="166" t="str">
        <f>+IF(+ISBLANK(I46)=TRUE," ",+WORKDAY.INTL(I46,+J46+K46+L46,,CONGÉ!$C$2:$C$80))</f>
        <v xml:space="preserve"> </v>
      </c>
      <c r="N46" s="97"/>
      <c r="O46" s="98"/>
      <c r="P46" s="99"/>
      <c r="Q46" s="100"/>
      <c r="R46" s="99"/>
      <c r="S46" s="100"/>
      <c r="T46" s="99"/>
      <c r="U46" s="100"/>
      <c r="V46" s="99"/>
      <c r="W46" s="100"/>
      <c r="X46" s="99"/>
      <c r="Y46" s="100"/>
      <c r="Z46" s="99"/>
      <c r="AA46" s="100"/>
      <c r="AB46" s="99"/>
      <c r="AC46" s="100"/>
      <c r="AD46" s="99"/>
      <c r="AE46" s="100"/>
      <c r="AF46" s="99"/>
      <c r="AG46" s="100"/>
      <c r="AH46" s="124"/>
      <c r="AI46" s="46">
        <f t="shared" ref="AI46:AJ50" si="34">P46+R46+T46+V46+X46+Z46+AB46+AD46</f>
        <v>0</v>
      </c>
      <c r="AJ46" s="46">
        <f t="shared" si="34"/>
        <v>0</v>
      </c>
      <c r="AK46" s="169" t="str">
        <f t="shared" si="4"/>
        <v>z</v>
      </c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</row>
    <row r="47" spans="1:55" x14ac:dyDescent="0.25">
      <c r="A47" s="167" t="str">
        <f t="shared" si="1"/>
        <v/>
      </c>
      <c r="B47" s="167"/>
      <c r="C47" s="8">
        <f t="shared" si="2"/>
        <v>44</v>
      </c>
      <c r="D47" s="101"/>
      <c r="E47" s="96"/>
      <c r="F47" s="96"/>
      <c r="G47" s="97"/>
      <c r="H47" s="96"/>
      <c r="I47" s="96"/>
      <c r="J47" s="96"/>
      <c r="K47" s="96"/>
      <c r="L47" s="96"/>
      <c r="M47" s="166" t="str">
        <f>+IF(+ISBLANK(I47)=TRUE," ",+WORKDAY.INTL(I47,+J47+K47+L47,,CONGÉ!$C$2:$C$80))</f>
        <v xml:space="preserve"> </v>
      </c>
      <c r="N47" s="97"/>
      <c r="O47" s="98"/>
      <c r="P47" s="99"/>
      <c r="Q47" s="100"/>
      <c r="R47" s="99"/>
      <c r="S47" s="100"/>
      <c r="T47" s="99"/>
      <c r="U47" s="100"/>
      <c r="V47" s="99"/>
      <c r="W47" s="100"/>
      <c r="X47" s="99"/>
      <c r="Y47" s="100"/>
      <c r="Z47" s="99"/>
      <c r="AA47" s="100"/>
      <c r="AB47" s="99"/>
      <c r="AC47" s="100"/>
      <c r="AD47" s="99"/>
      <c r="AE47" s="100"/>
      <c r="AF47" s="99"/>
      <c r="AG47" s="100"/>
      <c r="AH47" s="124"/>
      <c r="AI47" s="46">
        <f t="shared" si="34"/>
        <v>0</v>
      </c>
      <c r="AJ47" s="46">
        <f t="shared" si="34"/>
        <v>0</v>
      </c>
      <c r="AK47" s="169" t="str">
        <f t="shared" si="4"/>
        <v>z</v>
      </c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</row>
    <row r="48" spans="1:55" ht="16.5" customHeight="1" x14ac:dyDescent="0.25">
      <c r="A48" s="167" t="str">
        <f t="shared" si="1"/>
        <v/>
      </c>
      <c r="B48" s="167"/>
      <c r="C48" s="8">
        <f t="shared" si="2"/>
        <v>45</v>
      </c>
      <c r="D48" s="101"/>
      <c r="E48" s="96"/>
      <c r="F48" s="96"/>
      <c r="G48" s="97"/>
      <c r="H48" s="96"/>
      <c r="I48" s="96"/>
      <c r="J48" s="96"/>
      <c r="K48" s="96"/>
      <c r="L48" s="96"/>
      <c r="M48" s="166" t="str">
        <f>+IF(+ISBLANK(I48)=TRUE," ",+WORKDAY.INTL(I48,+J48+K48+L48,,CONGÉ!$C$2:$C$80))</f>
        <v xml:space="preserve"> </v>
      </c>
      <c r="N48" s="97"/>
      <c r="O48" s="98"/>
      <c r="P48" s="99"/>
      <c r="Q48" s="100"/>
      <c r="R48" s="99"/>
      <c r="S48" s="100"/>
      <c r="T48" s="99"/>
      <c r="U48" s="100"/>
      <c r="V48" s="99"/>
      <c r="W48" s="100"/>
      <c r="X48" s="99"/>
      <c r="Y48" s="100"/>
      <c r="Z48" s="99"/>
      <c r="AA48" s="100"/>
      <c r="AB48" s="99"/>
      <c r="AC48" s="100"/>
      <c r="AD48" s="99"/>
      <c r="AE48" s="100"/>
      <c r="AF48" s="99"/>
      <c r="AG48" s="100"/>
      <c r="AH48" s="124"/>
      <c r="AI48" s="46">
        <f t="shared" si="34"/>
        <v>0</v>
      </c>
      <c r="AJ48" s="46">
        <f t="shared" si="34"/>
        <v>0</v>
      </c>
      <c r="AK48" s="169" t="str">
        <f t="shared" si="4"/>
        <v>z</v>
      </c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</row>
    <row r="49" spans="1:56" s="10" customFormat="1" x14ac:dyDescent="0.25">
      <c r="A49" s="167" t="str">
        <f t="shared" si="1"/>
        <v/>
      </c>
      <c r="B49" s="167"/>
      <c r="C49" s="8">
        <f t="shared" si="2"/>
        <v>46</v>
      </c>
      <c r="D49" s="101"/>
      <c r="E49" s="96"/>
      <c r="F49" s="96"/>
      <c r="G49" s="97"/>
      <c r="H49" s="96"/>
      <c r="I49" s="96"/>
      <c r="J49" s="96"/>
      <c r="K49" s="96"/>
      <c r="L49" s="96"/>
      <c r="M49" s="166" t="str">
        <f>+IF(+ISBLANK(I49)=TRUE," ",+WORKDAY.INTL(I49,+J49+K49+L49,,CONGÉ!$C$2:$C$80))</f>
        <v xml:space="preserve"> </v>
      </c>
      <c r="N49" s="97"/>
      <c r="O49" s="98"/>
      <c r="P49" s="99"/>
      <c r="Q49" s="100"/>
      <c r="R49" s="99"/>
      <c r="S49" s="100"/>
      <c r="T49" s="99"/>
      <c r="U49" s="100"/>
      <c r="V49" s="99"/>
      <c r="W49" s="100"/>
      <c r="X49" s="99"/>
      <c r="Y49" s="100"/>
      <c r="Z49" s="99"/>
      <c r="AA49" s="100"/>
      <c r="AB49" s="99"/>
      <c r="AC49" s="100"/>
      <c r="AD49" s="99"/>
      <c r="AE49" s="100"/>
      <c r="AF49" s="99"/>
      <c r="AG49" s="100"/>
      <c r="AH49" s="124"/>
      <c r="AI49" s="46">
        <f t="shared" si="34"/>
        <v>0</v>
      </c>
      <c r="AJ49" s="46">
        <f t="shared" si="34"/>
        <v>0</v>
      </c>
      <c r="AK49" s="169" t="str">
        <f t="shared" si="4"/>
        <v>z</v>
      </c>
      <c r="BD49" s="16"/>
    </row>
    <row r="50" spans="1:56" ht="16.5" customHeight="1" x14ac:dyDescent="0.25">
      <c r="A50" s="167" t="str">
        <f t="shared" si="1"/>
        <v/>
      </c>
      <c r="B50" s="167"/>
      <c r="C50" s="8">
        <f t="shared" si="2"/>
        <v>47</v>
      </c>
      <c r="D50" s="101"/>
      <c r="E50" s="96"/>
      <c r="F50" s="96"/>
      <c r="G50" s="97"/>
      <c r="H50" s="96"/>
      <c r="I50" s="96"/>
      <c r="J50" s="96"/>
      <c r="K50" s="96"/>
      <c r="L50" s="96"/>
      <c r="M50" s="166" t="str">
        <f>+IF(+ISBLANK(I50)=TRUE," ",+WORKDAY.INTL(I50,+J50+K50+L50,,CONGÉ!$C$2:$C$80))</f>
        <v xml:space="preserve"> </v>
      </c>
      <c r="N50" s="97"/>
      <c r="O50" s="98"/>
      <c r="P50" s="99"/>
      <c r="Q50" s="100"/>
      <c r="R50" s="99"/>
      <c r="S50" s="100"/>
      <c r="T50" s="99"/>
      <c r="U50" s="100"/>
      <c r="V50" s="99"/>
      <c r="W50" s="100"/>
      <c r="X50" s="99"/>
      <c r="Y50" s="100"/>
      <c r="Z50" s="99"/>
      <c r="AA50" s="100"/>
      <c r="AB50" s="99"/>
      <c r="AC50" s="100"/>
      <c r="AD50" s="99"/>
      <c r="AE50" s="100"/>
      <c r="AF50" s="99"/>
      <c r="AG50" s="100"/>
      <c r="AH50" s="124"/>
      <c r="AI50" s="46">
        <f t="shared" si="34"/>
        <v>0</v>
      </c>
      <c r="AJ50" s="46">
        <f t="shared" si="34"/>
        <v>0</v>
      </c>
      <c r="AK50" s="169" t="str">
        <f t="shared" si="4"/>
        <v>z</v>
      </c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</row>
    <row r="51" spans="1:56" ht="16.5" customHeight="1" x14ac:dyDescent="0.25">
      <c r="A51" s="167" t="str">
        <f t="shared" si="1"/>
        <v/>
      </c>
      <c r="B51" s="167"/>
      <c r="C51" s="8">
        <f t="shared" si="2"/>
        <v>48</v>
      </c>
      <c r="D51" s="101"/>
      <c r="E51" s="96"/>
      <c r="F51" s="96"/>
      <c r="G51" s="97"/>
      <c r="H51" s="96"/>
      <c r="I51" s="96"/>
      <c r="J51" s="96"/>
      <c r="K51" s="96"/>
      <c r="L51" s="96"/>
      <c r="M51" s="166" t="str">
        <f>+IF(+ISBLANK(I51)=TRUE," ",+WORKDAY.INTL(I51,+J51+K51+L51,,CONGÉ!$C$2:$C$80))</f>
        <v xml:space="preserve"> </v>
      </c>
      <c r="N51" s="97"/>
      <c r="O51" s="98"/>
      <c r="P51" s="99"/>
      <c r="Q51" s="100"/>
      <c r="R51" s="99"/>
      <c r="S51" s="100"/>
      <c r="T51" s="99"/>
      <c r="U51" s="100"/>
      <c r="V51" s="99"/>
      <c r="W51" s="100"/>
      <c r="X51" s="99"/>
      <c r="Y51" s="100"/>
      <c r="Z51" s="99"/>
      <c r="AA51" s="100"/>
      <c r="AB51" s="99"/>
      <c r="AC51" s="100"/>
      <c r="AD51" s="99"/>
      <c r="AE51" s="100"/>
      <c r="AF51" s="99"/>
      <c r="AG51" s="100"/>
      <c r="AH51" s="124"/>
      <c r="AI51" s="46">
        <f t="shared" ref="AI51:AJ55" si="35">P51+R51+T51+V51+X51+Z51+AB51+AD51</f>
        <v>0</v>
      </c>
      <c r="AJ51" s="46">
        <f t="shared" si="35"/>
        <v>0</v>
      </c>
      <c r="AK51" s="169" t="str">
        <f t="shared" si="4"/>
        <v>z</v>
      </c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</row>
    <row r="52" spans="1:56" ht="16.5" customHeight="1" x14ac:dyDescent="0.25">
      <c r="A52" s="167" t="str">
        <f t="shared" si="1"/>
        <v/>
      </c>
      <c r="B52" s="167"/>
      <c r="C52" s="8">
        <f t="shared" si="2"/>
        <v>49</v>
      </c>
      <c r="D52" s="101"/>
      <c r="E52" s="96"/>
      <c r="F52" s="96"/>
      <c r="G52" s="97"/>
      <c r="H52" s="96"/>
      <c r="I52" s="96"/>
      <c r="J52" s="96"/>
      <c r="K52" s="96"/>
      <c r="L52" s="96"/>
      <c r="M52" s="166" t="str">
        <f>+IF(+ISBLANK(I52)=TRUE," ",+WORKDAY.INTL(I52,+J52+K52+L52,,CONGÉ!$C$2:$C$80))</f>
        <v xml:space="preserve"> </v>
      </c>
      <c r="N52" s="97"/>
      <c r="O52" s="98"/>
      <c r="P52" s="99"/>
      <c r="Q52" s="100"/>
      <c r="R52" s="99"/>
      <c r="S52" s="100"/>
      <c r="T52" s="99"/>
      <c r="U52" s="100"/>
      <c r="V52" s="99"/>
      <c r="W52" s="100"/>
      <c r="X52" s="99"/>
      <c r="Y52" s="100"/>
      <c r="Z52" s="99"/>
      <c r="AA52" s="100"/>
      <c r="AB52" s="99"/>
      <c r="AC52" s="100"/>
      <c r="AD52" s="99"/>
      <c r="AE52" s="100"/>
      <c r="AF52" s="99"/>
      <c r="AG52" s="100"/>
      <c r="AH52" s="124"/>
      <c r="AI52" s="46">
        <f t="shared" si="35"/>
        <v>0</v>
      </c>
      <c r="AJ52" s="46">
        <f t="shared" si="35"/>
        <v>0</v>
      </c>
      <c r="AK52" s="169" t="str">
        <f t="shared" si="4"/>
        <v>z</v>
      </c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</row>
    <row r="53" spans="1:56" ht="16.5" customHeight="1" x14ac:dyDescent="0.25">
      <c r="A53" s="167" t="str">
        <f t="shared" si="1"/>
        <v/>
      </c>
      <c r="B53" s="167"/>
      <c r="C53" s="8">
        <f t="shared" si="2"/>
        <v>50</v>
      </c>
      <c r="D53" s="101"/>
      <c r="E53" s="96"/>
      <c r="F53" s="96"/>
      <c r="G53" s="97"/>
      <c r="H53" s="96"/>
      <c r="I53" s="96"/>
      <c r="J53" s="96"/>
      <c r="K53" s="96"/>
      <c r="L53" s="96"/>
      <c r="M53" s="166" t="str">
        <f>+IF(+ISBLANK(I53)=TRUE," ",+WORKDAY.INTL(I53,+J53+K53+L53,,CONGÉ!$C$2:$C$80))</f>
        <v xml:space="preserve"> </v>
      </c>
      <c r="N53" s="97"/>
      <c r="O53" s="98"/>
      <c r="P53" s="99"/>
      <c r="Q53" s="100"/>
      <c r="R53" s="99"/>
      <c r="S53" s="100"/>
      <c r="T53" s="99"/>
      <c r="U53" s="100"/>
      <c r="V53" s="99"/>
      <c r="W53" s="100"/>
      <c r="X53" s="99"/>
      <c r="Y53" s="100"/>
      <c r="Z53" s="99"/>
      <c r="AA53" s="100"/>
      <c r="AB53" s="99"/>
      <c r="AC53" s="100"/>
      <c r="AD53" s="99"/>
      <c r="AE53" s="100"/>
      <c r="AF53" s="99"/>
      <c r="AG53" s="100"/>
      <c r="AH53" s="124"/>
      <c r="AI53" s="46">
        <f t="shared" si="35"/>
        <v>0</v>
      </c>
      <c r="AJ53" s="46">
        <f t="shared" si="35"/>
        <v>0</v>
      </c>
      <c r="AK53" s="169" t="str">
        <f t="shared" si="4"/>
        <v>z</v>
      </c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</row>
    <row r="54" spans="1:56" ht="16.5" customHeight="1" x14ac:dyDescent="0.25">
      <c r="A54" s="167" t="str">
        <f t="shared" si="1"/>
        <v/>
      </c>
      <c r="B54" s="167"/>
      <c r="C54" s="8">
        <f t="shared" si="2"/>
        <v>51</v>
      </c>
      <c r="D54" s="101"/>
      <c r="E54" s="96"/>
      <c r="F54" s="96"/>
      <c r="G54" s="97"/>
      <c r="H54" s="96"/>
      <c r="I54" s="96"/>
      <c r="J54" s="96"/>
      <c r="K54" s="96"/>
      <c r="L54" s="96"/>
      <c r="M54" s="166" t="str">
        <f>+IF(+ISBLANK(I54)=TRUE," ",+WORKDAY.INTL(I54,+J54+K54+L54,,CONGÉ!$C$2:$C$80))</f>
        <v xml:space="preserve"> </v>
      </c>
      <c r="N54" s="97"/>
      <c r="O54" s="98"/>
      <c r="P54" s="99"/>
      <c r="Q54" s="100"/>
      <c r="R54" s="99"/>
      <c r="S54" s="100"/>
      <c r="T54" s="99"/>
      <c r="U54" s="100"/>
      <c r="V54" s="99"/>
      <c r="W54" s="100"/>
      <c r="X54" s="99"/>
      <c r="Y54" s="100"/>
      <c r="Z54" s="99"/>
      <c r="AA54" s="100"/>
      <c r="AB54" s="99"/>
      <c r="AC54" s="100"/>
      <c r="AD54" s="99"/>
      <c r="AE54" s="100"/>
      <c r="AF54" s="99"/>
      <c r="AG54" s="100"/>
      <c r="AH54" s="124"/>
      <c r="AI54" s="46">
        <f t="shared" si="35"/>
        <v>0</v>
      </c>
      <c r="AJ54" s="46">
        <f t="shared" si="35"/>
        <v>0</v>
      </c>
      <c r="AK54" s="169" t="str">
        <f t="shared" si="4"/>
        <v>z</v>
      </c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</row>
    <row r="55" spans="1:56" ht="16.5" customHeight="1" x14ac:dyDescent="0.25">
      <c r="A55" s="167" t="str">
        <f t="shared" si="1"/>
        <v/>
      </c>
      <c r="B55" s="167"/>
      <c r="C55" s="8">
        <f t="shared" si="2"/>
        <v>52</v>
      </c>
      <c r="D55" s="101"/>
      <c r="E55" s="96"/>
      <c r="F55" s="96"/>
      <c r="G55" s="97"/>
      <c r="H55" s="96"/>
      <c r="I55" s="96"/>
      <c r="J55" s="96"/>
      <c r="K55" s="96"/>
      <c r="L55" s="96"/>
      <c r="M55" s="166" t="str">
        <f>+IF(+ISBLANK(I55)=TRUE," ",+WORKDAY.INTL(I55,+J55+K55+L55,,CONGÉ!$C$2:$C$80))</f>
        <v xml:space="preserve"> </v>
      </c>
      <c r="N55" s="97"/>
      <c r="O55" s="98"/>
      <c r="P55" s="99"/>
      <c r="Q55" s="100"/>
      <c r="R55" s="99"/>
      <c r="S55" s="100"/>
      <c r="T55" s="99"/>
      <c r="U55" s="100"/>
      <c r="V55" s="99"/>
      <c r="W55" s="100"/>
      <c r="X55" s="99"/>
      <c r="Y55" s="100"/>
      <c r="Z55" s="99"/>
      <c r="AA55" s="100"/>
      <c r="AB55" s="99"/>
      <c r="AC55" s="100"/>
      <c r="AD55" s="99"/>
      <c r="AE55" s="100"/>
      <c r="AF55" s="99"/>
      <c r="AG55" s="100"/>
      <c r="AH55" s="124"/>
      <c r="AI55" s="46">
        <f t="shared" si="35"/>
        <v>0</v>
      </c>
      <c r="AJ55" s="46">
        <f t="shared" si="35"/>
        <v>0</v>
      </c>
      <c r="AK55" s="169" t="str">
        <f t="shared" si="4"/>
        <v>z</v>
      </c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</row>
    <row r="56" spans="1:56" ht="16.5" customHeight="1" x14ac:dyDescent="0.25">
      <c r="A56" s="167" t="str">
        <f t="shared" si="1"/>
        <v/>
      </c>
      <c r="B56" s="167"/>
      <c r="C56" s="8">
        <f t="shared" si="2"/>
        <v>53</v>
      </c>
      <c r="D56" s="101"/>
      <c r="E56" s="96"/>
      <c r="F56" s="96"/>
      <c r="G56" s="97"/>
      <c r="H56" s="96"/>
      <c r="I56" s="96"/>
      <c r="J56" s="96"/>
      <c r="K56" s="96"/>
      <c r="L56" s="96"/>
      <c r="M56" s="166" t="str">
        <f>+IF(+ISBLANK(I56)=TRUE," ",+WORKDAY.INTL(I56,+J56+K56+L56,,CONGÉ!$C$2:$C$80))</f>
        <v xml:space="preserve"> </v>
      </c>
      <c r="N56" s="97"/>
      <c r="O56" s="98"/>
      <c r="P56" s="99"/>
      <c r="Q56" s="100"/>
      <c r="R56" s="99"/>
      <c r="S56" s="100"/>
      <c r="T56" s="99"/>
      <c r="U56" s="100"/>
      <c r="V56" s="99"/>
      <c r="W56" s="100"/>
      <c r="X56" s="99"/>
      <c r="Y56" s="100"/>
      <c r="Z56" s="99"/>
      <c r="AA56" s="100"/>
      <c r="AB56" s="99"/>
      <c r="AC56" s="100"/>
      <c r="AD56" s="99"/>
      <c r="AE56" s="100"/>
      <c r="AF56" s="99"/>
      <c r="AG56" s="100"/>
      <c r="AH56" s="124"/>
      <c r="AI56" s="46">
        <f>P56+R56+T56+V56+X56+Z56+AB56+AD56</f>
        <v>0</v>
      </c>
      <c r="AJ56" s="46">
        <f>Q56+S56+U56+W56+Y56+AA56+AC56+AE56</f>
        <v>0</v>
      </c>
      <c r="AK56" s="169" t="str">
        <f t="shared" si="4"/>
        <v>z</v>
      </c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</row>
    <row r="57" spans="1:56" x14ac:dyDescent="0.25">
      <c r="A57" s="167" t="str">
        <f t="shared" si="1"/>
        <v/>
      </c>
      <c r="B57" s="167"/>
      <c r="C57" s="8">
        <f t="shared" si="2"/>
        <v>54</v>
      </c>
      <c r="D57" s="101"/>
      <c r="E57" s="96"/>
      <c r="F57" s="96"/>
      <c r="G57" s="97"/>
      <c r="H57" s="96"/>
      <c r="I57" s="96"/>
      <c r="J57" s="96"/>
      <c r="K57" s="96"/>
      <c r="L57" s="96"/>
      <c r="M57" s="166" t="str">
        <f>+IF(+ISBLANK(I57)=TRUE," ",+WORKDAY.INTL(I57,+J57+K57+L57,,CONGÉ!$C$2:$C$80))</f>
        <v xml:space="preserve"> </v>
      </c>
      <c r="N57" s="97"/>
      <c r="O57" s="98"/>
      <c r="P57" s="99"/>
      <c r="Q57" s="100"/>
      <c r="R57" s="99"/>
      <c r="S57" s="100"/>
      <c r="T57" s="99"/>
      <c r="U57" s="100"/>
      <c r="V57" s="99"/>
      <c r="W57" s="100"/>
      <c r="X57" s="99"/>
      <c r="Y57" s="100"/>
      <c r="Z57" s="99"/>
      <c r="AA57" s="100"/>
      <c r="AB57" s="99"/>
      <c r="AC57" s="100"/>
      <c r="AD57" s="99"/>
      <c r="AE57" s="100"/>
      <c r="AF57" s="99"/>
      <c r="AG57" s="100"/>
      <c r="AH57" s="124"/>
      <c r="AI57" s="46">
        <f t="shared" ref="AI57:AJ57" si="36">P57+R57+T57+V57+X57+Z57+AB57+AD57</f>
        <v>0</v>
      </c>
      <c r="AJ57" s="46">
        <f t="shared" si="36"/>
        <v>0</v>
      </c>
      <c r="AK57" s="169" t="str">
        <f t="shared" si="4"/>
        <v>z</v>
      </c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</row>
    <row r="58" spans="1:56" x14ac:dyDescent="0.25">
      <c r="A58" s="167" t="str">
        <f t="shared" si="1"/>
        <v/>
      </c>
      <c r="B58" s="167"/>
      <c r="C58" s="8">
        <f t="shared" si="2"/>
        <v>55</v>
      </c>
      <c r="D58" s="101"/>
      <c r="E58" s="96"/>
      <c r="F58" s="96"/>
      <c r="G58" s="97"/>
      <c r="H58" s="96"/>
      <c r="I58" s="96"/>
      <c r="J58" s="96"/>
      <c r="K58" s="96"/>
      <c r="L58" s="96"/>
      <c r="M58" s="166" t="str">
        <f>+IF(+ISBLANK(I58)=TRUE," ",+WORKDAY.INTL(I58,+J58+K58+L58,,CONGÉ!$C$2:$C$80))</f>
        <v xml:space="preserve"> </v>
      </c>
      <c r="N58" s="97"/>
      <c r="O58" s="98"/>
      <c r="P58" s="99"/>
      <c r="Q58" s="100"/>
      <c r="R58" s="99"/>
      <c r="S58" s="100"/>
      <c r="T58" s="99"/>
      <c r="U58" s="100"/>
      <c r="V58" s="99"/>
      <c r="W58" s="100"/>
      <c r="X58" s="99"/>
      <c r="Y58" s="100"/>
      <c r="Z58" s="99"/>
      <c r="AA58" s="100"/>
      <c r="AB58" s="99"/>
      <c r="AC58" s="100"/>
      <c r="AD58" s="99"/>
      <c r="AE58" s="100"/>
      <c r="AF58" s="99"/>
      <c r="AG58" s="100"/>
      <c r="AH58" s="124"/>
      <c r="AI58" s="46">
        <f t="shared" ref="AI58:AI95" si="37">P58+R58+T58+V58+X58+Z58+AB58+AD58</f>
        <v>0</v>
      </c>
      <c r="AJ58" s="46">
        <f t="shared" ref="AJ58:AJ95" si="38">Q58+S58+U58+W58+Y58+AA58+AC58+AE58</f>
        <v>0</v>
      </c>
      <c r="AK58" s="169" t="str">
        <f t="shared" si="4"/>
        <v>z</v>
      </c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</row>
    <row r="59" spans="1:56" ht="16.5" customHeight="1" x14ac:dyDescent="0.25">
      <c r="A59" s="167" t="str">
        <f t="shared" si="1"/>
        <v/>
      </c>
      <c r="B59" s="167"/>
      <c r="C59" s="8">
        <f t="shared" si="2"/>
        <v>56</v>
      </c>
      <c r="D59" s="101"/>
      <c r="E59" s="96"/>
      <c r="F59" s="96"/>
      <c r="G59" s="97"/>
      <c r="H59" s="96"/>
      <c r="I59" s="96"/>
      <c r="J59" s="96"/>
      <c r="K59" s="96"/>
      <c r="L59" s="96"/>
      <c r="M59" s="166" t="str">
        <f>+IF(+ISBLANK(I59)=TRUE," ",+WORKDAY.INTL(I59,+J59+K59+L59,,CONGÉ!$C$2:$C$80))</f>
        <v xml:space="preserve"> </v>
      </c>
      <c r="N59" s="97"/>
      <c r="O59" s="98"/>
      <c r="P59" s="99"/>
      <c r="Q59" s="100"/>
      <c r="R59" s="99"/>
      <c r="S59" s="100"/>
      <c r="T59" s="99"/>
      <c r="U59" s="100"/>
      <c r="V59" s="99"/>
      <c r="W59" s="100"/>
      <c r="X59" s="99"/>
      <c r="Y59" s="100"/>
      <c r="Z59" s="99"/>
      <c r="AA59" s="100"/>
      <c r="AB59" s="99"/>
      <c r="AC59" s="100"/>
      <c r="AD59" s="99"/>
      <c r="AE59" s="100"/>
      <c r="AF59" s="99"/>
      <c r="AG59" s="100"/>
      <c r="AH59" s="124"/>
      <c r="AI59" s="46">
        <f t="shared" ref="AI59:AJ62" si="39">P59+R59+T59+V59+X59+Z59+AB59+AD59</f>
        <v>0</v>
      </c>
      <c r="AJ59" s="46">
        <f t="shared" si="39"/>
        <v>0</v>
      </c>
      <c r="AK59" s="169" t="str">
        <f t="shared" si="4"/>
        <v>z</v>
      </c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</row>
    <row r="60" spans="1:56" ht="16.5" customHeight="1" x14ac:dyDescent="0.25">
      <c r="A60" s="167" t="str">
        <f t="shared" si="1"/>
        <v/>
      </c>
      <c r="B60" s="167"/>
      <c r="C60" s="8">
        <f t="shared" si="2"/>
        <v>57</v>
      </c>
      <c r="D60" s="101"/>
      <c r="E60" s="96"/>
      <c r="F60" s="96"/>
      <c r="G60" s="97"/>
      <c r="H60" s="96"/>
      <c r="I60" s="96"/>
      <c r="J60" s="96"/>
      <c r="K60" s="96"/>
      <c r="L60" s="96"/>
      <c r="M60" s="166" t="str">
        <f>+IF(+ISBLANK(I60)=TRUE," ",+WORKDAY.INTL(I60,+J60+K60+L60,,CONGÉ!$C$2:$C$80))</f>
        <v xml:space="preserve"> </v>
      </c>
      <c r="N60" s="97"/>
      <c r="O60" s="98"/>
      <c r="P60" s="99"/>
      <c r="Q60" s="100"/>
      <c r="R60" s="99"/>
      <c r="S60" s="100"/>
      <c r="T60" s="99"/>
      <c r="U60" s="100"/>
      <c r="V60" s="99"/>
      <c r="W60" s="100"/>
      <c r="X60" s="99"/>
      <c r="Y60" s="100"/>
      <c r="Z60" s="99"/>
      <c r="AA60" s="100"/>
      <c r="AB60" s="99"/>
      <c r="AC60" s="100"/>
      <c r="AD60" s="99"/>
      <c r="AE60" s="100"/>
      <c r="AF60" s="99"/>
      <c r="AG60" s="100"/>
      <c r="AH60" s="124"/>
      <c r="AI60" s="46">
        <f t="shared" si="39"/>
        <v>0</v>
      </c>
      <c r="AJ60" s="46">
        <f t="shared" si="39"/>
        <v>0</v>
      </c>
      <c r="AK60" s="169" t="str">
        <f t="shared" si="4"/>
        <v>z</v>
      </c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</row>
    <row r="61" spans="1:56" ht="16.5" customHeight="1" x14ac:dyDescent="0.25">
      <c r="A61" s="167" t="str">
        <f t="shared" si="1"/>
        <v/>
      </c>
      <c r="B61" s="167"/>
      <c r="C61" s="8">
        <f t="shared" si="2"/>
        <v>58</v>
      </c>
      <c r="D61" s="101"/>
      <c r="E61" s="96"/>
      <c r="F61" s="96"/>
      <c r="G61" s="97"/>
      <c r="H61" s="96"/>
      <c r="I61" s="96"/>
      <c r="J61" s="96"/>
      <c r="K61" s="96"/>
      <c r="L61" s="96"/>
      <c r="M61" s="166" t="str">
        <f>+IF(+ISBLANK(I61)=TRUE," ",+WORKDAY.INTL(I61,+J61+K61+L61,,CONGÉ!$C$2:$C$80))</f>
        <v xml:space="preserve"> </v>
      </c>
      <c r="N61" s="97"/>
      <c r="O61" s="98"/>
      <c r="P61" s="99"/>
      <c r="Q61" s="100"/>
      <c r="R61" s="99"/>
      <c r="S61" s="100"/>
      <c r="T61" s="99"/>
      <c r="U61" s="100"/>
      <c r="V61" s="99"/>
      <c r="W61" s="100"/>
      <c r="X61" s="99"/>
      <c r="Y61" s="100"/>
      <c r="Z61" s="99"/>
      <c r="AA61" s="100"/>
      <c r="AB61" s="99"/>
      <c r="AC61" s="100"/>
      <c r="AD61" s="99"/>
      <c r="AE61" s="100"/>
      <c r="AF61" s="99"/>
      <c r="AG61" s="100"/>
      <c r="AH61" s="99"/>
      <c r="AI61" s="46">
        <f t="shared" si="39"/>
        <v>0</v>
      </c>
      <c r="AJ61" s="46">
        <f t="shared" si="39"/>
        <v>0</v>
      </c>
      <c r="AK61" s="169" t="str">
        <f t="shared" si="4"/>
        <v>z</v>
      </c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</row>
    <row r="62" spans="1:56" ht="16.5" customHeight="1" x14ac:dyDescent="0.25">
      <c r="A62" s="167" t="str">
        <f t="shared" si="1"/>
        <v/>
      </c>
      <c r="B62" s="167"/>
      <c r="C62" s="8">
        <f t="shared" si="2"/>
        <v>59</v>
      </c>
      <c r="D62" s="101"/>
      <c r="E62" s="96"/>
      <c r="F62" s="96"/>
      <c r="G62" s="97"/>
      <c r="H62" s="96"/>
      <c r="I62" s="96"/>
      <c r="J62" s="96"/>
      <c r="K62" s="96"/>
      <c r="L62" s="96"/>
      <c r="M62" s="166" t="str">
        <f>+IF(+ISBLANK(I62)=TRUE," ",+WORKDAY.INTL(I62,+J62+K62+L62,,CONGÉ!$C$2:$C$80))</f>
        <v xml:space="preserve"> </v>
      </c>
      <c r="N62" s="97"/>
      <c r="O62" s="98"/>
      <c r="P62" s="99"/>
      <c r="Q62" s="100"/>
      <c r="R62" s="99"/>
      <c r="S62" s="100"/>
      <c r="T62" s="99"/>
      <c r="U62" s="100"/>
      <c r="V62" s="99"/>
      <c r="W62" s="100"/>
      <c r="X62" s="99"/>
      <c r="Y62" s="100"/>
      <c r="Z62" s="99"/>
      <c r="AA62" s="100"/>
      <c r="AB62" s="99"/>
      <c r="AC62" s="100"/>
      <c r="AD62" s="99"/>
      <c r="AE62" s="100"/>
      <c r="AF62" s="99"/>
      <c r="AG62" s="100"/>
      <c r="AH62" s="99"/>
      <c r="AI62" s="46">
        <f t="shared" si="39"/>
        <v>0</v>
      </c>
      <c r="AJ62" s="46">
        <f t="shared" si="39"/>
        <v>0</v>
      </c>
      <c r="AK62" s="169" t="str">
        <f t="shared" si="4"/>
        <v>z</v>
      </c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</row>
    <row r="63" spans="1:56" ht="16.5" customHeight="1" x14ac:dyDescent="0.25">
      <c r="A63" s="167" t="str">
        <f t="shared" si="1"/>
        <v/>
      </c>
      <c r="B63" s="167"/>
      <c r="C63" s="8">
        <f t="shared" si="2"/>
        <v>60</v>
      </c>
      <c r="D63" s="101"/>
      <c r="E63" s="96"/>
      <c r="F63" s="96"/>
      <c r="G63" s="97"/>
      <c r="H63" s="96"/>
      <c r="I63" s="96"/>
      <c r="J63" s="96"/>
      <c r="K63" s="96"/>
      <c r="L63" s="96"/>
      <c r="M63" s="166" t="str">
        <f>+IF(+ISBLANK(I63)=TRUE," ",+WORKDAY.INTL(I63,+J63+K63+L63,,CONGÉ!$C$2:$C$80))</f>
        <v xml:space="preserve"> </v>
      </c>
      <c r="N63" s="97"/>
      <c r="O63" s="98"/>
      <c r="P63" s="99"/>
      <c r="Q63" s="100"/>
      <c r="R63" s="99"/>
      <c r="S63" s="100"/>
      <c r="T63" s="99"/>
      <c r="U63" s="100"/>
      <c r="V63" s="99"/>
      <c r="W63" s="100"/>
      <c r="X63" s="99"/>
      <c r="Y63" s="100"/>
      <c r="Z63" s="99"/>
      <c r="AA63" s="100"/>
      <c r="AB63" s="99"/>
      <c r="AC63" s="100"/>
      <c r="AD63" s="99"/>
      <c r="AE63" s="100"/>
      <c r="AF63" s="99"/>
      <c r="AG63" s="100"/>
      <c r="AH63" s="99"/>
      <c r="AI63" s="46">
        <f t="shared" si="37"/>
        <v>0</v>
      </c>
      <c r="AJ63" s="46">
        <f t="shared" si="38"/>
        <v>0</v>
      </c>
      <c r="AK63" s="169" t="str">
        <f t="shared" si="4"/>
        <v>z</v>
      </c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</row>
    <row r="64" spans="1:56" ht="16.5" customHeight="1" x14ac:dyDescent="0.25">
      <c r="A64" s="167" t="str">
        <f t="shared" si="1"/>
        <v/>
      </c>
      <c r="B64" s="167"/>
      <c r="C64" s="8">
        <f t="shared" si="2"/>
        <v>61</v>
      </c>
      <c r="D64" s="101"/>
      <c r="E64" s="96"/>
      <c r="F64" s="96"/>
      <c r="G64" s="97"/>
      <c r="H64" s="96"/>
      <c r="I64" s="96"/>
      <c r="J64" s="96"/>
      <c r="K64" s="96"/>
      <c r="L64" s="96"/>
      <c r="M64" s="166" t="str">
        <f>+IF(+ISBLANK(I64)=TRUE," ",+WORKDAY.INTL(I64,+J64+K64+L64,,CONGÉ!$C$2:$C$80))</f>
        <v xml:space="preserve"> </v>
      </c>
      <c r="N64" s="97"/>
      <c r="O64" s="98"/>
      <c r="P64" s="99"/>
      <c r="Q64" s="100"/>
      <c r="R64" s="99"/>
      <c r="S64" s="100"/>
      <c r="T64" s="99"/>
      <c r="U64" s="100"/>
      <c r="V64" s="99"/>
      <c r="W64" s="100"/>
      <c r="X64" s="99"/>
      <c r="Y64" s="100"/>
      <c r="Z64" s="99"/>
      <c r="AA64" s="100"/>
      <c r="AB64" s="99"/>
      <c r="AC64" s="100"/>
      <c r="AD64" s="99"/>
      <c r="AE64" s="100"/>
      <c r="AF64" s="99"/>
      <c r="AG64" s="100"/>
      <c r="AH64" s="99"/>
      <c r="AI64" s="46">
        <f t="shared" si="37"/>
        <v>0</v>
      </c>
      <c r="AJ64" s="46">
        <f t="shared" si="38"/>
        <v>0</v>
      </c>
      <c r="AK64" s="169" t="str">
        <f t="shared" si="4"/>
        <v>z</v>
      </c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</row>
    <row r="65" spans="1:55" ht="16.5" customHeight="1" x14ac:dyDescent="0.25">
      <c r="A65" s="167" t="str">
        <f t="shared" si="1"/>
        <v/>
      </c>
      <c r="B65" s="167"/>
      <c r="C65" s="8">
        <f t="shared" si="2"/>
        <v>62</v>
      </c>
      <c r="D65" s="101"/>
      <c r="E65" s="96"/>
      <c r="F65" s="96"/>
      <c r="G65" s="97"/>
      <c r="H65" s="96"/>
      <c r="I65" s="96"/>
      <c r="J65" s="96"/>
      <c r="K65" s="96"/>
      <c r="L65" s="96"/>
      <c r="M65" s="166" t="str">
        <f>+IF(+ISBLANK(I65)=TRUE," ",+WORKDAY.INTL(I65,+J65+K65+L65,,CONGÉ!$C$2:$C$80))</f>
        <v xml:space="preserve"> </v>
      </c>
      <c r="N65" s="97"/>
      <c r="O65" s="98"/>
      <c r="P65" s="99"/>
      <c r="Q65" s="100"/>
      <c r="R65" s="99"/>
      <c r="S65" s="100"/>
      <c r="T65" s="99"/>
      <c r="U65" s="100"/>
      <c r="V65" s="99"/>
      <c r="W65" s="100"/>
      <c r="X65" s="99"/>
      <c r="Y65" s="100"/>
      <c r="Z65" s="99"/>
      <c r="AA65" s="100"/>
      <c r="AB65" s="99"/>
      <c r="AC65" s="100"/>
      <c r="AD65" s="99"/>
      <c r="AE65" s="100"/>
      <c r="AF65" s="99"/>
      <c r="AG65" s="100"/>
      <c r="AH65" s="124"/>
      <c r="AI65" s="46">
        <f t="shared" si="37"/>
        <v>0</v>
      </c>
      <c r="AJ65" s="46">
        <f t="shared" si="38"/>
        <v>0</v>
      </c>
      <c r="AK65" s="169" t="str">
        <f t="shared" si="4"/>
        <v>z</v>
      </c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</row>
    <row r="66" spans="1:55" ht="16.5" customHeight="1" x14ac:dyDescent="0.25">
      <c r="A66" s="167" t="str">
        <f t="shared" si="1"/>
        <v/>
      </c>
      <c r="B66" s="167"/>
      <c r="C66" s="8">
        <f t="shared" si="2"/>
        <v>63</v>
      </c>
      <c r="D66" s="101"/>
      <c r="E66" s="96"/>
      <c r="F66" s="96"/>
      <c r="G66" s="97"/>
      <c r="H66" s="96"/>
      <c r="I66" s="96"/>
      <c r="J66" s="96"/>
      <c r="K66" s="96"/>
      <c r="L66" s="96"/>
      <c r="M66" s="166" t="str">
        <f>+IF(+ISBLANK(I66)=TRUE," ",+WORKDAY.INTL(I66,+J66+K66+L66,,CONGÉ!$C$2:$C$80))</f>
        <v xml:space="preserve"> </v>
      </c>
      <c r="N66" s="97"/>
      <c r="O66" s="98"/>
      <c r="P66" s="99"/>
      <c r="Q66" s="100"/>
      <c r="R66" s="99"/>
      <c r="S66" s="100"/>
      <c r="T66" s="99"/>
      <c r="U66" s="100"/>
      <c r="V66" s="99"/>
      <c r="W66" s="100"/>
      <c r="X66" s="99"/>
      <c r="Y66" s="100"/>
      <c r="Z66" s="99"/>
      <c r="AA66" s="100"/>
      <c r="AB66" s="99"/>
      <c r="AC66" s="100"/>
      <c r="AD66" s="99"/>
      <c r="AE66" s="100"/>
      <c r="AF66" s="99"/>
      <c r="AG66" s="100"/>
      <c r="AH66" s="124"/>
      <c r="AI66" s="46">
        <f t="shared" si="37"/>
        <v>0</v>
      </c>
      <c r="AJ66" s="46">
        <f t="shared" si="38"/>
        <v>0</v>
      </c>
      <c r="AK66" s="169" t="str">
        <f t="shared" si="4"/>
        <v>z</v>
      </c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</row>
    <row r="67" spans="1:55" ht="16.5" customHeight="1" x14ac:dyDescent="0.25">
      <c r="A67" s="167" t="str">
        <f t="shared" si="1"/>
        <v/>
      </c>
      <c r="B67" s="167"/>
      <c r="C67" s="8">
        <f t="shared" si="2"/>
        <v>64</v>
      </c>
      <c r="D67" s="101"/>
      <c r="E67" s="96"/>
      <c r="F67" s="96"/>
      <c r="G67" s="97"/>
      <c r="H67" s="96"/>
      <c r="I67" s="96"/>
      <c r="J67" s="96"/>
      <c r="K67" s="96"/>
      <c r="L67" s="96"/>
      <c r="M67" s="166" t="str">
        <f>+IF(+ISBLANK(I67)=TRUE," ",+WORKDAY.INTL(I67,+J67+K67+L67,,CONGÉ!$C$2:$C$80))</f>
        <v xml:space="preserve"> </v>
      </c>
      <c r="N67" s="97"/>
      <c r="O67" s="98"/>
      <c r="P67" s="99"/>
      <c r="Q67" s="100"/>
      <c r="R67" s="99"/>
      <c r="S67" s="100"/>
      <c r="T67" s="99"/>
      <c r="U67" s="100"/>
      <c r="V67" s="99"/>
      <c r="W67" s="100"/>
      <c r="X67" s="99"/>
      <c r="Y67" s="100"/>
      <c r="Z67" s="99"/>
      <c r="AA67" s="100"/>
      <c r="AB67" s="99"/>
      <c r="AC67" s="100"/>
      <c r="AD67" s="99"/>
      <c r="AE67" s="100"/>
      <c r="AF67" s="99"/>
      <c r="AG67" s="100"/>
      <c r="AH67" s="99"/>
      <c r="AI67" s="46">
        <f t="shared" si="37"/>
        <v>0</v>
      </c>
      <c r="AJ67" s="46">
        <f t="shared" si="38"/>
        <v>0</v>
      </c>
      <c r="AK67" s="169" t="str">
        <f t="shared" si="4"/>
        <v>z</v>
      </c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</row>
    <row r="68" spans="1:55" ht="16.5" customHeight="1" x14ac:dyDescent="0.25">
      <c r="A68" s="167" t="str">
        <f t="shared" si="1"/>
        <v/>
      </c>
      <c r="B68" s="167"/>
      <c r="C68" s="8">
        <f t="shared" si="2"/>
        <v>65</v>
      </c>
      <c r="D68" s="101"/>
      <c r="E68" s="96"/>
      <c r="F68" s="96"/>
      <c r="G68" s="97"/>
      <c r="H68" s="96"/>
      <c r="I68" s="96"/>
      <c r="J68" s="96"/>
      <c r="K68" s="96"/>
      <c r="L68" s="96"/>
      <c r="M68" s="166" t="str">
        <f>+IF(+ISBLANK(I68)=TRUE," ",+WORKDAY.INTL(I68,+J68+K68+L68,,CONGÉ!$C$2:$C$80))</f>
        <v xml:space="preserve"> </v>
      </c>
      <c r="N68" s="97"/>
      <c r="O68" s="98"/>
      <c r="P68" s="99"/>
      <c r="Q68" s="100"/>
      <c r="R68" s="99"/>
      <c r="S68" s="100"/>
      <c r="T68" s="99"/>
      <c r="U68" s="100"/>
      <c r="V68" s="99"/>
      <c r="W68" s="100"/>
      <c r="X68" s="99"/>
      <c r="Y68" s="100"/>
      <c r="Z68" s="99"/>
      <c r="AA68" s="100"/>
      <c r="AB68" s="99"/>
      <c r="AC68" s="100"/>
      <c r="AD68" s="99"/>
      <c r="AE68" s="100"/>
      <c r="AF68" s="99"/>
      <c r="AG68" s="100"/>
      <c r="AH68" s="99"/>
      <c r="AI68" s="46">
        <f>P68+R68+T68+V68+X68+Z68+AB68+AD68</f>
        <v>0</v>
      </c>
      <c r="AJ68" s="46">
        <f>Q68+S68+U68+W68+Y68+AA68+AC68+AE68</f>
        <v>0</v>
      </c>
      <c r="AK68" s="169" t="str">
        <f t="shared" si="4"/>
        <v>z</v>
      </c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</row>
    <row r="69" spans="1:55" x14ac:dyDescent="0.25">
      <c r="A69" s="167" t="str">
        <f t="shared" ref="A69:A110" si="40">IF(I69="","",COUNTIF($AK$4:$AK$109,"&lt;="&amp;AK69))</f>
        <v/>
      </c>
      <c r="B69" s="167"/>
      <c r="C69" s="8">
        <f t="shared" ref="C69:C110" si="41">ROW()-3</f>
        <v>66</v>
      </c>
      <c r="D69" s="101"/>
      <c r="E69" s="96"/>
      <c r="F69" s="96"/>
      <c r="G69" s="97"/>
      <c r="H69" s="96"/>
      <c r="I69" s="96"/>
      <c r="J69" s="96"/>
      <c r="K69" s="96"/>
      <c r="L69" s="96"/>
      <c r="M69" s="166" t="str">
        <f>+IF(+ISBLANK(I69)=TRUE," ",+WORKDAY.INTL(I69,+J69+K69+L69,,CONGÉ!$C$2:$C$80))</f>
        <v xml:space="preserve"> </v>
      </c>
      <c r="N69" s="97"/>
      <c r="O69" s="98"/>
      <c r="P69" s="99"/>
      <c r="Q69" s="100"/>
      <c r="R69" s="99"/>
      <c r="S69" s="100"/>
      <c r="T69" s="99"/>
      <c r="U69" s="100"/>
      <c r="V69" s="99"/>
      <c r="W69" s="100"/>
      <c r="X69" s="99"/>
      <c r="Y69" s="100"/>
      <c r="Z69" s="99"/>
      <c r="AA69" s="100"/>
      <c r="AB69" s="99"/>
      <c r="AC69" s="100"/>
      <c r="AD69" s="99"/>
      <c r="AE69" s="100"/>
      <c r="AF69" s="99"/>
      <c r="AG69" s="100"/>
      <c r="AH69" s="99"/>
      <c r="AI69" s="46">
        <f>P69+R69+T69+V69+X69+Z69+AB69+AD69</f>
        <v>0</v>
      </c>
      <c r="AJ69" s="46">
        <f>Q69+S69+U69+W69+Y69+AA69+AC69+AE69</f>
        <v>0</v>
      </c>
      <c r="AK69" s="169" t="str">
        <f t="shared" ref="AK69:AK109" si="42">IF(O69="oui",TEXT(IF(TRIM(M69)="",99999,M69),"0")&amp;TEXT(IF(N69="",99999,N69),"|0")&amp;TEXT(ROW(),"|0000"),"z")</f>
        <v>z</v>
      </c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</row>
    <row r="70" spans="1:55" ht="16.5" customHeight="1" x14ac:dyDescent="0.25">
      <c r="A70" s="167" t="str">
        <f t="shared" si="40"/>
        <v/>
      </c>
      <c r="B70" s="167"/>
      <c r="C70" s="8">
        <f t="shared" si="41"/>
        <v>67</v>
      </c>
      <c r="D70" s="101"/>
      <c r="E70" s="96"/>
      <c r="F70" s="96"/>
      <c r="G70" s="97"/>
      <c r="H70" s="96"/>
      <c r="I70" s="96"/>
      <c r="J70" s="96"/>
      <c r="K70" s="96"/>
      <c r="L70" s="96"/>
      <c r="M70" s="166" t="str">
        <f>+IF(+ISBLANK(I70)=TRUE," ",+WORKDAY.INTL(I70,+J70+K70+L70,,CONGÉ!$C$2:$C$80))</f>
        <v xml:space="preserve"> </v>
      </c>
      <c r="N70" s="97"/>
      <c r="O70" s="98"/>
      <c r="P70" s="99"/>
      <c r="Q70" s="100"/>
      <c r="R70" s="99"/>
      <c r="S70" s="100"/>
      <c r="T70" s="99"/>
      <c r="U70" s="100"/>
      <c r="V70" s="99"/>
      <c r="W70" s="100"/>
      <c r="X70" s="99"/>
      <c r="Y70" s="100"/>
      <c r="Z70" s="99"/>
      <c r="AA70" s="100"/>
      <c r="AB70" s="99"/>
      <c r="AC70" s="100"/>
      <c r="AD70" s="99"/>
      <c r="AE70" s="100"/>
      <c r="AF70" s="99"/>
      <c r="AG70" s="100"/>
      <c r="AH70" s="124"/>
      <c r="AI70" s="46">
        <f t="shared" ref="AI70:AJ70" si="43">P70+R70+T70+V70+X70+Z70+AB70+AD70</f>
        <v>0</v>
      </c>
      <c r="AJ70" s="46">
        <f t="shared" si="43"/>
        <v>0</v>
      </c>
      <c r="AK70" s="169" t="str">
        <f t="shared" si="42"/>
        <v>z</v>
      </c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</row>
    <row r="71" spans="1:55" ht="16.5" customHeight="1" x14ac:dyDescent="0.25">
      <c r="A71" s="167" t="str">
        <f t="shared" si="40"/>
        <v/>
      </c>
      <c r="B71" s="167"/>
      <c r="C71" s="8">
        <f t="shared" si="41"/>
        <v>68</v>
      </c>
      <c r="D71" s="101"/>
      <c r="E71" s="96"/>
      <c r="F71" s="96"/>
      <c r="G71" s="97"/>
      <c r="H71" s="96"/>
      <c r="I71" s="96"/>
      <c r="J71" s="96"/>
      <c r="K71" s="96"/>
      <c r="L71" s="96"/>
      <c r="M71" s="166" t="str">
        <f>+IF(+ISBLANK(I71)=TRUE," ",+WORKDAY.INTL(I71,+J71+K71+L71,,CONGÉ!$C$2:$C$80))</f>
        <v xml:space="preserve"> </v>
      </c>
      <c r="N71" s="97"/>
      <c r="O71" s="98"/>
      <c r="P71" s="99"/>
      <c r="Q71" s="100"/>
      <c r="R71" s="99"/>
      <c r="S71" s="100"/>
      <c r="T71" s="99"/>
      <c r="U71" s="100"/>
      <c r="V71" s="99"/>
      <c r="W71" s="100"/>
      <c r="X71" s="99"/>
      <c r="Y71" s="100"/>
      <c r="Z71" s="99"/>
      <c r="AA71" s="100"/>
      <c r="AB71" s="99"/>
      <c r="AC71" s="100"/>
      <c r="AD71" s="99"/>
      <c r="AE71" s="100"/>
      <c r="AF71" s="99"/>
      <c r="AG71" s="100"/>
      <c r="AH71" s="124"/>
      <c r="AI71" s="46">
        <f t="shared" si="37"/>
        <v>0</v>
      </c>
      <c r="AJ71" s="46">
        <f t="shared" si="38"/>
        <v>0</v>
      </c>
      <c r="AK71" s="169" t="str">
        <f t="shared" si="42"/>
        <v>z</v>
      </c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</row>
    <row r="72" spans="1:55" ht="16.5" customHeight="1" x14ac:dyDescent="0.25">
      <c r="A72" s="167" t="str">
        <f t="shared" si="40"/>
        <v/>
      </c>
      <c r="B72" s="167"/>
      <c r="C72" s="8">
        <f t="shared" si="41"/>
        <v>69</v>
      </c>
      <c r="D72" s="101"/>
      <c r="E72" s="96"/>
      <c r="F72" s="96"/>
      <c r="G72" s="97"/>
      <c r="H72" s="96"/>
      <c r="I72" s="96"/>
      <c r="J72" s="96"/>
      <c r="K72" s="96"/>
      <c r="L72" s="96"/>
      <c r="M72" s="166" t="str">
        <f>+IF(+ISBLANK(I72)=TRUE," ",+WORKDAY.INTL(I72,+J72+K72+L72,,CONGÉ!$C$2:$C$80))</f>
        <v xml:space="preserve"> </v>
      </c>
      <c r="N72" s="97"/>
      <c r="O72" s="98"/>
      <c r="P72" s="99"/>
      <c r="Q72" s="100"/>
      <c r="R72" s="99"/>
      <c r="S72" s="100"/>
      <c r="T72" s="99"/>
      <c r="U72" s="100"/>
      <c r="V72" s="99"/>
      <c r="W72" s="100"/>
      <c r="X72" s="99"/>
      <c r="Y72" s="100"/>
      <c r="Z72" s="99"/>
      <c r="AA72" s="100"/>
      <c r="AB72" s="99"/>
      <c r="AC72" s="100"/>
      <c r="AD72" s="99"/>
      <c r="AE72" s="100"/>
      <c r="AF72" s="99"/>
      <c r="AG72" s="100"/>
      <c r="AH72" s="99"/>
      <c r="AI72" s="46">
        <f t="shared" si="37"/>
        <v>0</v>
      </c>
      <c r="AJ72" s="46">
        <f t="shared" si="38"/>
        <v>0</v>
      </c>
      <c r="AK72" s="169" t="str">
        <f t="shared" si="42"/>
        <v>z</v>
      </c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</row>
    <row r="73" spans="1:55" ht="16.5" customHeight="1" x14ac:dyDescent="0.25">
      <c r="A73" s="167" t="str">
        <f t="shared" si="40"/>
        <v/>
      </c>
      <c r="B73" s="167"/>
      <c r="C73" s="8">
        <f t="shared" si="41"/>
        <v>70</v>
      </c>
      <c r="D73" s="101"/>
      <c r="E73" s="96"/>
      <c r="F73" s="96"/>
      <c r="G73" s="97"/>
      <c r="H73" s="96"/>
      <c r="I73" s="96"/>
      <c r="J73" s="96"/>
      <c r="K73" s="96"/>
      <c r="L73" s="96"/>
      <c r="M73" s="166" t="str">
        <f>+IF(+ISBLANK(I73)=TRUE," ",+WORKDAY.INTL(I73,+J73+K73+L73,,CONGÉ!$C$2:$C$80))</f>
        <v xml:space="preserve"> </v>
      </c>
      <c r="N73" s="97"/>
      <c r="O73" s="98"/>
      <c r="P73" s="99"/>
      <c r="Q73" s="100"/>
      <c r="R73" s="99"/>
      <c r="S73" s="100"/>
      <c r="T73" s="99"/>
      <c r="U73" s="100"/>
      <c r="V73" s="99"/>
      <c r="W73" s="100"/>
      <c r="X73" s="99"/>
      <c r="Y73" s="100"/>
      <c r="Z73" s="99"/>
      <c r="AA73" s="100"/>
      <c r="AB73" s="99"/>
      <c r="AC73" s="100"/>
      <c r="AD73" s="99"/>
      <c r="AE73" s="100"/>
      <c r="AF73" s="99"/>
      <c r="AG73" s="100"/>
      <c r="AH73" s="99"/>
      <c r="AI73" s="46">
        <f t="shared" si="37"/>
        <v>0</v>
      </c>
      <c r="AJ73" s="46">
        <f t="shared" si="38"/>
        <v>0</v>
      </c>
      <c r="AK73" s="169" t="str">
        <f t="shared" si="42"/>
        <v>z</v>
      </c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</row>
    <row r="74" spans="1:55" ht="16.5" customHeight="1" x14ac:dyDescent="0.25">
      <c r="A74" s="167" t="str">
        <f t="shared" si="40"/>
        <v/>
      </c>
      <c r="B74" s="167"/>
      <c r="C74" s="8">
        <f t="shared" si="41"/>
        <v>71</v>
      </c>
      <c r="D74" s="101"/>
      <c r="E74" s="96"/>
      <c r="F74" s="96"/>
      <c r="G74" s="97"/>
      <c r="H74" s="96"/>
      <c r="I74" s="96"/>
      <c r="J74" s="96"/>
      <c r="K74" s="96"/>
      <c r="L74" s="96"/>
      <c r="M74" s="166" t="str">
        <f>+IF(+ISBLANK(I74)=TRUE," ",+WORKDAY.INTL(I74,+J74+K74+L74,,CONGÉ!$C$2:$C$80))</f>
        <v xml:space="preserve"> </v>
      </c>
      <c r="N74" s="97"/>
      <c r="O74" s="98"/>
      <c r="P74" s="99"/>
      <c r="Q74" s="100"/>
      <c r="R74" s="99"/>
      <c r="S74" s="100"/>
      <c r="T74" s="99"/>
      <c r="U74" s="100"/>
      <c r="V74" s="99"/>
      <c r="W74" s="100"/>
      <c r="X74" s="99"/>
      <c r="Y74" s="100"/>
      <c r="Z74" s="99"/>
      <c r="AA74" s="100"/>
      <c r="AB74" s="99"/>
      <c r="AC74" s="100"/>
      <c r="AD74" s="99"/>
      <c r="AE74" s="100"/>
      <c r="AF74" s="99"/>
      <c r="AG74" s="100"/>
      <c r="AH74" s="99"/>
      <c r="AI74" s="46">
        <f t="shared" si="37"/>
        <v>0</v>
      </c>
      <c r="AJ74" s="46">
        <f t="shared" si="38"/>
        <v>0</v>
      </c>
      <c r="AK74" s="169" t="str">
        <f t="shared" si="42"/>
        <v>z</v>
      </c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</row>
    <row r="75" spans="1:55" ht="16.5" customHeight="1" x14ac:dyDescent="0.25">
      <c r="A75" s="167" t="str">
        <f t="shared" si="40"/>
        <v/>
      </c>
      <c r="B75" s="167"/>
      <c r="C75" s="8">
        <f t="shared" si="41"/>
        <v>72</v>
      </c>
      <c r="D75" s="101"/>
      <c r="E75" s="96"/>
      <c r="F75" s="96"/>
      <c r="G75" s="97"/>
      <c r="H75" s="96"/>
      <c r="I75" s="96"/>
      <c r="J75" s="96"/>
      <c r="K75" s="96"/>
      <c r="L75" s="96"/>
      <c r="M75" s="166" t="str">
        <f>+IF(+ISBLANK(I75)=TRUE," ",+WORKDAY.INTL(I75,+J75+K75+L75,,CONGÉ!$C$2:$C$80))</f>
        <v xml:space="preserve"> </v>
      </c>
      <c r="N75" s="97"/>
      <c r="O75" s="98"/>
      <c r="P75" s="99"/>
      <c r="Q75" s="100"/>
      <c r="R75" s="99"/>
      <c r="S75" s="100"/>
      <c r="T75" s="99"/>
      <c r="U75" s="100"/>
      <c r="V75" s="99"/>
      <c r="W75" s="100"/>
      <c r="X75" s="99"/>
      <c r="Y75" s="100"/>
      <c r="Z75" s="99"/>
      <c r="AA75" s="100"/>
      <c r="AB75" s="99"/>
      <c r="AC75" s="100"/>
      <c r="AD75" s="99"/>
      <c r="AE75" s="100"/>
      <c r="AF75" s="99"/>
      <c r="AG75" s="100"/>
      <c r="AH75" s="124"/>
      <c r="AI75" s="46">
        <f t="shared" si="37"/>
        <v>0</v>
      </c>
      <c r="AJ75" s="46">
        <f t="shared" si="38"/>
        <v>0</v>
      </c>
      <c r="AK75" s="169" t="str">
        <f t="shared" si="42"/>
        <v>z</v>
      </c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</row>
    <row r="76" spans="1:55" ht="16.5" customHeight="1" x14ac:dyDescent="0.25">
      <c r="A76" s="167" t="str">
        <f t="shared" si="40"/>
        <v/>
      </c>
      <c r="B76" s="167"/>
      <c r="C76" s="8">
        <f t="shared" si="41"/>
        <v>73</v>
      </c>
      <c r="D76" s="101"/>
      <c r="E76" s="96"/>
      <c r="F76" s="96"/>
      <c r="G76" s="97"/>
      <c r="H76" s="96"/>
      <c r="I76" s="96"/>
      <c r="J76" s="96"/>
      <c r="K76" s="96"/>
      <c r="L76" s="96"/>
      <c r="M76" s="166" t="str">
        <f>+IF(+ISBLANK(I76)=TRUE," ",+WORKDAY.INTL(I76,+J76+K76+L76,,CONGÉ!$C$2:$C$80))</f>
        <v xml:space="preserve"> </v>
      </c>
      <c r="N76" s="97"/>
      <c r="O76" s="98"/>
      <c r="P76" s="99"/>
      <c r="Q76" s="100"/>
      <c r="R76" s="99"/>
      <c r="S76" s="100"/>
      <c r="T76" s="99"/>
      <c r="U76" s="100"/>
      <c r="V76" s="99"/>
      <c r="W76" s="100"/>
      <c r="X76" s="99"/>
      <c r="Y76" s="100"/>
      <c r="Z76" s="99"/>
      <c r="AA76" s="100"/>
      <c r="AB76" s="99"/>
      <c r="AC76" s="100"/>
      <c r="AD76" s="99"/>
      <c r="AE76" s="100"/>
      <c r="AF76" s="99"/>
      <c r="AG76" s="100"/>
      <c r="AH76" s="124"/>
      <c r="AI76" s="46">
        <f t="shared" si="37"/>
        <v>0</v>
      </c>
      <c r="AJ76" s="46">
        <f t="shared" si="38"/>
        <v>0</v>
      </c>
      <c r="AK76" s="169" t="str">
        <f t="shared" si="42"/>
        <v>z</v>
      </c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</row>
    <row r="77" spans="1:55" ht="16.5" customHeight="1" x14ac:dyDescent="0.25">
      <c r="A77" s="167" t="str">
        <f t="shared" si="40"/>
        <v/>
      </c>
      <c r="B77" s="167"/>
      <c r="C77" s="8">
        <f t="shared" si="41"/>
        <v>74</v>
      </c>
      <c r="D77" s="101"/>
      <c r="E77" s="96"/>
      <c r="F77" s="96"/>
      <c r="G77" s="97"/>
      <c r="H77" s="96"/>
      <c r="I77" s="96"/>
      <c r="J77" s="96"/>
      <c r="K77" s="96"/>
      <c r="L77" s="96"/>
      <c r="M77" s="166" t="str">
        <f>+IF(+ISBLANK(I77)=TRUE," ",+WORKDAY.INTL(I77,+J77+K77+L77,,CONGÉ!$C$2:$C$80))</f>
        <v xml:space="preserve"> </v>
      </c>
      <c r="N77" s="97"/>
      <c r="O77" s="98"/>
      <c r="P77" s="99"/>
      <c r="Q77" s="100"/>
      <c r="R77" s="99"/>
      <c r="S77" s="100"/>
      <c r="T77" s="99"/>
      <c r="U77" s="100"/>
      <c r="V77" s="99"/>
      <c r="W77" s="100"/>
      <c r="X77" s="99"/>
      <c r="Y77" s="100"/>
      <c r="Z77" s="99"/>
      <c r="AA77" s="100"/>
      <c r="AB77" s="99"/>
      <c r="AC77" s="100"/>
      <c r="AD77" s="99"/>
      <c r="AE77" s="100"/>
      <c r="AF77" s="99"/>
      <c r="AG77" s="100"/>
      <c r="AH77" s="124"/>
      <c r="AI77" s="46">
        <f t="shared" si="37"/>
        <v>0</v>
      </c>
      <c r="AJ77" s="46">
        <f t="shared" si="38"/>
        <v>0</v>
      </c>
      <c r="AK77" s="169" t="str">
        <f t="shared" si="42"/>
        <v>z</v>
      </c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</row>
    <row r="78" spans="1:55" x14ac:dyDescent="0.25">
      <c r="A78" s="167" t="str">
        <f t="shared" si="40"/>
        <v/>
      </c>
      <c r="B78" s="167"/>
      <c r="C78" s="8">
        <f t="shared" si="41"/>
        <v>75</v>
      </c>
      <c r="D78" s="101"/>
      <c r="E78" s="96"/>
      <c r="F78" s="96"/>
      <c r="G78" s="97"/>
      <c r="H78" s="96"/>
      <c r="I78" s="96"/>
      <c r="J78" s="96"/>
      <c r="K78" s="96"/>
      <c r="L78" s="96"/>
      <c r="M78" s="166" t="str">
        <f>+IF(+ISBLANK(I78)=TRUE," ",+WORKDAY.INTL(I78,+J78+K78+L78,,CONGÉ!$C$2:$C$80))</f>
        <v xml:space="preserve"> </v>
      </c>
      <c r="N78" s="97"/>
      <c r="O78" s="98"/>
      <c r="P78" s="99"/>
      <c r="Q78" s="100"/>
      <c r="R78" s="99"/>
      <c r="S78" s="100"/>
      <c r="T78" s="99"/>
      <c r="U78" s="100"/>
      <c r="V78" s="99"/>
      <c r="W78" s="100"/>
      <c r="X78" s="99"/>
      <c r="Y78" s="100"/>
      <c r="Z78" s="99"/>
      <c r="AA78" s="100"/>
      <c r="AB78" s="99"/>
      <c r="AC78" s="100"/>
      <c r="AD78" s="99"/>
      <c r="AE78" s="100"/>
      <c r="AF78" s="99"/>
      <c r="AG78" s="100"/>
      <c r="AH78" s="124"/>
      <c r="AI78" s="46">
        <f t="shared" si="37"/>
        <v>0</v>
      </c>
      <c r="AJ78" s="46">
        <f t="shared" si="38"/>
        <v>0</v>
      </c>
      <c r="AK78" s="169" t="str">
        <f t="shared" si="42"/>
        <v>z</v>
      </c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</row>
    <row r="79" spans="1:55" ht="16.5" customHeight="1" x14ac:dyDescent="0.25">
      <c r="A79" s="167" t="str">
        <f t="shared" si="40"/>
        <v/>
      </c>
      <c r="B79" s="167"/>
      <c r="C79" s="8">
        <f t="shared" si="41"/>
        <v>76</v>
      </c>
      <c r="D79" s="101"/>
      <c r="E79" s="96"/>
      <c r="F79" s="96"/>
      <c r="G79" s="97"/>
      <c r="H79" s="96"/>
      <c r="I79" s="96"/>
      <c r="J79" s="96"/>
      <c r="K79" s="96"/>
      <c r="L79" s="96"/>
      <c r="M79" s="166" t="str">
        <f>+IF(+ISBLANK(I79)=TRUE," ",+WORKDAY.INTL(I79,+J79+K79+L79,,CONGÉ!$C$2:$C$80))</f>
        <v xml:space="preserve"> </v>
      </c>
      <c r="N79" s="97"/>
      <c r="O79" s="98"/>
      <c r="P79" s="99"/>
      <c r="Q79" s="100"/>
      <c r="R79" s="99"/>
      <c r="S79" s="100"/>
      <c r="T79" s="99"/>
      <c r="U79" s="100"/>
      <c r="V79" s="99"/>
      <c r="W79" s="100"/>
      <c r="X79" s="99"/>
      <c r="Y79" s="100"/>
      <c r="Z79" s="99"/>
      <c r="AA79" s="100"/>
      <c r="AB79" s="99"/>
      <c r="AC79" s="100"/>
      <c r="AD79" s="99"/>
      <c r="AE79" s="100"/>
      <c r="AF79" s="99"/>
      <c r="AG79" s="100"/>
      <c r="AH79" s="124"/>
      <c r="AI79" s="46">
        <f t="shared" si="37"/>
        <v>0</v>
      </c>
      <c r="AJ79" s="46">
        <f t="shared" si="38"/>
        <v>0</v>
      </c>
      <c r="AK79" s="169" t="str">
        <f t="shared" si="42"/>
        <v>z</v>
      </c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</row>
    <row r="80" spans="1:55" ht="16.5" customHeight="1" x14ac:dyDescent="0.25">
      <c r="A80" s="167" t="str">
        <f t="shared" si="40"/>
        <v/>
      </c>
      <c r="B80" s="167"/>
      <c r="C80" s="8">
        <f t="shared" si="41"/>
        <v>77</v>
      </c>
      <c r="D80" s="101"/>
      <c r="E80" s="96"/>
      <c r="F80" s="96"/>
      <c r="G80" s="97"/>
      <c r="H80" s="96"/>
      <c r="I80" s="96"/>
      <c r="J80" s="96"/>
      <c r="K80" s="96"/>
      <c r="L80" s="96"/>
      <c r="M80" s="166" t="str">
        <f>+IF(+ISBLANK(I80)=TRUE," ",+WORKDAY.INTL(I80,+J80+K80+L80,,CONGÉ!$C$2:$C$80))</f>
        <v xml:space="preserve"> </v>
      </c>
      <c r="N80" s="97"/>
      <c r="O80" s="98"/>
      <c r="P80" s="99"/>
      <c r="Q80" s="100"/>
      <c r="R80" s="99"/>
      <c r="S80" s="100"/>
      <c r="T80" s="99"/>
      <c r="U80" s="100"/>
      <c r="V80" s="99"/>
      <c r="W80" s="100"/>
      <c r="X80" s="99"/>
      <c r="Y80" s="100"/>
      <c r="Z80" s="99"/>
      <c r="AA80" s="100"/>
      <c r="AB80" s="99"/>
      <c r="AC80" s="100"/>
      <c r="AD80" s="99"/>
      <c r="AE80" s="100"/>
      <c r="AF80" s="99"/>
      <c r="AG80" s="100"/>
      <c r="AH80" s="124"/>
      <c r="AI80" s="46">
        <f t="shared" si="37"/>
        <v>0</v>
      </c>
      <c r="AJ80" s="46">
        <f t="shared" si="38"/>
        <v>0</v>
      </c>
      <c r="AK80" s="169" t="str">
        <f t="shared" si="42"/>
        <v>z</v>
      </c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</row>
    <row r="81" spans="1:55" ht="16.5" customHeight="1" x14ac:dyDescent="0.25">
      <c r="A81" s="167" t="str">
        <f t="shared" si="40"/>
        <v/>
      </c>
      <c r="B81" s="167"/>
      <c r="C81" s="8">
        <f t="shared" si="41"/>
        <v>78</v>
      </c>
      <c r="D81" s="101"/>
      <c r="E81" s="96"/>
      <c r="F81" s="96"/>
      <c r="G81" s="97"/>
      <c r="H81" s="96"/>
      <c r="I81" s="96"/>
      <c r="J81" s="96"/>
      <c r="K81" s="96"/>
      <c r="L81" s="96"/>
      <c r="M81" s="166" t="str">
        <f>+IF(+ISBLANK(I81)=TRUE," ",+WORKDAY.INTL(I81,+J81+K81+L81,,CONGÉ!$C$2:$C$80))</f>
        <v xml:space="preserve"> </v>
      </c>
      <c r="N81" s="97"/>
      <c r="O81" s="98"/>
      <c r="P81" s="99"/>
      <c r="Q81" s="100"/>
      <c r="R81" s="99"/>
      <c r="S81" s="100"/>
      <c r="T81" s="99"/>
      <c r="U81" s="100"/>
      <c r="V81" s="99"/>
      <c r="W81" s="100"/>
      <c r="X81" s="99"/>
      <c r="Y81" s="100"/>
      <c r="Z81" s="99"/>
      <c r="AA81" s="100"/>
      <c r="AB81" s="99"/>
      <c r="AC81" s="100"/>
      <c r="AD81" s="99"/>
      <c r="AE81" s="100"/>
      <c r="AF81" s="99"/>
      <c r="AG81" s="100"/>
      <c r="AH81" s="124"/>
      <c r="AI81" s="46">
        <f t="shared" si="37"/>
        <v>0</v>
      </c>
      <c r="AJ81" s="46">
        <f t="shared" si="38"/>
        <v>0</v>
      </c>
      <c r="AK81" s="169" t="str">
        <f t="shared" si="42"/>
        <v>z</v>
      </c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</row>
    <row r="82" spans="1:55" ht="16.5" customHeight="1" x14ac:dyDescent="0.25">
      <c r="A82" s="167" t="str">
        <f t="shared" si="40"/>
        <v/>
      </c>
      <c r="B82" s="167"/>
      <c r="C82" s="8">
        <f t="shared" si="41"/>
        <v>79</v>
      </c>
      <c r="D82" s="101"/>
      <c r="E82" s="96"/>
      <c r="F82" s="96"/>
      <c r="G82" s="97"/>
      <c r="H82" s="96"/>
      <c r="I82" s="96"/>
      <c r="J82" s="96"/>
      <c r="K82" s="96"/>
      <c r="L82" s="96"/>
      <c r="M82" s="166" t="str">
        <f>+IF(+ISBLANK(I82)=TRUE," ",+WORKDAY.INTL(I82,+J82+K82+L82,,CONGÉ!$C$2:$C$80))</f>
        <v xml:space="preserve"> </v>
      </c>
      <c r="N82" s="97"/>
      <c r="O82" s="98"/>
      <c r="P82" s="99"/>
      <c r="Q82" s="100"/>
      <c r="R82" s="99"/>
      <c r="S82" s="100"/>
      <c r="T82" s="99"/>
      <c r="U82" s="100"/>
      <c r="V82" s="99"/>
      <c r="W82" s="100"/>
      <c r="X82" s="99"/>
      <c r="Y82" s="100"/>
      <c r="Z82" s="99"/>
      <c r="AA82" s="100"/>
      <c r="AB82" s="99"/>
      <c r="AC82" s="100"/>
      <c r="AD82" s="99"/>
      <c r="AE82" s="100"/>
      <c r="AF82" s="99"/>
      <c r="AG82" s="100"/>
      <c r="AH82" s="124"/>
      <c r="AI82" s="46">
        <f t="shared" si="37"/>
        <v>0</v>
      </c>
      <c r="AJ82" s="46">
        <f t="shared" si="38"/>
        <v>0</v>
      </c>
      <c r="AK82" s="169" t="str">
        <f t="shared" si="42"/>
        <v>z</v>
      </c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</row>
    <row r="83" spans="1:55" ht="16.5" customHeight="1" x14ac:dyDescent="0.25">
      <c r="A83" s="167" t="str">
        <f t="shared" si="40"/>
        <v/>
      </c>
      <c r="B83" s="167"/>
      <c r="C83" s="8">
        <f t="shared" si="41"/>
        <v>80</v>
      </c>
      <c r="D83" s="101"/>
      <c r="E83" s="96"/>
      <c r="F83" s="96"/>
      <c r="G83" s="97"/>
      <c r="H83" s="96"/>
      <c r="I83" s="96"/>
      <c r="J83" s="96"/>
      <c r="K83" s="96"/>
      <c r="L83" s="96"/>
      <c r="M83" s="166" t="str">
        <f>+IF(+ISBLANK(I83)=TRUE," ",+WORKDAY.INTL(I83,+J83+K83+L83,,CONGÉ!$C$2:$C$80))</f>
        <v xml:space="preserve"> </v>
      </c>
      <c r="N83" s="97"/>
      <c r="O83" s="98"/>
      <c r="P83" s="99"/>
      <c r="Q83" s="100"/>
      <c r="R83" s="99"/>
      <c r="S83" s="100"/>
      <c r="T83" s="99"/>
      <c r="U83" s="100"/>
      <c r="V83" s="99"/>
      <c r="W83" s="100"/>
      <c r="X83" s="99"/>
      <c r="Y83" s="100"/>
      <c r="Z83" s="99"/>
      <c r="AA83" s="100"/>
      <c r="AB83" s="99"/>
      <c r="AC83" s="100"/>
      <c r="AD83" s="99"/>
      <c r="AE83" s="100"/>
      <c r="AF83" s="99"/>
      <c r="AG83" s="100"/>
      <c r="AH83" s="124"/>
      <c r="AI83" s="46">
        <f t="shared" si="37"/>
        <v>0</v>
      </c>
      <c r="AJ83" s="46">
        <f t="shared" si="38"/>
        <v>0</v>
      </c>
      <c r="AK83" s="169" t="str">
        <f t="shared" si="42"/>
        <v>z</v>
      </c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</row>
    <row r="84" spans="1:55" ht="16.5" customHeight="1" x14ac:dyDescent="0.25">
      <c r="A84" s="167" t="str">
        <f t="shared" si="40"/>
        <v/>
      </c>
      <c r="B84" s="167"/>
      <c r="C84" s="8">
        <f t="shared" si="41"/>
        <v>81</v>
      </c>
      <c r="D84" s="101"/>
      <c r="E84" s="96"/>
      <c r="F84" s="96"/>
      <c r="G84" s="97"/>
      <c r="H84" s="96"/>
      <c r="I84" s="96"/>
      <c r="J84" s="96"/>
      <c r="K84" s="96"/>
      <c r="L84" s="96"/>
      <c r="M84" s="166" t="str">
        <f>+IF(+ISBLANK(I84)=TRUE," ",+WORKDAY.INTL(I84,+J84+K84+L84,,CONGÉ!$C$2:$C$80))</f>
        <v xml:space="preserve"> </v>
      </c>
      <c r="N84" s="97"/>
      <c r="O84" s="98"/>
      <c r="P84" s="99"/>
      <c r="Q84" s="100"/>
      <c r="R84" s="99"/>
      <c r="S84" s="100"/>
      <c r="T84" s="99"/>
      <c r="U84" s="100"/>
      <c r="V84" s="99"/>
      <c r="W84" s="100"/>
      <c r="X84" s="99"/>
      <c r="Y84" s="100"/>
      <c r="Z84" s="99"/>
      <c r="AA84" s="100"/>
      <c r="AB84" s="99"/>
      <c r="AC84" s="100"/>
      <c r="AD84" s="99"/>
      <c r="AE84" s="100"/>
      <c r="AF84" s="99"/>
      <c r="AG84" s="100"/>
      <c r="AH84" s="124"/>
      <c r="AI84" s="46">
        <f t="shared" si="37"/>
        <v>0</v>
      </c>
      <c r="AJ84" s="46">
        <f t="shared" si="38"/>
        <v>0</v>
      </c>
      <c r="AK84" s="169" t="str">
        <f t="shared" si="42"/>
        <v>z</v>
      </c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</row>
    <row r="85" spans="1:55" ht="16.5" customHeight="1" x14ac:dyDescent="0.25">
      <c r="A85" s="167" t="str">
        <f t="shared" si="40"/>
        <v/>
      </c>
      <c r="B85" s="167"/>
      <c r="C85" s="8">
        <f t="shared" si="41"/>
        <v>82</v>
      </c>
      <c r="D85" s="101"/>
      <c r="E85" s="96"/>
      <c r="F85" s="96"/>
      <c r="G85" s="97"/>
      <c r="H85" s="96"/>
      <c r="I85" s="96"/>
      <c r="J85" s="96"/>
      <c r="K85" s="96"/>
      <c r="L85" s="96"/>
      <c r="M85" s="166" t="str">
        <f>+IF(+ISBLANK(I85)=TRUE," ",+WORKDAY.INTL(I85,+J85+K85+L85,,CONGÉ!$C$2:$C$80))</f>
        <v xml:space="preserve"> </v>
      </c>
      <c r="N85" s="97"/>
      <c r="O85" s="98"/>
      <c r="P85" s="99"/>
      <c r="Q85" s="100"/>
      <c r="R85" s="99"/>
      <c r="S85" s="100"/>
      <c r="T85" s="99"/>
      <c r="U85" s="100"/>
      <c r="V85" s="99"/>
      <c r="W85" s="100"/>
      <c r="X85" s="99"/>
      <c r="Y85" s="100"/>
      <c r="Z85" s="99"/>
      <c r="AA85" s="100"/>
      <c r="AB85" s="99"/>
      <c r="AC85" s="100"/>
      <c r="AD85" s="99"/>
      <c r="AE85" s="100"/>
      <c r="AF85" s="99"/>
      <c r="AG85" s="100"/>
      <c r="AH85" s="124"/>
      <c r="AI85" s="46">
        <f t="shared" si="37"/>
        <v>0</v>
      </c>
      <c r="AJ85" s="46">
        <f t="shared" si="38"/>
        <v>0</v>
      </c>
      <c r="AK85" s="169" t="str">
        <f t="shared" si="42"/>
        <v>z</v>
      </c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</row>
    <row r="86" spans="1:55" ht="16.5" customHeight="1" x14ac:dyDescent="0.25">
      <c r="A86" s="167" t="str">
        <f t="shared" si="40"/>
        <v/>
      </c>
      <c r="B86" s="167"/>
      <c r="C86" s="8">
        <f t="shared" si="41"/>
        <v>83</v>
      </c>
      <c r="D86" s="101"/>
      <c r="E86" s="96"/>
      <c r="F86" s="96"/>
      <c r="G86" s="97"/>
      <c r="H86" s="96"/>
      <c r="I86" s="96"/>
      <c r="J86" s="96"/>
      <c r="K86" s="96"/>
      <c r="L86" s="96"/>
      <c r="M86" s="166" t="str">
        <f>+IF(+ISBLANK(I86)=TRUE," ",+WORKDAY.INTL(I86,+J86+K86+L86,,CONGÉ!$C$2:$C$80))</f>
        <v xml:space="preserve"> </v>
      </c>
      <c r="N86" s="97"/>
      <c r="O86" s="98"/>
      <c r="P86" s="99"/>
      <c r="Q86" s="100"/>
      <c r="R86" s="99"/>
      <c r="S86" s="100"/>
      <c r="T86" s="99"/>
      <c r="U86" s="100"/>
      <c r="V86" s="99"/>
      <c r="W86" s="100"/>
      <c r="X86" s="99"/>
      <c r="Y86" s="100"/>
      <c r="Z86" s="99"/>
      <c r="AA86" s="100"/>
      <c r="AB86" s="99"/>
      <c r="AC86" s="100"/>
      <c r="AD86" s="99"/>
      <c r="AE86" s="100"/>
      <c r="AF86" s="99"/>
      <c r="AG86" s="100"/>
      <c r="AH86" s="124"/>
      <c r="AI86" s="46">
        <f t="shared" si="37"/>
        <v>0</v>
      </c>
      <c r="AJ86" s="46">
        <f t="shared" si="38"/>
        <v>0</v>
      </c>
      <c r="AK86" s="169" t="str">
        <f t="shared" si="42"/>
        <v>z</v>
      </c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</row>
    <row r="87" spans="1:55" ht="16.5" customHeight="1" x14ac:dyDescent="0.25">
      <c r="A87" s="167" t="str">
        <f t="shared" si="40"/>
        <v/>
      </c>
      <c r="B87" s="167"/>
      <c r="C87" s="8">
        <f t="shared" si="41"/>
        <v>84</v>
      </c>
      <c r="D87" s="101"/>
      <c r="E87" s="96"/>
      <c r="F87" s="96"/>
      <c r="G87" s="97"/>
      <c r="H87" s="96"/>
      <c r="I87" s="96"/>
      <c r="J87" s="96"/>
      <c r="K87" s="96"/>
      <c r="L87" s="96"/>
      <c r="M87" s="166" t="str">
        <f>+IF(+ISBLANK(I87)=TRUE," ",+WORKDAY.INTL(I87,+J87+K87+L87,,CONGÉ!$C$2:$C$80))</f>
        <v xml:space="preserve"> </v>
      </c>
      <c r="N87" s="97"/>
      <c r="O87" s="98"/>
      <c r="P87" s="99"/>
      <c r="Q87" s="100"/>
      <c r="R87" s="99"/>
      <c r="S87" s="100"/>
      <c r="T87" s="99"/>
      <c r="U87" s="100"/>
      <c r="V87" s="99"/>
      <c r="W87" s="100"/>
      <c r="X87" s="99"/>
      <c r="Y87" s="100"/>
      <c r="Z87" s="99"/>
      <c r="AA87" s="100"/>
      <c r="AB87" s="99"/>
      <c r="AC87" s="100"/>
      <c r="AD87" s="99"/>
      <c r="AE87" s="100"/>
      <c r="AF87" s="99"/>
      <c r="AG87" s="100"/>
      <c r="AH87" s="124"/>
      <c r="AI87" s="46">
        <f t="shared" si="37"/>
        <v>0</v>
      </c>
      <c r="AJ87" s="46">
        <f t="shared" si="38"/>
        <v>0</v>
      </c>
      <c r="AK87" s="169" t="str">
        <f t="shared" si="42"/>
        <v>z</v>
      </c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</row>
    <row r="88" spans="1:55" ht="16.5" customHeight="1" x14ac:dyDescent="0.25">
      <c r="A88" s="167" t="str">
        <f t="shared" si="40"/>
        <v/>
      </c>
      <c r="B88" s="167"/>
      <c r="C88" s="8">
        <f t="shared" si="41"/>
        <v>85</v>
      </c>
      <c r="D88" s="101"/>
      <c r="E88" s="96"/>
      <c r="F88" s="96"/>
      <c r="G88" s="97"/>
      <c r="H88" s="96"/>
      <c r="I88" s="96"/>
      <c r="J88" s="96"/>
      <c r="K88" s="96"/>
      <c r="L88" s="96"/>
      <c r="M88" s="166" t="str">
        <f>+IF(+ISBLANK(I88)=TRUE," ",+WORKDAY.INTL(I88,+J88+K88+L88,,CONGÉ!$C$2:$C$80))</f>
        <v xml:space="preserve"> </v>
      </c>
      <c r="N88" s="97"/>
      <c r="O88" s="98"/>
      <c r="P88" s="99"/>
      <c r="Q88" s="100"/>
      <c r="R88" s="99"/>
      <c r="S88" s="100"/>
      <c r="T88" s="99"/>
      <c r="U88" s="100"/>
      <c r="V88" s="99"/>
      <c r="W88" s="100"/>
      <c r="X88" s="99"/>
      <c r="Y88" s="100"/>
      <c r="Z88" s="99"/>
      <c r="AA88" s="100"/>
      <c r="AB88" s="99"/>
      <c r="AC88" s="100"/>
      <c r="AD88" s="99"/>
      <c r="AE88" s="100"/>
      <c r="AF88" s="99"/>
      <c r="AG88" s="100"/>
      <c r="AH88" s="124"/>
      <c r="AI88" s="46">
        <f t="shared" si="37"/>
        <v>0</v>
      </c>
      <c r="AJ88" s="46">
        <f t="shared" si="38"/>
        <v>0</v>
      </c>
      <c r="AK88" s="169" t="str">
        <f t="shared" si="42"/>
        <v>z</v>
      </c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</row>
    <row r="89" spans="1:55" ht="16.5" customHeight="1" x14ac:dyDescent="0.25">
      <c r="A89" s="167" t="str">
        <f t="shared" si="40"/>
        <v/>
      </c>
      <c r="B89" s="167"/>
      <c r="C89" s="8">
        <f t="shared" si="41"/>
        <v>86</v>
      </c>
      <c r="D89" s="101"/>
      <c r="E89" s="96"/>
      <c r="F89" s="96"/>
      <c r="G89" s="97"/>
      <c r="H89" s="96"/>
      <c r="I89" s="96"/>
      <c r="J89" s="96"/>
      <c r="K89" s="96"/>
      <c r="L89" s="96"/>
      <c r="M89" s="166" t="str">
        <f>+IF(+ISBLANK(I89)=TRUE," ",+WORKDAY.INTL(I89,+J89+K89+L89,,CONGÉ!$C$2:$C$80))</f>
        <v xml:space="preserve"> </v>
      </c>
      <c r="N89" s="97"/>
      <c r="O89" s="98"/>
      <c r="P89" s="99"/>
      <c r="Q89" s="100"/>
      <c r="R89" s="99"/>
      <c r="S89" s="100"/>
      <c r="T89" s="99"/>
      <c r="U89" s="100"/>
      <c r="V89" s="99"/>
      <c r="W89" s="100"/>
      <c r="X89" s="99"/>
      <c r="Y89" s="100"/>
      <c r="Z89" s="99"/>
      <c r="AA89" s="100"/>
      <c r="AB89" s="99"/>
      <c r="AC89" s="100"/>
      <c r="AD89" s="99"/>
      <c r="AE89" s="100"/>
      <c r="AF89" s="99"/>
      <c r="AG89" s="100"/>
      <c r="AH89" s="124"/>
      <c r="AI89" s="46">
        <f t="shared" si="37"/>
        <v>0</v>
      </c>
      <c r="AJ89" s="46">
        <f t="shared" si="38"/>
        <v>0</v>
      </c>
      <c r="AK89" s="169" t="str">
        <f t="shared" si="42"/>
        <v>z</v>
      </c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</row>
    <row r="90" spans="1:55" ht="16.5" customHeight="1" x14ac:dyDescent="0.25">
      <c r="A90" s="167" t="str">
        <f t="shared" si="40"/>
        <v/>
      </c>
      <c r="B90" s="167"/>
      <c r="C90" s="8">
        <f t="shared" si="41"/>
        <v>87</v>
      </c>
      <c r="D90" s="101"/>
      <c r="E90" s="96"/>
      <c r="F90" s="96"/>
      <c r="G90" s="97"/>
      <c r="H90" s="96"/>
      <c r="I90" s="96"/>
      <c r="J90" s="96"/>
      <c r="K90" s="96"/>
      <c r="L90" s="96"/>
      <c r="M90" s="166" t="str">
        <f>+IF(+ISBLANK(I90)=TRUE," ",+WORKDAY.INTL(I90,+J90+K90+L90,,CONGÉ!$C$2:$C$80))</f>
        <v xml:space="preserve"> </v>
      </c>
      <c r="N90" s="97"/>
      <c r="O90" s="98"/>
      <c r="P90" s="99"/>
      <c r="Q90" s="100"/>
      <c r="R90" s="99"/>
      <c r="S90" s="100"/>
      <c r="T90" s="99"/>
      <c r="U90" s="100"/>
      <c r="V90" s="99"/>
      <c r="W90" s="100"/>
      <c r="X90" s="99"/>
      <c r="Y90" s="100"/>
      <c r="Z90" s="99"/>
      <c r="AA90" s="100"/>
      <c r="AB90" s="99"/>
      <c r="AC90" s="100"/>
      <c r="AD90" s="99"/>
      <c r="AE90" s="100"/>
      <c r="AF90" s="99"/>
      <c r="AG90" s="100"/>
      <c r="AH90" s="124"/>
      <c r="AI90" s="46">
        <f t="shared" si="37"/>
        <v>0</v>
      </c>
      <c r="AJ90" s="46">
        <f t="shared" si="38"/>
        <v>0</v>
      </c>
      <c r="AK90" s="169" t="str">
        <f t="shared" si="42"/>
        <v>z</v>
      </c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</row>
    <row r="91" spans="1:55" ht="16.5" customHeight="1" x14ac:dyDescent="0.25">
      <c r="A91" s="167" t="str">
        <f t="shared" si="40"/>
        <v/>
      </c>
      <c r="B91" s="167"/>
      <c r="C91" s="8">
        <f t="shared" si="41"/>
        <v>88</v>
      </c>
      <c r="D91" s="101"/>
      <c r="E91" s="96"/>
      <c r="F91" s="96"/>
      <c r="G91" s="97"/>
      <c r="H91" s="96"/>
      <c r="I91" s="96"/>
      <c r="J91" s="96"/>
      <c r="K91" s="96"/>
      <c r="L91" s="96"/>
      <c r="M91" s="166" t="str">
        <f>+IF(+ISBLANK(I91)=TRUE," ",+WORKDAY.INTL(I91,+J91+K91+L91,,CONGÉ!$C$2:$C$80))</f>
        <v xml:space="preserve"> </v>
      </c>
      <c r="N91" s="97"/>
      <c r="O91" s="98"/>
      <c r="P91" s="99"/>
      <c r="Q91" s="100"/>
      <c r="R91" s="99"/>
      <c r="S91" s="100"/>
      <c r="T91" s="99"/>
      <c r="U91" s="100"/>
      <c r="V91" s="99"/>
      <c r="W91" s="100"/>
      <c r="X91" s="99"/>
      <c r="Y91" s="100"/>
      <c r="Z91" s="99"/>
      <c r="AA91" s="100"/>
      <c r="AB91" s="99"/>
      <c r="AC91" s="100"/>
      <c r="AD91" s="99"/>
      <c r="AE91" s="100"/>
      <c r="AF91" s="99"/>
      <c r="AG91" s="100"/>
      <c r="AH91" s="124"/>
      <c r="AI91" s="46">
        <f t="shared" si="37"/>
        <v>0</v>
      </c>
      <c r="AJ91" s="46">
        <f t="shared" si="38"/>
        <v>0</v>
      </c>
      <c r="AK91" s="169" t="str">
        <f t="shared" si="42"/>
        <v>z</v>
      </c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</row>
    <row r="92" spans="1:55" ht="16.5" customHeight="1" x14ac:dyDescent="0.25">
      <c r="A92" s="167" t="str">
        <f t="shared" si="40"/>
        <v/>
      </c>
      <c r="B92" s="167"/>
      <c r="C92" s="8">
        <f t="shared" si="41"/>
        <v>89</v>
      </c>
      <c r="D92" s="101"/>
      <c r="E92" s="96"/>
      <c r="F92" s="96"/>
      <c r="G92" s="97"/>
      <c r="H92" s="96"/>
      <c r="I92" s="96"/>
      <c r="J92" s="96"/>
      <c r="K92" s="96"/>
      <c r="L92" s="96"/>
      <c r="M92" s="166" t="str">
        <f>+IF(+ISBLANK(I92)=TRUE," ",+WORKDAY.INTL(I92,+J92+K92+L92,,CONGÉ!$C$2:$C$80))</f>
        <v xml:space="preserve"> </v>
      </c>
      <c r="N92" s="97"/>
      <c r="O92" s="98"/>
      <c r="P92" s="99"/>
      <c r="Q92" s="100"/>
      <c r="R92" s="99"/>
      <c r="S92" s="100"/>
      <c r="T92" s="99"/>
      <c r="U92" s="100"/>
      <c r="V92" s="99"/>
      <c r="W92" s="100"/>
      <c r="X92" s="99"/>
      <c r="Y92" s="100"/>
      <c r="Z92" s="99"/>
      <c r="AA92" s="100"/>
      <c r="AB92" s="99"/>
      <c r="AC92" s="100"/>
      <c r="AD92" s="99"/>
      <c r="AE92" s="100"/>
      <c r="AF92" s="99"/>
      <c r="AG92" s="100"/>
      <c r="AH92" s="124"/>
      <c r="AI92" s="46">
        <f t="shared" si="37"/>
        <v>0</v>
      </c>
      <c r="AJ92" s="46">
        <f t="shared" si="38"/>
        <v>0</v>
      </c>
      <c r="AK92" s="169" t="str">
        <f t="shared" si="42"/>
        <v>z</v>
      </c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</row>
    <row r="93" spans="1:55" ht="16.5" customHeight="1" x14ac:dyDescent="0.25">
      <c r="A93" s="167" t="str">
        <f t="shared" si="40"/>
        <v/>
      </c>
      <c r="B93" s="167"/>
      <c r="C93" s="8">
        <f t="shared" si="41"/>
        <v>90</v>
      </c>
      <c r="D93" s="101"/>
      <c r="E93" s="96"/>
      <c r="F93" s="96"/>
      <c r="G93" s="97"/>
      <c r="H93" s="96"/>
      <c r="I93" s="96"/>
      <c r="J93" s="96"/>
      <c r="K93" s="96"/>
      <c r="L93" s="96"/>
      <c r="M93" s="166" t="str">
        <f>+IF(+ISBLANK(I93)=TRUE," ",+WORKDAY.INTL(I93,+J93+K93+L93,,CONGÉ!$C$2:$C$80))</f>
        <v xml:space="preserve"> </v>
      </c>
      <c r="N93" s="97"/>
      <c r="O93" s="98"/>
      <c r="P93" s="99"/>
      <c r="Q93" s="100"/>
      <c r="R93" s="99"/>
      <c r="S93" s="100"/>
      <c r="T93" s="99"/>
      <c r="U93" s="100"/>
      <c r="V93" s="99"/>
      <c r="W93" s="100"/>
      <c r="X93" s="99"/>
      <c r="Y93" s="100"/>
      <c r="Z93" s="99"/>
      <c r="AA93" s="100"/>
      <c r="AB93" s="99"/>
      <c r="AC93" s="100"/>
      <c r="AD93" s="99"/>
      <c r="AE93" s="100"/>
      <c r="AF93" s="99"/>
      <c r="AG93" s="100"/>
      <c r="AH93" s="124"/>
      <c r="AI93" s="46">
        <f t="shared" si="37"/>
        <v>0</v>
      </c>
      <c r="AJ93" s="46">
        <f t="shared" si="38"/>
        <v>0</v>
      </c>
      <c r="AK93" s="169" t="str">
        <f t="shared" si="42"/>
        <v>z</v>
      </c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</row>
    <row r="94" spans="1:55" ht="16.5" customHeight="1" x14ac:dyDescent="0.25">
      <c r="A94" s="167" t="str">
        <f t="shared" si="40"/>
        <v/>
      </c>
      <c r="B94" s="167"/>
      <c r="C94" s="8">
        <f t="shared" si="41"/>
        <v>91</v>
      </c>
      <c r="D94" s="101"/>
      <c r="E94" s="96"/>
      <c r="F94" s="96"/>
      <c r="G94" s="97"/>
      <c r="H94" s="96"/>
      <c r="I94" s="96"/>
      <c r="J94" s="96"/>
      <c r="K94" s="96"/>
      <c r="L94" s="96"/>
      <c r="M94" s="166" t="str">
        <f>+IF(+ISBLANK(I94)=TRUE," ",+WORKDAY.INTL(I94,+J94+K94+L94,,CONGÉ!$C$2:$C$80))</f>
        <v xml:space="preserve"> </v>
      </c>
      <c r="N94" s="97"/>
      <c r="O94" s="98"/>
      <c r="P94" s="99"/>
      <c r="Q94" s="100"/>
      <c r="R94" s="99"/>
      <c r="S94" s="100"/>
      <c r="T94" s="99"/>
      <c r="U94" s="100"/>
      <c r="V94" s="99"/>
      <c r="W94" s="100"/>
      <c r="X94" s="99"/>
      <c r="Y94" s="100"/>
      <c r="Z94" s="99"/>
      <c r="AA94" s="100"/>
      <c r="AB94" s="99"/>
      <c r="AC94" s="100"/>
      <c r="AD94" s="99"/>
      <c r="AE94" s="100"/>
      <c r="AF94" s="99"/>
      <c r="AG94" s="100"/>
      <c r="AH94" s="124"/>
      <c r="AI94" s="46">
        <f t="shared" si="37"/>
        <v>0</v>
      </c>
      <c r="AJ94" s="46">
        <f t="shared" si="38"/>
        <v>0</v>
      </c>
      <c r="AK94" s="169" t="str">
        <f t="shared" si="42"/>
        <v>z</v>
      </c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</row>
    <row r="95" spans="1:55" ht="16.5" customHeight="1" x14ac:dyDescent="0.25">
      <c r="A95" s="167" t="str">
        <f t="shared" si="40"/>
        <v/>
      </c>
      <c r="B95" s="167"/>
      <c r="C95" s="8">
        <f t="shared" si="41"/>
        <v>92</v>
      </c>
      <c r="D95" s="101"/>
      <c r="E95" s="96"/>
      <c r="F95" s="96"/>
      <c r="G95" s="97"/>
      <c r="H95" s="96"/>
      <c r="I95" s="96"/>
      <c r="J95" s="96"/>
      <c r="K95" s="96"/>
      <c r="L95" s="96"/>
      <c r="M95" s="166" t="str">
        <f>+IF(+ISBLANK(I95)=TRUE," ",+WORKDAY.INTL(I95,+J95+K95+L95,,CONGÉ!$C$2:$C$80))</f>
        <v xml:space="preserve"> </v>
      </c>
      <c r="N95" s="97"/>
      <c r="O95" s="98"/>
      <c r="P95" s="99"/>
      <c r="Q95" s="100"/>
      <c r="R95" s="99"/>
      <c r="S95" s="100"/>
      <c r="T95" s="99"/>
      <c r="U95" s="100"/>
      <c r="V95" s="99"/>
      <c r="W95" s="100"/>
      <c r="X95" s="99"/>
      <c r="Y95" s="100"/>
      <c r="Z95" s="99"/>
      <c r="AA95" s="100"/>
      <c r="AB95" s="99"/>
      <c r="AC95" s="100"/>
      <c r="AD95" s="99"/>
      <c r="AE95" s="100"/>
      <c r="AF95" s="99"/>
      <c r="AG95" s="100"/>
      <c r="AH95" s="124"/>
      <c r="AI95" s="46">
        <f t="shared" si="37"/>
        <v>0</v>
      </c>
      <c r="AJ95" s="46">
        <f t="shared" si="38"/>
        <v>0</v>
      </c>
      <c r="AK95" s="169" t="str">
        <f t="shared" si="42"/>
        <v>z</v>
      </c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</row>
    <row r="96" spans="1:55" ht="16.5" customHeight="1" x14ac:dyDescent="0.25">
      <c r="A96" s="167" t="str">
        <f t="shared" si="40"/>
        <v/>
      </c>
      <c r="B96" s="167"/>
      <c r="C96" s="8">
        <f t="shared" si="41"/>
        <v>93</v>
      </c>
      <c r="D96" s="101"/>
      <c r="E96" s="96"/>
      <c r="F96" s="96"/>
      <c r="G96" s="97"/>
      <c r="H96" s="96"/>
      <c r="I96" s="96"/>
      <c r="J96" s="96"/>
      <c r="K96" s="96"/>
      <c r="L96" s="96"/>
      <c r="M96" s="166" t="str">
        <f>+IF(+ISBLANK(I96)=TRUE," ",+WORKDAY.INTL(I96,+J96+K96+L96,,CONGÉ!$C$2:$C$80))</f>
        <v xml:space="preserve"> </v>
      </c>
      <c r="N96" s="97"/>
      <c r="O96" s="98"/>
      <c r="P96" s="99"/>
      <c r="Q96" s="100"/>
      <c r="R96" s="99"/>
      <c r="S96" s="100"/>
      <c r="T96" s="99"/>
      <c r="U96" s="100"/>
      <c r="V96" s="99"/>
      <c r="W96" s="100"/>
      <c r="X96" s="99"/>
      <c r="Y96" s="100"/>
      <c r="Z96" s="99"/>
      <c r="AA96" s="100"/>
      <c r="AB96" s="99"/>
      <c r="AC96" s="100"/>
      <c r="AD96" s="99"/>
      <c r="AE96" s="100"/>
      <c r="AF96" s="99"/>
      <c r="AG96" s="100"/>
      <c r="AH96" s="124"/>
      <c r="AI96" s="46">
        <f t="shared" ref="AI96:AI109" si="44">P96+R96+T96+V96+X96+Z96+AB96+AD96</f>
        <v>0</v>
      </c>
      <c r="AJ96" s="46">
        <f t="shared" ref="AJ96:AJ109" si="45">Q96+S96+U96+W96+Y96+AA96+AC96+AE96</f>
        <v>0</v>
      </c>
      <c r="AK96" s="169" t="str">
        <f t="shared" si="42"/>
        <v>z</v>
      </c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</row>
    <row r="97" spans="1:55" ht="16.5" customHeight="1" x14ac:dyDescent="0.25">
      <c r="A97" s="167" t="str">
        <f t="shared" si="40"/>
        <v/>
      </c>
      <c r="B97" s="167"/>
      <c r="C97" s="8">
        <f t="shared" si="41"/>
        <v>94</v>
      </c>
      <c r="D97" s="101"/>
      <c r="E97" s="96"/>
      <c r="F97" s="96"/>
      <c r="G97" s="97"/>
      <c r="H97" s="96"/>
      <c r="I97" s="96"/>
      <c r="J97" s="96"/>
      <c r="K97" s="96"/>
      <c r="L97" s="96"/>
      <c r="M97" s="166" t="str">
        <f>+IF(+ISBLANK(I97)=TRUE," ",+WORKDAY.INTL(I97,+J97+K97+L97,,CONGÉ!$C$2:$C$80))</f>
        <v xml:space="preserve"> </v>
      </c>
      <c r="N97" s="97"/>
      <c r="O97" s="98"/>
      <c r="P97" s="99"/>
      <c r="Q97" s="100"/>
      <c r="R97" s="99"/>
      <c r="S97" s="100"/>
      <c r="T97" s="99"/>
      <c r="U97" s="100"/>
      <c r="V97" s="99"/>
      <c r="W97" s="100"/>
      <c r="X97" s="99"/>
      <c r="Y97" s="100"/>
      <c r="Z97" s="99"/>
      <c r="AA97" s="100"/>
      <c r="AB97" s="99"/>
      <c r="AC97" s="100"/>
      <c r="AD97" s="99"/>
      <c r="AE97" s="100"/>
      <c r="AF97" s="99"/>
      <c r="AG97" s="100"/>
      <c r="AH97" s="124"/>
      <c r="AI97" s="46">
        <f t="shared" si="44"/>
        <v>0</v>
      </c>
      <c r="AJ97" s="46">
        <f t="shared" si="45"/>
        <v>0</v>
      </c>
      <c r="AK97" s="169" t="str">
        <f t="shared" si="42"/>
        <v>z</v>
      </c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</row>
    <row r="98" spans="1:55" ht="16.5" customHeight="1" x14ac:dyDescent="0.25">
      <c r="A98" s="167" t="str">
        <f t="shared" si="40"/>
        <v/>
      </c>
      <c r="B98" s="167"/>
      <c r="C98" s="8">
        <f t="shared" si="41"/>
        <v>95</v>
      </c>
      <c r="D98" s="101"/>
      <c r="E98" s="96"/>
      <c r="F98" s="96"/>
      <c r="G98" s="97"/>
      <c r="H98" s="96"/>
      <c r="I98" s="96"/>
      <c r="J98" s="96"/>
      <c r="K98" s="96"/>
      <c r="L98" s="96"/>
      <c r="M98" s="166" t="str">
        <f>+IF(+ISBLANK(I98)=TRUE," ",+WORKDAY.INTL(I98,+J98+K98+L98,,CONGÉ!$C$2:$C$80))</f>
        <v xml:space="preserve"> </v>
      </c>
      <c r="N98" s="97"/>
      <c r="O98" s="98"/>
      <c r="P98" s="99"/>
      <c r="Q98" s="100"/>
      <c r="R98" s="99"/>
      <c r="S98" s="100"/>
      <c r="T98" s="99"/>
      <c r="U98" s="100"/>
      <c r="V98" s="99"/>
      <c r="W98" s="100"/>
      <c r="X98" s="99"/>
      <c r="Y98" s="100"/>
      <c r="Z98" s="99"/>
      <c r="AA98" s="100"/>
      <c r="AB98" s="99"/>
      <c r="AC98" s="100"/>
      <c r="AD98" s="99"/>
      <c r="AE98" s="100"/>
      <c r="AF98" s="99"/>
      <c r="AG98" s="100"/>
      <c r="AH98" s="124"/>
      <c r="AI98" s="46">
        <f>P98+R98+T98+V98+X98+Z98+AB98+AD98</f>
        <v>0</v>
      </c>
      <c r="AJ98" s="46">
        <f>Q98+S98+U98+W98+Y98+AA98+AC98+AE98</f>
        <v>0</v>
      </c>
      <c r="AK98" s="169" t="str">
        <f t="shared" si="42"/>
        <v>z</v>
      </c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</row>
    <row r="99" spans="1:55" ht="16.5" customHeight="1" x14ac:dyDescent="0.25">
      <c r="A99" s="167" t="str">
        <f t="shared" si="40"/>
        <v/>
      </c>
      <c r="B99" s="167"/>
      <c r="C99" s="8">
        <f t="shared" si="41"/>
        <v>96</v>
      </c>
      <c r="D99" s="101"/>
      <c r="E99" s="96"/>
      <c r="F99" s="96"/>
      <c r="G99" s="97"/>
      <c r="H99" s="96"/>
      <c r="I99" s="96"/>
      <c r="J99" s="96"/>
      <c r="K99" s="96"/>
      <c r="L99" s="96"/>
      <c r="M99" s="166" t="str">
        <f>+IF(+ISBLANK(I99)=TRUE," ",+WORKDAY.INTL(I99,+J99+K99+L99,,CONGÉ!$C$2:$C$80))</f>
        <v xml:space="preserve"> </v>
      </c>
      <c r="N99" s="97"/>
      <c r="O99" s="98"/>
      <c r="P99" s="99"/>
      <c r="Q99" s="100"/>
      <c r="R99" s="99"/>
      <c r="S99" s="100"/>
      <c r="T99" s="99"/>
      <c r="U99" s="100"/>
      <c r="V99" s="99"/>
      <c r="W99" s="100"/>
      <c r="X99" s="99"/>
      <c r="Y99" s="100"/>
      <c r="Z99" s="99"/>
      <c r="AA99" s="100"/>
      <c r="AB99" s="99"/>
      <c r="AC99" s="100"/>
      <c r="AD99" s="99"/>
      <c r="AE99" s="100"/>
      <c r="AF99" s="99"/>
      <c r="AG99" s="100"/>
      <c r="AH99" s="124"/>
      <c r="AI99" s="46">
        <f t="shared" si="44"/>
        <v>0</v>
      </c>
      <c r="AJ99" s="46">
        <f t="shared" si="45"/>
        <v>0</v>
      </c>
      <c r="AK99" s="169" t="str">
        <f t="shared" si="42"/>
        <v>z</v>
      </c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</row>
    <row r="100" spans="1:55" ht="16.5" customHeight="1" x14ac:dyDescent="0.25">
      <c r="A100" s="167" t="str">
        <f t="shared" si="40"/>
        <v/>
      </c>
      <c r="B100" s="167"/>
      <c r="C100" s="8">
        <f t="shared" si="41"/>
        <v>97</v>
      </c>
      <c r="D100" s="101"/>
      <c r="E100" s="96"/>
      <c r="F100" s="96"/>
      <c r="G100" s="97"/>
      <c r="H100" s="96"/>
      <c r="I100" s="96"/>
      <c r="J100" s="96"/>
      <c r="K100" s="96"/>
      <c r="L100" s="96"/>
      <c r="M100" s="166" t="str">
        <f>+IF(+ISBLANK(I100)=TRUE," ",+WORKDAY.INTL(I100,+J100+K100+L100,,CONGÉ!$C$2:$C$80))</f>
        <v xml:space="preserve"> </v>
      </c>
      <c r="N100" s="97"/>
      <c r="O100" s="98"/>
      <c r="P100" s="99"/>
      <c r="Q100" s="100"/>
      <c r="R100" s="99"/>
      <c r="S100" s="100"/>
      <c r="T100" s="99"/>
      <c r="U100" s="100"/>
      <c r="V100" s="99"/>
      <c r="W100" s="100"/>
      <c r="X100" s="99"/>
      <c r="Y100" s="100"/>
      <c r="Z100" s="99"/>
      <c r="AA100" s="100"/>
      <c r="AB100" s="99"/>
      <c r="AC100" s="100"/>
      <c r="AD100" s="99"/>
      <c r="AE100" s="100"/>
      <c r="AF100" s="99"/>
      <c r="AG100" s="100"/>
      <c r="AH100" s="124"/>
      <c r="AI100" s="46">
        <f t="shared" si="44"/>
        <v>0</v>
      </c>
      <c r="AJ100" s="46">
        <f t="shared" si="45"/>
        <v>0</v>
      </c>
      <c r="AK100" s="169" t="str">
        <f t="shared" si="42"/>
        <v>z</v>
      </c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</row>
    <row r="101" spans="1:55" ht="16.5" customHeight="1" x14ac:dyDescent="0.25">
      <c r="A101" s="167" t="str">
        <f t="shared" si="40"/>
        <v/>
      </c>
      <c r="B101" s="167"/>
      <c r="C101" s="8">
        <f t="shared" si="41"/>
        <v>98</v>
      </c>
      <c r="D101" s="101"/>
      <c r="E101" s="96"/>
      <c r="F101" s="96"/>
      <c r="G101" s="97"/>
      <c r="H101" s="96"/>
      <c r="I101" s="96"/>
      <c r="J101" s="96"/>
      <c r="K101" s="96"/>
      <c r="L101" s="96"/>
      <c r="M101" s="166" t="str">
        <f>+IF(+ISBLANK(I101)=TRUE," ",+WORKDAY.INTL(I101,+J101+K101+L101,,CONGÉ!$C$2:$C$80))</f>
        <v xml:space="preserve"> </v>
      </c>
      <c r="N101" s="97"/>
      <c r="O101" s="98"/>
      <c r="P101" s="99"/>
      <c r="Q101" s="100"/>
      <c r="R101" s="99"/>
      <c r="S101" s="100"/>
      <c r="T101" s="99"/>
      <c r="U101" s="100"/>
      <c r="V101" s="99"/>
      <c r="W101" s="100"/>
      <c r="X101" s="99"/>
      <c r="Y101" s="100"/>
      <c r="Z101" s="99"/>
      <c r="AA101" s="100"/>
      <c r="AB101" s="99"/>
      <c r="AC101" s="100"/>
      <c r="AD101" s="99"/>
      <c r="AE101" s="100"/>
      <c r="AF101" s="99"/>
      <c r="AG101" s="100"/>
      <c r="AH101" s="124"/>
      <c r="AI101" s="46">
        <f t="shared" si="44"/>
        <v>0</v>
      </c>
      <c r="AJ101" s="46">
        <f t="shared" si="45"/>
        <v>0</v>
      </c>
      <c r="AK101" s="169" t="str">
        <f t="shared" si="42"/>
        <v>z</v>
      </c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</row>
    <row r="102" spans="1:55" ht="16.5" customHeight="1" x14ac:dyDescent="0.25">
      <c r="A102" s="167" t="str">
        <f t="shared" si="40"/>
        <v/>
      </c>
      <c r="B102" s="167"/>
      <c r="C102" s="8">
        <f t="shared" si="41"/>
        <v>99</v>
      </c>
      <c r="D102" s="101"/>
      <c r="E102" s="96"/>
      <c r="F102" s="96"/>
      <c r="G102" s="97"/>
      <c r="H102" s="96"/>
      <c r="I102" s="96"/>
      <c r="J102" s="96"/>
      <c r="K102" s="96"/>
      <c r="L102" s="96"/>
      <c r="M102" s="166" t="str">
        <f>+IF(+ISBLANK(I102)=TRUE," ",+WORKDAY.INTL(I102,+J102+K102+L102,,CONGÉ!$C$2:$C$80))</f>
        <v xml:space="preserve"> </v>
      </c>
      <c r="N102" s="97"/>
      <c r="O102" s="98"/>
      <c r="P102" s="99"/>
      <c r="Q102" s="100"/>
      <c r="R102" s="99"/>
      <c r="S102" s="100"/>
      <c r="T102" s="99"/>
      <c r="U102" s="100"/>
      <c r="V102" s="99"/>
      <c r="W102" s="100"/>
      <c r="X102" s="99"/>
      <c r="Y102" s="100"/>
      <c r="Z102" s="99"/>
      <c r="AA102" s="100"/>
      <c r="AB102" s="99"/>
      <c r="AC102" s="100"/>
      <c r="AD102" s="99"/>
      <c r="AE102" s="100"/>
      <c r="AF102" s="99"/>
      <c r="AG102" s="100"/>
      <c r="AH102" s="124"/>
      <c r="AI102" s="46">
        <f t="shared" si="44"/>
        <v>0</v>
      </c>
      <c r="AJ102" s="46">
        <f t="shared" si="45"/>
        <v>0</v>
      </c>
      <c r="AK102" s="169" t="str">
        <f t="shared" si="42"/>
        <v>z</v>
      </c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</row>
    <row r="103" spans="1:55" ht="16.5" customHeight="1" x14ac:dyDescent="0.25">
      <c r="A103" s="167" t="str">
        <f t="shared" si="40"/>
        <v/>
      </c>
      <c r="B103" s="167"/>
      <c r="C103" s="8">
        <f t="shared" si="41"/>
        <v>100</v>
      </c>
      <c r="D103" s="101"/>
      <c r="E103" s="96"/>
      <c r="F103" s="96"/>
      <c r="G103" s="97"/>
      <c r="H103" s="96"/>
      <c r="I103" s="96"/>
      <c r="J103" s="96"/>
      <c r="K103" s="96"/>
      <c r="L103" s="96"/>
      <c r="M103" s="166" t="str">
        <f>+IF(+ISBLANK(I103)=TRUE," ",+WORKDAY.INTL(I103,+J103+K103+L103,,CONGÉ!$C$2:$C$80))</f>
        <v xml:space="preserve"> </v>
      </c>
      <c r="N103" s="97"/>
      <c r="O103" s="98"/>
      <c r="P103" s="99"/>
      <c r="Q103" s="100"/>
      <c r="R103" s="99"/>
      <c r="S103" s="100"/>
      <c r="T103" s="99"/>
      <c r="U103" s="100"/>
      <c r="V103" s="99"/>
      <c r="W103" s="100"/>
      <c r="X103" s="99"/>
      <c r="Y103" s="100"/>
      <c r="Z103" s="99"/>
      <c r="AA103" s="100"/>
      <c r="AB103" s="99"/>
      <c r="AC103" s="100"/>
      <c r="AD103" s="99"/>
      <c r="AE103" s="100"/>
      <c r="AF103" s="99"/>
      <c r="AG103" s="100"/>
      <c r="AH103" s="124"/>
      <c r="AI103" s="46">
        <f t="shared" si="44"/>
        <v>0</v>
      </c>
      <c r="AJ103" s="46">
        <f t="shared" si="45"/>
        <v>0</v>
      </c>
      <c r="AK103" s="169" t="str">
        <f t="shared" si="42"/>
        <v>z</v>
      </c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</row>
    <row r="104" spans="1:55" ht="16.5" customHeight="1" x14ac:dyDescent="0.25">
      <c r="A104" s="167" t="str">
        <f t="shared" si="40"/>
        <v/>
      </c>
      <c r="B104" s="167"/>
      <c r="C104" s="8">
        <f t="shared" si="41"/>
        <v>101</v>
      </c>
      <c r="D104" s="101"/>
      <c r="E104" s="96"/>
      <c r="F104" s="96"/>
      <c r="G104" s="97"/>
      <c r="H104" s="96"/>
      <c r="I104" s="96"/>
      <c r="J104" s="96"/>
      <c r="K104" s="96"/>
      <c r="L104" s="96"/>
      <c r="M104" s="166" t="str">
        <f>+IF(+ISBLANK(I104)=TRUE," ",+WORKDAY.INTL(I104,+J104+K104+L104,,CONGÉ!$C$2:$C$80))</f>
        <v xml:space="preserve"> </v>
      </c>
      <c r="N104" s="97"/>
      <c r="O104" s="98"/>
      <c r="P104" s="99"/>
      <c r="Q104" s="100"/>
      <c r="R104" s="99"/>
      <c r="S104" s="100"/>
      <c r="T104" s="99"/>
      <c r="U104" s="100"/>
      <c r="V104" s="99"/>
      <c r="W104" s="100"/>
      <c r="X104" s="99"/>
      <c r="Y104" s="100"/>
      <c r="Z104" s="99"/>
      <c r="AA104" s="100"/>
      <c r="AB104" s="99"/>
      <c r="AC104" s="100"/>
      <c r="AD104" s="99"/>
      <c r="AE104" s="100"/>
      <c r="AF104" s="99"/>
      <c r="AG104" s="100"/>
      <c r="AH104" s="124"/>
      <c r="AI104" s="46">
        <f t="shared" si="44"/>
        <v>0</v>
      </c>
      <c r="AJ104" s="46">
        <f t="shared" si="45"/>
        <v>0</v>
      </c>
      <c r="AK104" s="169" t="str">
        <f t="shared" si="42"/>
        <v>z</v>
      </c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</row>
    <row r="105" spans="1:55" ht="16.5" customHeight="1" x14ac:dyDescent="0.25">
      <c r="A105" s="167" t="str">
        <f t="shared" si="40"/>
        <v/>
      </c>
      <c r="B105" s="167"/>
      <c r="C105" s="8">
        <f t="shared" si="41"/>
        <v>102</v>
      </c>
      <c r="D105" s="101"/>
      <c r="E105" s="96"/>
      <c r="F105" s="96"/>
      <c r="G105" s="97"/>
      <c r="H105" s="96"/>
      <c r="I105" s="96"/>
      <c r="J105" s="96"/>
      <c r="K105" s="96"/>
      <c r="L105" s="96"/>
      <c r="M105" s="166" t="str">
        <f>+IF(+ISBLANK(I105)=TRUE," ",+WORKDAY.INTL(I105,+J105+K105+L105,,CONGÉ!$C$2:$C$80))</f>
        <v xml:space="preserve"> </v>
      </c>
      <c r="N105" s="97"/>
      <c r="O105" s="98"/>
      <c r="P105" s="99"/>
      <c r="Q105" s="100"/>
      <c r="R105" s="99"/>
      <c r="S105" s="100"/>
      <c r="T105" s="99"/>
      <c r="U105" s="100"/>
      <c r="V105" s="99"/>
      <c r="W105" s="100"/>
      <c r="X105" s="99"/>
      <c r="Y105" s="100"/>
      <c r="Z105" s="99"/>
      <c r="AA105" s="100"/>
      <c r="AB105" s="99"/>
      <c r="AC105" s="100"/>
      <c r="AD105" s="99"/>
      <c r="AE105" s="100"/>
      <c r="AF105" s="99"/>
      <c r="AG105" s="100"/>
      <c r="AH105" s="124"/>
      <c r="AI105" s="46">
        <f t="shared" si="44"/>
        <v>0</v>
      </c>
      <c r="AJ105" s="46">
        <f t="shared" si="45"/>
        <v>0</v>
      </c>
      <c r="AK105" s="169" t="str">
        <f t="shared" si="42"/>
        <v>z</v>
      </c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</row>
    <row r="106" spans="1:55" ht="16.5" customHeight="1" x14ac:dyDescent="0.25">
      <c r="A106" s="167" t="str">
        <f t="shared" si="40"/>
        <v/>
      </c>
      <c r="B106" s="167"/>
      <c r="C106" s="8">
        <f t="shared" si="41"/>
        <v>103</v>
      </c>
      <c r="D106" s="101"/>
      <c r="E106" s="96"/>
      <c r="F106" s="96"/>
      <c r="G106" s="97"/>
      <c r="H106" s="96"/>
      <c r="I106" s="96"/>
      <c r="J106" s="96"/>
      <c r="K106" s="96"/>
      <c r="L106" s="96"/>
      <c r="M106" s="166" t="str">
        <f>+IF(+ISBLANK(I106)=TRUE," ",+WORKDAY.INTL(I106,+J106+K106+L106,,CONGÉ!$C$2:$C$80))</f>
        <v xml:space="preserve"> </v>
      </c>
      <c r="N106" s="97"/>
      <c r="O106" s="98"/>
      <c r="P106" s="99"/>
      <c r="Q106" s="100"/>
      <c r="R106" s="99"/>
      <c r="S106" s="100"/>
      <c r="T106" s="99"/>
      <c r="U106" s="100"/>
      <c r="V106" s="99"/>
      <c r="W106" s="100"/>
      <c r="X106" s="99"/>
      <c r="Y106" s="100"/>
      <c r="Z106" s="99"/>
      <c r="AA106" s="100"/>
      <c r="AB106" s="99"/>
      <c r="AC106" s="100"/>
      <c r="AD106" s="99"/>
      <c r="AE106" s="100"/>
      <c r="AF106" s="99"/>
      <c r="AG106" s="100"/>
      <c r="AH106" s="124"/>
      <c r="AI106" s="46">
        <f t="shared" si="44"/>
        <v>0</v>
      </c>
      <c r="AJ106" s="46">
        <f t="shared" si="45"/>
        <v>0</v>
      </c>
      <c r="AK106" s="169" t="str">
        <f t="shared" si="42"/>
        <v>z</v>
      </c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</row>
    <row r="107" spans="1:55" ht="16.5" customHeight="1" x14ac:dyDescent="0.25">
      <c r="A107" s="167" t="str">
        <f t="shared" si="40"/>
        <v/>
      </c>
      <c r="B107" s="167"/>
      <c r="C107" s="8">
        <f t="shared" si="41"/>
        <v>104</v>
      </c>
      <c r="D107" s="101"/>
      <c r="E107" s="96"/>
      <c r="F107" s="96"/>
      <c r="G107" s="97"/>
      <c r="H107" s="96"/>
      <c r="I107" s="96"/>
      <c r="J107" s="96"/>
      <c r="K107" s="96"/>
      <c r="L107" s="96"/>
      <c r="M107" s="166" t="str">
        <f>+IF(+ISBLANK(I107)=TRUE," ",+WORKDAY.INTL(I107,+J107+K107+L107,,CONGÉ!$C$2:$C$80))</f>
        <v xml:space="preserve"> </v>
      </c>
      <c r="N107" s="97"/>
      <c r="O107" s="98"/>
      <c r="P107" s="99"/>
      <c r="Q107" s="100"/>
      <c r="R107" s="99"/>
      <c r="S107" s="100"/>
      <c r="T107" s="99"/>
      <c r="U107" s="100"/>
      <c r="V107" s="99"/>
      <c r="W107" s="100"/>
      <c r="X107" s="99"/>
      <c r="Y107" s="100"/>
      <c r="Z107" s="99"/>
      <c r="AA107" s="100"/>
      <c r="AB107" s="99"/>
      <c r="AC107" s="100"/>
      <c r="AD107" s="99"/>
      <c r="AE107" s="100"/>
      <c r="AF107" s="99"/>
      <c r="AG107" s="100"/>
      <c r="AH107" s="124"/>
      <c r="AI107" s="46"/>
      <c r="AJ107" s="46"/>
      <c r="AK107" s="169" t="str">
        <f t="shared" si="42"/>
        <v>z</v>
      </c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</row>
    <row r="108" spans="1:55" ht="16.5" customHeight="1" x14ac:dyDescent="0.25">
      <c r="A108" s="167" t="str">
        <f t="shared" si="40"/>
        <v/>
      </c>
      <c r="B108" s="167"/>
      <c r="C108" s="8">
        <f t="shared" si="41"/>
        <v>105</v>
      </c>
      <c r="D108" s="101"/>
      <c r="E108" s="96"/>
      <c r="F108" s="96"/>
      <c r="G108" s="97"/>
      <c r="H108" s="96"/>
      <c r="I108" s="96"/>
      <c r="J108" s="96"/>
      <c r="K108" s="96"/>
      <c r="L108" s="96"/>
      <c r="M108" s="166" t="str">
        <f>+IF(+ISBLANK(I108)=TRUE," ",+WORKDAY.INTL(I108,+J108+K108+L108,,CONGÉ!$C$2:$C$80))</f>
        <v xml:space="preserve"> </v>
      </c>
      <c r="N108" s="97"/>
      <c r="O108" s="98"/>
      <c r="P108" s="99"/>
      <c r="Q108" s="100"/>
      <c r="R108" s="99"/>
      <c r="S108" s="100"/>
      <c r="T108" s="99"/>
      <c r="U108" s="100"/>
      <c r="V108" s="99"/>
      <c r="W108" s="100"/>
      <c r="X108" s="99"/>
      <c r="Y108" s="100"/>
      <c r="Z108" s="99"/>
      <c r="AA108" s="100"/>
      <c r="AB108" s="99"/>
      <c r="AC108" s="100"/>
      <c r="AD108" s="99"/>
      <c r="AE108" s="100"/>
      <c r="AF108" s="99"/>
      <c r="AG108" s="100"/>
      <c r="AH108" s="124"/>
      <c r="AI108" s="46">
        <f t="shared" si="44"/>
        <v>0</v>
      </c>
      <c r="AJ108" s="46">
        <f t="shared" si="45"/>
        <v>0</v>
      </c>
      <c r="AK108" s="169" t="str">
        <f t="shared" si="42"/>
        <v>z</v>
      </c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</row>
    <row r="109" spans="1:55" ht="16.5" customHeight="1" thickBot="1" x14ac:dyDescent="0.3">
      <c r="A109" s="167" t="str">
        <f t="shared" si="40"/>
        <v/>
      </c>
      <c r="B109" s="167"/>
      <c r="C109" s="8">
        <f t="shared" si="41"/>
        <v>106</v>
      </c>
      <c r="D109" s="102"/>
      <c r="E109" s="103"/>
      <c r="F109" s="103"/>
      <c r="G109" s="104"/>
      <c r="H109" s="103"/>
      <c r="I109" s="103"/>
      <c r="J109" s="103"/>
      <c r="K109" s="103"/>
      <c r="L109" s="103"/>
      <c r="M109" s="166" t="str">
        <f>+IF(+ISBLANK(I109)=TRUE," ",+WORKDAY.INTL(I109,+J109+K109+L109,,CONGÉ!$C$2:$C$80))</f>
        <v xml:space="preserve"> </v>
      </c>
      <c r="N109" s="104"/>
      <c r="O109" s="105"/>
      <c r="P109" s="106"/>
      <c r="Q109" s="107"/>
      <c r="R109" s="106"/>
      <c r="S109" s="107"/>
      <c r="T109" s="106"/>
      <c r="U109" s="107"/>
      <c r="V109" s="106"/>
      <c r="W109" s="107"/>
      <c r="X109" s="106"/>
      <c r="Y109" s="107"/>
      <c r="Z109" s="106"/>
      <c r="AA109" s="107"/>
      <c r="AB109" s="106"/>
      <c r="AC109" s="107"/>
      <c r="AD109" s="106"/>
      <c r="AE109" s="107"/>
      <c r="AF109" s="106"/>
      <c r="AG109" s="107"/>
      <c r="AH109" s="125"/>
      <c r="AI109" s="46">
        <f t="shared" si="44"/>
        <v>0</v>
      </c>
      <c r="AJ109" s="46">
        <f t="shared" si="45"/>
        <v>0</v>
      </c>
      <c r="AK109" s="169" t="str">
        <f t="shared" si="42"/>
        <v>z</v>
      </c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</row>
    <row r="110" spans="1:55" s="94" customFormat="1" ht="15.75" thickBot="1" x14ac:dyDescent="0.3">
      <c r="A110" s="167" t="str">
        <f t="shared" si="40"/>
        <v/>
      </c>
      <c r="B110" s="167"/>
      <c r="C110" s="8">
        <f t="shared" si="41"/>
        <v>107</v>
      </c>
      <c r="D110" s="95"/>
      <c r="E110" s="95"/>
      <c r="F110" s="95"/>
      <c r="G110" s="95"/>
      <c r="H110" s="95"/>
      <c r="I110" s="95"/>
      <c r="J110" s="95"/>
      <c r="K110" s="95"/>
      <c r="L110" s="95"/>
      <c r="M110" s="166" t="str">
        <f>+IF(+ISBLANK(I110)=TRUE," ",+WORKDAY.INTL(I110,+J110+K110+L110,,CONGÉ!$C$2:$C$80))</f>
        <v xml:space="preserve"> </v>
      </c>
      <c r="N110" s="95"/>
      <c r="O110" s="95"/>
      <c r="P110" s="95">
        <f t="shared" ref="P110:AG110" si="46">+SUMIF($O$6:$O$40,"OUI",P22:P109)</f>
        <v>0</v>
      </c>
      <c r="Q110" s="95">
        <f t="shared" si="46"/>
        <v>0</v>
      </c>
      <c r="R110" s="95">
        <f t="shared" si="46"/>
        <v>0</v>
      </c>
      <c r="S110" s="95">
        <f t="shared" si="46"/>
        <v>0</v>
      </c>
      <c r="T110" s="95">
        <f t="shared" si="46"/>
        <v>0</v>
      </c>
      <c r="U110" s="95">
        <f t="shared" si="46"/>
        <v>0</v>
      </c>
      <c r="V110" s="95">
        <f t="shared" si="46"/>
        <v>0</v>
      </c>
      <c r="W110" s="95">
        <f t="shared" si="46"/>
        <v>0</v>
      </c>
      <c r="X110" s="95">
        <f t="shared" si="46"/>
        <v>0</v>
      </c>
      <c r="Y110" s="95">
        <f t="shared" si="46"/>
        <v>0</v>
      </c>
      <c r="Z110" s="95">
        <f t="shared" si="46"/>
        <v>0</v>
      </c>
      <c r="AA110" s="95">
        <f t="shared" si="46"/>
        <v>0</v>
      </c>
      <c r="AB110" s="95">
        <f t="shared" si="46"/>
        <v>0</v>
      </c>
      <c r="AC110" s="95">
        <f t="shared" si="46"/>
        <v>0</v>
      </c>
      <c r="AD110" s="95">
        <f t="shared" si="46"/>
        <v>0</v>
      </c>
      <c r="AE110" s="95">
        <f t="shared" si="46"/>
        <v>0</v>
      </c>
      <c r="AF110" s="95">
        <f t="shared" si="46"/>
        <v>0</v>
      </c>
      <c r="AG110" s="95">
        <f t="shared" si="46"/>
        <v>0</v>
      </c>
      <c r="AH110" s="95"/>
      <c r="AI110" s="95">
        <f>+SUMIF($O$6:$O$40,"OUI",AI22:AI109)</f>
        <v>0</v>
      </c>
      <c r="AJ110" s="95">
        <f>+SUMIF($O$6:$O$40,"OUI",AJ22:AJ109)</f>
        <v>0</v>
      </c>
      <c r="AK110" s="170"/>
    </row>
    <row r="111" spans="1:55" x14ac:dyDescent="0.25">
      <c r="M111" s="166" t="str">
        <f>+IF(+ISBLANK(I111)=TRUE," ",+WORKDAY.INTL(I111,+J111+K111+L111,,CONGÉ!$C$2:$C$80))</f>
        <v xml:space="preserve"> </v>
      </c>
      <c r="AK111" s="169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</row>
    <row r="112" spans="1:55" x14ac:dyDescent="0.25">
      <c r="M112" s="166" t="str">
        <f>+IF(+ISBLANK(I112)=TRUE," ",+WORKDAY.INTL(I112,+J112+K112+L112,,CONGÉ!$C$2:$C$80))</f>
        <v xml:space="preserve"> </v>
      </c>
      <c r="AK112" s="169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</row>
    <row r="113" spans="6:55" x14ac:dyDescent="0.25">
      <c r="M113" s="166" t="str">
        <f>+IF(+ISBLANK(I113)=TRUE," ",+WORKDAY.INTL(I113,+J113+K113+L113,,CONGÉ!$C$2:$C$80))</f>
        <v xml:space="preserve"> </v>
      </c>
    </row>
    <row r="114" spans="6:55" x14ac:dyDescent="0.25">
      <c r="M114" s="166" t="str">
        <f>+IF(+ISBLANK(I114)=TRUE," ",+WORKDAY.INTL(I114,+J114+K114+L114,,CONGÉ!$C$2:$C$80))</f>
        <v xml:space="preserve"> </v>
      </c>
    </row>
    <row r="115" spans="6:55" x14ac:dyDescent="0.25">
      <c r="F115" s="8" cm="1">
        <f t="array" ref="F115:F221">IF(DATA!$B$4:$B$110="",DATA!$A$4:$A$110,DATA!$B$4:$B$110)</f>
        <v>4</v>
      </c>
      <c r="M115" s="166" t="str">
        <f>+IF(+ISBLANK(I115)=TRUE," ",+WORKDAY.INTL(I115,+J115+K115+L115,,CONGÉ!$C$2:$C$80))</f>
        <v xml:space="preserve"> </v>
      </c>
    </row>
    <row r="116" spans="6:55" x14ac:dyDescent="0.25">
      <c r="F116" s="8">
        <v>11</v>
      </c>
      <c r="G116" s="9">
        <f>RANK(10,F115:F133)</f>
        <v>2</v>
      </c>
      <c r="M116" s="166" t="str">
        <f>+IF(+ISBLANK(I116)=TRUE," ",+WORKDAY.INTL(I116,+J116+K116+L116,,CONGÉ!$C$2:$C$80))</f>
        <v xml:space="preserve"> </v>
      </c>
    </row>
    <row r="117" spans="6:55" x14ac:dyDescent="0.25">
      <c r="F117" s="8">
        <v>3</v>
      </c>
      <c r="M117" s="166" t="str">
        <f>+IF(+ISBLANK(I117)=TRUE," ",+WORKDAY.INTL(I117,+J117+K117+L117,,CONGÉ!$C$2:$C$80))</f>
        <v xml:space="preserve"> </v>
      </c>
    </row>
    <row r="118" spans="6:55" x14ac:dyDescent="0.25">
      <c r="F118" s="8">
        <v>10</v>
      </c>
      <c r="M118" s="166" t="str">
        <f>+IF(+ISBLANK(I118)=TRUE," ",+WORKDAY.INTL(I118,+J118+K118+L118,,CONGÉ!$C$2:$C$80))</f>
        <v xml:space="preserve"> </v>
      </c>
    </row>
    <row r="119" spans="6:55" x14ac:dyDescent="0.25">
      <c r="F119" s="8">
        <v>7</v>
      </c>
      <c r="M119" s="166" t="str">
        <f>+IF(+ISBLANK(I119)=TRUE," ",+WORKDAY.INTL(I119,+J119+K119+L119,,CONGÉ!$C$2:$C$80))</f>
        <v xml:space="preserve"> </v>
      </c>
    </row>
    <row r="120" spans="6:55" x14ac:dyDescent="0.25">
      <c r="F120" s="8">
        <v>5</v>
      </c>
      <c r="M120" s="166" t="str">
        <f>+IF(+ISBLANK(I120)=TRUE," ",+WORKDAY.INTL(I120,+J120+K120+L120,,CONGÉ!$C$2:$C$80))</f>
        <v xml:space="preserve"> </v>
      </c>
    </row>
    <row r="121" spans="6:55" x14ac:dyDescent="0.25">
      <c r="F121" s="8">
        <v>1</v>
      </c>
      <c r="M121" s="166" t="str">
        <f>+IF(+ISBLANK(I121)=TRUE," ",+WORKDAY.INTL(I121,+J121+K121+L121,,CONGÉ!$C$2:$C$80))</f>
        <v xml:space="preserve"> </v>
      </c>
    </row>
    <row r="122" spans="6:55" x14ac:dyDescent="0.25">
      <c r="F122" s="8">
        <v>3.1</v>
      </c>
      <c r="M122" s="166" t="str">
        <f>+IF(+ISBLANK(I122)=TRUE," ",+WORKDAY.INTL(I122,+J122+K122+L122,,CONGÉ!$C$2:$C$80))</f>
        <v xml:space="preserve"> </v>
      </c>
    </row>
    <row r="123" spans="6:55" x14ac:dyDescent="0.25">
      <c r="F123" s="8">
        <v>3.2</v>
      </c>
      <c r="M123" s="166" t="str">
        <f>+IF(+ISBLANK(I123)=TRUE," ",+WORKDAY.INTL(I123,+J123+K123+L123,,CONGÉ!$C$2:$C$80))</f>
        <v xml:space="preserve"> </v>
      </c>
    </row>
    <row r="124" spans="6:55" x14ac:dyDescent="0.25">
      <c r="F124" s="8">
        <v>2</v>
      </c>
      <c r="M124" s="166" t="str">
        <f>+IF(+ISBLANK(I124)=TRUE," ",+WORKDAY.INTL(I124,+J124+K124+L124,,CONGÉ!$C$2:$C$80))</f>
        <v xml:space="preserve"> </v>
      </c>
      <c r="AK124" s="169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</row>
    <row r="125" spans="6:55" x14ac:dyDescent="0.25">
      <c r="F125" s="8">
        <v>3.3</v>
      </c>
      <c r="M125" s="166" t="str">
        <f>+IF(+ISBLANK(I125)=TRUE," ",+WORKDAY.INTL(I125,+J125+K125+L125,,CONGÉ!$C$2:$C$80))</f>
        <v xml:space="preserve"> </v>
      </c>
    </row>
    <row r="126" spans="6:55" x14ac:dyDescent="0.25">
      <c r="F126" s="8">
        <v>8</v>
      </c>
      <c r="M126" s="166" t="str">
        <f>+IF(+ISBLANK(I126)=TRUE," ",+WORKDAY.INTL(I126,+J126+K126+L126,,CONGÉ!$C$2:$C$80))</f>
        <v xml:space="preserve"> </v>
      </c>
    </row>
    <row r="127" spans="6:55" x14ac:dyDescent="0.25">
      <c r="F127" s="8" t="str">
        <v/>
      </c>
      <c r="M127" s="166" t="str">
        <f>+IF(+ISBLANK(I127)=TRUE," ",+WORKDAY.INTL(I127,+J127+K127+L127,,CONGÉ!$C$2:$C$80))</f>
        <v xml:space="preserve"> </v>
      </c>
      <c r="AK127" s="169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</row>
    <row r="128" spans="6:55" x14ac:dyDescent="0.25">
      <c r="F128" s="8" t="str">
        <v/>
      </c>
      <c r="M128" s="166" t="str">
        <f>+IF(+ISBLANK(I128)=TRUE," ",+WORKDAY.INTL(I128,+J128+K128+L128,,CONGÉ!$C$2:$C$80))</f>
        <v xml:space="preserve"> </v>
      </c>
      <c r="AK128" s="169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</row>
    <row r="129" spans="6:6" x14ac:dyDescent="0.25">
      <c r="F129" s="8" t="str">
        <v/>
      </c>
    </row>
    <row r="130" spans="6:6" x14ac:dyDescent="0.25">
      <c r="F130" s="8" t="str">
        <v/>
      </c>
    </row>
    <row r="131" spans="6:6" x14ac:dyDescent="0.25">
      <c r="F131" s="8" t="str">
        <v/>
      </c>
    </row>
    <row r="132" spans="6:6" x14ac:dyDescent="0.25">
      <c r="F132" s="8" t="str">
        <v/>
      </c>
    </row>
    <row r="133" spans="6:6" x14ac:dyDescent="0.25">
      <c r="F133" s="8" t="str">
        <v/>
      </c>
    </row>
    <row r="134" spans="6:6" x14ac:dyDescent="0.25">
      <c r="F134" s="8" t="str">
        <v/>
      </c>
    </row>
    <row r="135" spans="6:6" x14ac:dyDescent="0.25">
      <c r="F135" s="8" t="str">
        <v/>
      </c>
    </row>
    <row r="136" spans="6:6" x14ac:dyDescent="0.25">
      <c r="F136" s="8" t="str">
        <v/>
      </c>
    </row>
    <row r="137" spans="6:6" x14ac:dyDescent="0.25">
      <c r="F137" s="8" t="str">
        <v/>
      </c>
    </row>
    <row r="138" spans="6:6" x14ac:dyDescent="0.25">
      <c r="F138" s="8" t="str">
        <v/>
      </c>
    </row>
    <row r="139" spans="6:6" x14ac:dyDescent="0.25">
      <c r="F139" s="8" t="str">
        <v/>
      </c>
    </row>
    <row r="140" spans="6:6" x14ac:dyDescent="0.25">
      <c r="F140" s="8" t="str">
        <v/>
      </c>
    </row>
    <row r="141" spans="6:6" x14ac:dyDescent="0.25">
      <c r="F141" s="8" t="str">
        <v/>
      </c>
    </row>
    <row r="142" spans="6:6" x14ac:dyDescent="0.25">
      <c r="F142" s="8" t="str">
        <v/>
      </c>
    </row>
    <row r="143" spans="6:6" x14ac:dyDescent="0.25">
      <c r="F143" s="8" t="str">
        <v/>
      </c>
    </row>
    <row r="144" spans="6:6" x14ac:dyDescent="0.25">
      <c r="F144" s="8" t="str">
        <v/>
      </c>
    </row>
    <row r="145" spans="6:6" x14ac:dyDescent="0.25">
      <c r="F145" s="8" t="str">
        <v/>
      </c>
    </row>
    <row r="146" spans="6:6" x14ac:dyDescent="0.25">
      <c r="F146" s="8" t="str">
        <v/>
      </c>
    </row>
    <row r="147" spans="6:6" x14ac:dyDescent="0.25">
      <c r="F147" s="8" t="str">
        <v/>
      </c>
    </row>
    <row r="148" spans="6:6" x14ac:dyDescent="0.25">
      <c r="F148" s="8" t="str">
        <v/>
      </c>
    </row>
    <row r="149" spans="6:6" x14ac:dyDescent="0.25">
      <c r="F149" s="8" t="str">
        <v/>
      </c>
    </row>
    <row r="150" spans="6:6" x14ac:dyDescent="0.25">
      <c r="F150" s="8" t="str">
        <v/>
      </c>
    </row>
    <row r="151" spans="6:6" x14ac:dyDescent="0.25">
      <c r="F151" s="8" t="str">
        <v/>
      </c>
    </row>
    <row r="152" spans="6:6" x14ac:dyDescent="0.25">
      <c r="F152" s="8" t="str">
        <v/>
      </c>
    </row>
    <row r="153" spans="6:6" x14ac:dyDescent="0.25">
      <c r="F153" s="8" t="str">
        <v/>
      </c>
    </row>
    <row r="154" spans="6:6" x14ac:dyDescent="0.25">
      <c r="F154" s="8" t="str">
        <v/>
      </c>
    </row>
    <row r="155" spans="6:6" x14ac:dyDescent="0.25">
      <c r="F155" s="8" t="str">
        <v/>
      </c>
    </row>
    <row r="156" spans="6:6" x14ac:dyDescent="0.25">
      <c r="F156" s="8" t="str">
        <v/>
      </c>
    </row>
    <row r="157" spans="6:6" x14ac:dyDescent="0.25">
      <c r="F157" s="8" t="str">
        <v/>
      </c>
    </row>
    <row r="158" spans="6:6" x14ac:dyDescent="0.25">
      <c r="F158" s="8" t="str">
        <v/>
      </c>
    </row>
    <row r="159" spans="6:6" x14ac:dyDescent="0.25">
      <c r="F159" s="8" t="str">
        <v/>
      </c>
    </row>
    <row r="160" spans="6:6" x14ac:dyDescent="0.25">
      <c r="F160" s="8" t="str">
        <v/>
      </c>
    </row>
    <row r="161" spans="6:6" x14ac:dyDescent="0.25">
      <c r="F161" s="8" t="str">
        <v/>
      </c>
    </row>
    <row r="162" spans="6:6" x14ac:dyDescent="0.25">
      <c r="F162" s="8" t="str">
        <v/>
      </c>
    </row>
    <row r="163" spans="6:6" x14ac:dyDescent="0.25">
      <c r="F163" s="8" t="str">
        <v/>
      </c>
    </row>
    <row r="164" spans="6:6" x14ac:dyDescent="0.25">
      <c r="F164" s="8" t="str">
        <v/>
      </c>
    </row>
    <row r="165" spans="6:6" x14ac:dyDescent="0.25">
      <c r="F165" s="8" t="str">
        <v/>
      </c>
    </row>
    <row r="166" spans="6:6" x14ac:dyDescent="0.25">
      <c r="F166" s="8" t="str">
        <v/>
      </c>
    </row>
    <row r="167" spans="6:6" x14ac:dyDescent="0.25">
      <c r="F167" s="8" t="str">
        <v/>
      </c>
    </row>
    <row r="168" spans="6:6" x14ac:dyDescent="0.25">
      <c r="F168" s="8" t="str">
        <v/>
      </c>
    </row>
    <row r="169" spans="6:6" x14ac:dyDescent="0.25">
      <c r="F169" s="8" t="str">
        <v/>
      </c>
    </row>
    <row r="170" spans="6:6" x14ac:dyDescent="0.25">
      <c r="F170" s="8" t="str">
        <v/>
      </c>
    </row>
    <row r="171" spans="6:6" x14ac:dyDescent="0.25">
      <c r="F171" s="8" t="str">
        <v/>
      </c>
    </row>
    <row r="172" spans="6:6" x14ac:dyDescent="0.25">
      <c r="F172" s="8" t="str">
        <v/>
      </c>
    </row>
    <row r="173" spans="6:6" x14ac:dyDescent="0.25">
      <c r="F173" s="8" t="str">
        <v/>
      </c>
    </row>
    <row r="174" spans="6:6" x14ac:dyDescent="0.25">
      <c r="F174" s="8" t="str">
        <v/>
      </c>
    </row>
    <row r="175" spans="6:6" x14ac:dyDescent="0.25">
      <c r="F175" s="8" t="str">
        <v/>
      </c>
    </row>
    <row r="176" spans="6:6" x14ac:dyDescent="0.25">
      <c r="F176" s="8" t="str">
        <v/>
      </c>
    </row>
    <row r="177" spans="6:6" x14ac:dyDescent="0.25">
      <c r="F177" s="8" t="str">
        <v/>
      </c>
    </row>
    <row r="178" spans="6:6" x14ac:dyDescent="0.25">
      <c r="F178" s="8" t="str">
        <v/>
      </c>
    </row>
    <row r="179" spans="6:6" x14ac:dyDescent="0.25">
      <c r="F179" s="8" t="str">
        <v/>
      </c>
    </row>
    <row r="180" spans="6:6" x14ac:dyDescent="0.25">
      <c r="F180" s="8" t="str">
        <v/>
      </c>
    </row>
    <row r="181" spans="6:6" x14ac:dyDescent="0.25">
      <c r="F181" s="8" t="str">
        <v/>
      </c>
    </row>
    <row r="182" spans="6:6" x14ac:dyDescent="0.25">
      <c r="F182" s="8" t="str">
        <v/>
      </c>
    </row>
    <row r="183" spans="6:6" x14ac:dyDescent="0.25">
      <c r="F183" s="8" t="str">
        <v/>
      </c>
    </row>
    <row r="184" spans="6:6" x14ac:dyDescent="0.25">
      <c r="F184" s="8" t="str">
        <v/>
      </c>
    </row>
    <row r="185" spans="6:6" x14ac:dyDescent="0.25">
      <c r="F185" s="8" t="str">
        <v/>
      </c>
    </row>
    <row r="186" spans="6:6" x14ac:dyDescent="0.25">
      <c r="F186" s="8" t="str">
        <v/>
      </c>
    </row>
    <row r="187" spans="6:6" x14ac:dyDescent="0.25">
      <c r="F187" s="8" t="str">
        <v/>
      </c>
    </row>
    <row r="188" spans="6:6" x14ac:dyDescent="0.25">
      <c r="F188" s="8" t="str">
        <v/>
      </c>
    </row>
    <row r="189" spans="6:6" x14ac:dyDescent="0.25">
      <c r="F189" s="8" t="str">
        <v/>
      </c>
    </row>
    <row r="190" spans="6:6" x14ac:dyDescent="0.25">
      <c r="F190" s="8" t="str">
        <v/>
      </c>
    </row>
    <row r="191" spans="6:6" x14ac:dyDescent="0.25">
      <c r="F191" s="8" t="str">
        <v/>
      </c>
    </row>
    <row r="192" spans="6:6" x14ac:dyDescent="0.25">
      <c r="F192" s="8" t="str">
        <v/>
      </c>
    </row>
    <row r="193" spans="6:6" x14ac:dyDescent="0.25">
      <c r="F193" s="8" t="str">
        <v/>
      </c>
    </row>
    <row r="194" spans="6:6" x14ac:dyDescent="0.25">
      <c r="F194" s="8" t="str">
        <v/>
      </c>
    </row>
    <row r="195" spans="6:6" x14ac:dyDescent="0.25">
      <c r="F195" s="8" t="str">
        <v/>
      </c>
    </row>
    <row r="196" spans="6:6" x14ac:dyDescent="0.25">
      <c r="F196" s="8" t="str">
        <v/>
      </c>
    </row>
    <row r="197" spans="6:6" x14ac:dyDescent="0.25">
      <c r="F197" s="8" t="str">
        <v/>
      </c>
    </row>
    <row r="198" spans="6:6" x14ac:dyDescent="0.25">
      <c r="F198" s="8" t="str">
        <v/>
      </c>
    </row>
    <row r="199" spans="6:6" x14ac:dyDescent="0.25">
      <c r="F199" s="8" t="str">
        <v/>
      </c>
    </row>
    <row r="200" spans="6:6" x14ac:dyDescent="0.25">
      <c r="F200" s="8" t="str">
        <v/>
      </c>
    </row>
    <row r="201" spans="6:6" x14ac:dyDescent="0.25">
      <c r="F201" s="8" t="str">
        <v/>
      </c>
    </row>
    <row r="202" spans="6:6" x14ac:dyDescent="0.25">
      <c r="F202" s="8" t="str">
        <v/>
      </c>
    </row>
    <row r="203" spans="6:6" x14ac:dyDescent="0.25">
      <c r="F203" s="8" t="str">
        <v/>
      </c>
    </row>
    <row r="204" spans="6:6" x14ac:dyDescent="0.25">
      <c r="F204" s="8" t="str">
        <v/>
      </c>
    </row>
    <row r="205" spans="6:6" x14ac:dyDescent="0.25">
      <c r="F205" s="8" t="str">
        <v/>
      </c>
    </row>
    <row r="206" spans="6:6" x14ac:dyDescent="0.25">
      <c r="F206" s="8" t="str">
        <v/>
      </c>
    </row>
    <row r="207" spans="6:6" x14ac:dyDescent="0.25">
      <c r="F207" s="8" t="str">
        <v/>
      </c>
    </row>
    <row r="208" spans="6:6" x14ac:dyDescent="0.25">
      <c r="F208" s="8" t="str">
        <v/>
      </c>
    </row>
    <row r="209" spans="6:6" x14ac:dyDescent="0.25">
      <c r="F209" s="8" t="str">
        <v/>
      </c>
    </row>
    <row r="210" spans="6:6" x14ac:dyDescent="0.25">
      <c r="F210" s="8" t="str">
        <v/>
      </c>
    </row>
    <row r="211" spans="6:6" x14ac:dyDescent="0.25">
      <c r="F211" s="8" t="str">
        <v/>
      </c>
    </row>
    <row r="212" spans="6:6" x14ac:dyDescent="0.25">
      <c r="F212" s="8" t="str">
        <v/>
      </c>
    </row>
    <row r="213" spans="6:6" x14ac:dyDescent="0.25">
      <c r="F213" s="8" t="str">
        <v/>
      </c>
    </row>
    <row r="214" spans="6:6" x14ac:dyDescent="0.25">
      <c r="F214" s="8" t="str">
        <v/>
      </c>
    </row>
    <row r="215" spans="6:6" x14ac:dyDescent="0.25">
      <c r="F215" s="8" t="str">
        <v/>
      </c>
    </row>
    <row r="216" spans="6:6" x14ac:dyDescent="0.25">
      <c r="F216" s="8" t="str">
        <v/>
      </c>
    </row>
    <row r="217" spans="6:6" x14ac:dyDescent="0.25">
      <c r="F217" s="8" t="str">
        <v/>
      </c>
    </row>
    <row r="218" spans="6:6" x14ac:dyDescent="0.25">
      <c r="F218" s="8" t="str">
        <v/>
      </c>
    </row>
    <row r="219" spans="6:6" x14ac:dyDescent="0.25">
      <c r="F219" s="8" t="str">
        <v/>
      </c>
    </row>
    <row r="220" spans="6:6" x14ac:dyDescent="0.25">
      <c r="F220" s="8" t="str">
        <v/>
      </c>
    </row>
    <row r="221" spans="6:6" x14ac:dyDescent="0.25">
      <c r="F221" s="8" t="str">
        <v/>
      </c>
    </row>
  </sheetData>
  <autoFilter ref="A1:AG128" xr:uid="{E6CA5840-98A7-4F4F-B52B-B6088795B940}">
    <filterColumn colId="15" showButton="0"/>
    <filterColumn colId="17" showButton="0"/>
    <filterColumn colId="19" showButton="0"/>
    <filterColumn colId="21" showButton="0"/>
    <filterColumn colId="23" showButton="0"/>
    <filterColumn colId="25" showButton="0"/>
    <filterColumn colId="27" showButton="0"/>
    <filterColumn colId="29" showButton="0"/>
    <filterColumn colId="31" showButton="0"/>
  </autoFilter>
  <mergeCells count="10">
    <mergeCell ref="AI1:AJ1"/>
    <mergeCell ref="AD1:AE1"/>
    <mergeCell ref="AF1:AG1"/>
    <mergeCell ref="P1:Q1"/>
    <mergeCell ref="R1:S1"/>
    <mergeCell ref="T1:U1"/>
    <mergeCell ref="V1:W1"/>
    <mergeCell ref="X1:Y1"/>
    <mergeCell ref="Z1:AA1"/>
    <mergeCell ref="AB1:AC1"/>
  </mergeCells>
  <phoneticPr fontId="1" type="noConversion"/>
  <pageMargins left="0.70866141732283472" right="0.70866141732283472" top="0.74803149606299213" bottom="0.74803149606299213" header="0.31496062992125984" footer="0.31496062992125984"/>
  <pageSetup paperSize="3" scale="90" fitToWidth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20FFB56-EA5E-49F7-B93D-38C56B11458E}">
          <x14:formula1>
            <xm:f>POSTE!$B$2:$B$11</xm:f>
          </x14:formula1>
          <xm:sqref>P1:AG1</xm:sqref>
        </x14:dataValidation>
        <x14:dataValidation type="list" allowBlank="1" showInputMessage="1" showErrorMessage="1" xr:uid="{B6BFF550-E745-41C9-90B2-C44FB770FDE8}">
          <x14:formula1>
            <xm:f>POSTE!$B$2:$B$12</xm:f>
          </x14:formula1>
          <xm:sqref>AH1</xm:sqref>
        </x14:dataValidation>
        <x14:dataValidation type="list" allowBlank="1" showInputMessage="1" showErrorMessage="1" xr:uid="{A65C590D-54C8-4306-99B6-AAF88FB45C81}">
          <x14:formula1>
            <xm:f>LISTE!$D$2:$D$3</xm:f>
          </x14:formula1>
          <xm:sqref>O4:O109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CEDE1-69D8-4A2E-8764-A71D1A123D75}">
  <dimension ref="B1:D3"/>
  <sheetViews>
    <sheetView workbookViewId="0">
      <selection activeCell="D11" sqref="D11"/>
    </sheetView>
  </sheetViews>
  <sheetFormatPr defaultColWidth="11.42578125" defaultRowHeight="15" x14ac:dyDescent="0.25"/>
  <cols>
    <col min="4" max="4" width="14.28515625" bestFit="1" customWidth="1"/>
  </cols>
  <sheetData>
    <row r="1" spans="2:4" ht="15.75" thickBot="1" x14ac:dyDescent="0.3">
      <c r="B1" t="s">
        <v>197</v>
      </c>
      <c r="D1" s="27" t="s">
        <v>198</v>
      </c>
    </row>
    <row r="2" spans="2:4" x14ac:dyDescent="0.25">
      <c r="D2" s="98" t="s">
        <v>2</v>
      </c>
    </row>
    <row r="3" spans="2:4" x14ac:dyDescent="0.25">
      <c r="D3" s="98" t="s">
        <v>125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97981-051B-4B01-BE9B-33377B1E3A7E}">
  <sheetPr>
    <tabColor theme="8" tint="0.59999389629810485"/>
    <pageSetUpPr fitToPage="1"/>
  </sheetPr>
  <dimension ref="B1:AD43"/>
  <sheetViews>
    <sheetView view="pageBreakPreview" zoomScale="85" zoomScaleNormal="85" zoomScaleSheetLayoutView="85" workbookViewId="0">
      <pane xSplit="7" ySplit="11" topLeftCell="I12" activePane="bottomRight" state="frozen"/>
      <selection pane="topRight" activeCell="H1" sqref="H1"/>
      <selection pane="bottomLeft" activeCell="A12" sqref="A12"/>
      <selection pane="bottomRight" activeCell="J37" sqref="J37"/>
    </sheetView>
  </sheetViews>
  <sheetFormatPr defaultColWidth="11.42578125" defaultRowHeight="15" outlineLevelCol="1" x14ac:dyDescent="0.25"/>
  <cols>
    <col min="1" max="1" width="2" style="1" customWidth="1"/>
    <col min="2" max="2" width="5.85546875" style="1" customWidth="1"/>
    <col min="3" max="3" width="8.5703125" style="1" customWidth="1"/>
    <col min="4" max="4" width="20.5703125" style="1" customWidth="1"/>
    <col min="5" max="5" width="13" style="1" customWidth="1"/>
    <col min="6" max="6" width="16.5703125" style="1" bestFit="1" customWidth="1"/>
    <col min="7" max="7" width="18.85546875" style="1" bestFit="1" customWidth="1"/>
    <col min="8" max="8" width="16.28515625" style="1" customWidth="1"/>
    <col min="9" max="9" width="12.28515625" style="1" customWidth="1"/>
    <col min="10" max="11" width="12.5703125" style="1" customWidth="1"/>
    <col min="12" max="12" width="16.140625" style="1" customWidth="1"/>
    <col min="13" max="16" width="12.5703125" style="1" customWidth="1"/>
    <col min="17" max="17" width="14.7109375" style="1" customWidth="1"/>
    <col min="18" max="18" width="17.5703125" style="1" customWidth="1"/>
    <col min="19" max="19" width="18.5703125" style="1" customWidth="1"/>
    <col min="20" max="21" width="19.140625" style="1" bestFit="1" customWidth="1" outlineLevel="1"/>
    <col min="22" max="25" width="11.42578125" style="1" hidden="1" customWidth="1" outlineLevel="1"/>
    <col min="26" max="27" width="11.42578125" style="1" hidden="1" customWidth="1"/>
    <col min="28" max="16384" width="11.42578125" style="1"/>
  </cols>
  <sheetData>
    <row r="1" spans="2:30" ht="15" customHeight="1" x14ac:dyDescent="0.25">
      <c r="B1" s="178" t="s">
        <v>60</v>
      </c>
      <c r="C1" s="178"/>
      <c r="D1" s="181" t="s">
        <v>152</v>
      </c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</row>
    <row r="2" spans="2:30" x14ac:dyDescent="0.25">
      <c r="B2" s="179"/>
      <c r="C2" s="179"/>
      <c r="D2" s="181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</row>
    <row r="3" spans="2:30" x14ac:dyDescent="0.25">
      <c r="B3" s="179"/>
      <c r="C3" s="179"/>
      <c r="D3" s="181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</row>
    <row r="4" spans="2:30" x14ac:dyDescent="0.25">
      <c r="B4" s="179"/>
      <c r="C4" s="179"/>
      <c r="D4" s="181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</row>
    <row r="5" spans="2:30" ht="15.75" thickBot="1" x14ac:dyDescent="0.3">
      <c r="B5" s="180"/>
      <c r="C5" s="180"/>
      <c r="D5" s="183">
        <f ca="1">NOW()</f>
        <v>45754.872581249998</v>
      </c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4"/>
      <c r="T5" s="184"/>
      <c r="U5" s="184"/>
    </row>
    <row r="6" spans="2:30" x14ac:dyDescent="0.25">
      <c r="G6" s="1" t="s">
        <v>155</v>
      </c>
      <c r="H6" s="1">
        <f>SUMIF(DATA!O22:O97,"OUI",DATA!P22:P97)</f>
        <v>0</v>
      </c>
      <c r="I6" s="1">
        <f>SUMIF(DATA!O22:O97,"OUI",DATA!R22:R97)</f>
        <v>0</v>
      </c>
      <c r="J6" s="148">
        <f>SUMIF(DATA!O22:O97,"OUI",DATA!T22:T97)</f>
        <v>0</v>
      </c>
      <c r="K6" s="1">
        <f>SUMIF(DATA!O22:O97,"OUI",DATA!V22:V97)</f>
        <v>0</v>
      </c>
      <c r="M6" s="1">
        <f>SUMIF(DATA!O22:O97,"OUI",DATA!X22:X97)</f>
        <v>0</v>
      </c>
      <c r="N6" s="1">
        <f>SUMIF(DATA!O22:O97,"OUI",DATA!Z22:Z97)</f>
        <v>0</v>
      </c>
      <c r="O6" s="1">
        <f>SUMIF(DATA!O22:O97,"OUI",DATA!AB22:AB97)</f>
        <v>0</v>
      </c>
      <c r="P6" s="1">
        <f>SUMIF(DATA!O22:O97,"OUI",DATA!AD22:AD97)</f>
        <v>0</v>
      </c>
      <c r="Q6" s="1">
        <f>SUMIF(DATA!O22:O97,"OUI",DATA!AF22:AF97)</f>
        <v>0</v>
      </c>
    </row>
    <row r="7" spans="2:30" x14ac:dyDescent="0.25">
      <c r="E7" s="146" t="s">
        <v>166</v>
      </c>
      <c r="F7" s="146" t="s">
        <v>167</v>
      </c>
      <c r="G7" s="1" t="s">
        <v>156</v>
      </c>
      <c r="H7" s="148">
        <f>SUMIF(DATA!O22:O97,"OUI",DATA!Q22:Q97)</f>
        <v>0</v>
      </c>
      <c r="I7" s="148">
        <f>SUMIF(DATA!O22:O97,"OUI",DATA!S22:S97)</f>
        <v>0</v>
      </c>
      <c r="J7" s="148">
        <f>SUMIF(DATA!O22:O97,"OUI",DATA!U22:U97)</f>
        <v>0</v>
      </c>
      <c r="K7" s="148">
        <f>SUMIF(DATA!O22:O97,"OUI",DATA!W22:W97)</f>
        <v>0</v>
      </c>
      <c r="M7" s="148">
        <f>SUMIF(DATA!O22:O97,"OUI",DATA!Y22:Y97)</f>
        <v>0</v>
      </c>
      <c r="N7" s="148">
        <f>SUMIF(DATA!O22:O97,"OUI",DATA!AA22:AA97)</f>
        <v>0</v>
      </c>
      <c r="O7" s="148">
        <f>SUMIF(DATA!O22:O97,"OUI",DATA!AC22:AC97)</f>
        <v>0</v>
      </c>
      <c r="P7" s="148">
        <f>SUMIF(DATA!O22:O97,"OUI",DATA!AE22:AE97)</f>
        <v>0</v>
      </c>
      <c r="Q7" s="150">
        <f>SUMIF(DATA!O22:O97,"OUI",DATA!AG22:AG97)</f>
        <v>0</v>
      </c>
      <c r="R7" s="149" t="s">
        <v>154</v>
      </c>
      <c r="T7" s="1" t="s">
        <v>169</v>
      </c>
      <c r="U7" s="1">
        <v>48</v>
      </c>
    </row>
    <row r="8" spans="2:30" ht="18.75" x14ac:dyDescent="0.3">
      <c r="B8" s="3" t="s">
        <v>24</v>
      </c>
      <c r="C8" s="1" t="s">
        <v>2</v>
      </c>
      <c r="E8" s="157">
        <f>SUM(E12:E33)</f>
        <v>5946</v>
      </c>
      <c r="F8" s="157">
        <f>SUM(F12:F33)</f>
        <v>2999236</v>
      </c>
      <c r="G8" s="146" t="s">
        <v>148</v>
      </c>
      <c r="H8" s="146">
        <f>POSTE!F2</f>
        <v>2</v>
      </c>
      <c r="I8" s="153">
        <f>POSTE!F3</f>
        <v>1.5</v>
      </c>
      <c r="J8" s="153">
        <f>POSTE!F4</f>
        <v>2</v>
      </c>
      <c r="K8" s="153">
        <f>POSTE!F5</f>
        <v>2</v>
      </c>
      <c r="L8" s="146"/>
      <c r="M8" s="146">
        <f>POSTE!F7</f>
        <v>1</v>
      </c>
      <c r="N8" s="146">
        <f>POSTE!F8</f>
        <v>2</v>
      </c>
      <c r="O8" s="153">
        <f>POSTE!F9</f>
        <v>1</v>
      </c>
      <c r="P8" s="146">
        <f>POSTE!F10</f>
        <v>1</v>
      </c>
      <c r="Q8" s="146">
        <f>POSTE!F11</f>
        <v>6</v>
      </c>
      <c r="T8" s="154" t="s">
        <v>168</v>
      </c>
      <c r="U8" s="156">
        <f>(H8*H9+I8*I9+J8*J9+K8*K9+M8*M9+N8*N9+O8*O9)*40*U7</f>
        <v>8624640</v>
      </c>
      <c r="AB8" s="155" t="s">
        <v>156</v>
      </c>
    </row>
    <row r="9" spans="2:30" x14ac:dyDescent="0.25">
      <c r="G9" s="146" t="s">
        <v>100</v>
      </c>
      <c r="H9" s="146">
        <f>POSTE!E2</f>
        <v>500</v>
      </c>
      <c r="I9" s="146">
        <f>POSTE!E3</f>
        <v>600</v>
      </c>
      <c r="J9" s="146">
        <f>POSTE!E4</f>
        <v>400</v>
      </c>
      <c r="K9" s="146">
        <f>POSTE!E5</f>
        <v>300</v>
      </c>
      <c r="L9" s="146"/>
      <c r="M9" s="146">
        <f>POSTE!E7</f>
        <v>200</v>
      </c>
      <c r="N9" s="146">
        <f>POSTE!E8</f>
        <v>121</v>
      </c>
      <c r="O9" s="146">
        <f>POSTE!E9</f>
        <v>750</v>
      </c>
      <c r="P9" s="146">
        <f>POSTE!E10</f>
        <v>250</v>
      </c>
      <c r="Q9" s="146">
        <f>POSTE!E11</f>
        <v>1</v>
      </c>
    </row>
    <row r="10" spans="2:30" x14ac:dyDescent="0.25">
      <c r="AC10" s="1" t="s">
        <v>159</v>
      </c>
      <c r="AD10" s="1" t="s">
        <v>161</v>
      </c>
    </row>
    <row r="11" spans="2:30" x14ac:dyDescent="0.25">
      <c r="B11" s="3" t="s">
        <v>153</v>
      </c>
      <c r="C11" s="3" t="s">
        <v>107</v>
      </c>
      <c r="D11" s="3" t="s">
        <v>108</v>
      </c>
      <c r="E11" s="3" t="s">
        <v>110</v>
      </c>
      <c r="F11" s="3" t="s">
        <v>111</v>
      </c>
      <c r="G11" s="3" t="s">
        <v>164</v>
      </c>
      <c r="H11" s="3" t="s">
        <v>150</v>
      </c>
      <c r="I11" s="3" t="s">
        <v>113</v>
      </c>
      <c r="J11" s="3" t="s">
        <v>114</v>
      </c>
      <c r="K11" s="3" t="s">
        <v>115</v>
      </c>
      <c r="L11" s="3" t="s">
        <v>116</v>
      </c>
      <c r="M11" s="3" t="s">
        <v>163</v>
      </c>
      <c r="N11" s="3" t="s">
        <v>117</v>
      </c>
      <c r="O11" s="3" t="s">
        <v>118</v>
      </c>
      <c r="P11" s="3" t="s">
        <v>119</v>
      </c>
      <c r="Q11" s="3" t="s">
        <v>120</v>
      </c>
      <c r="R11" s="3" t="s">
        <v>121</v>
      </c>
      <c r="S11" s="3" t="s">
        <v>147</v>
      </c>
      <c r="T11" s="3" t="s">
        <v>126</v>
      </c>
      <c r="U11" s="3" t="s">
        <v>151</v>
      </c>
      <c r="AB11" s="1" t="s">
        <v>158</v>
      </c>
      <c r="AC11" s="1" t="s">
        <v>160</v>
      </c>
      <c r="AD11" s="1" t="s">
        <v>161</v>
      </c>
    </row>
    <row r="12" spans="2:30" x14ac:dyDescent="0.25">
      <c r="B12" s="1">
        <v>1</v>
      </c>
      <c r="C12" s="1" t="s">
        <v>7</v>
      </c>
      <c r="D12" s="1" t="s">
        <v>181</v>
      </c>
      <c r="E12" s="119">
        <v>5</v>
      </c>
      <c r="F12" s="119">
        <v>527</v>
      </c>
      <c r="G12" s="11">
        <v>45855</v>
      </c>
      <c r="H12" s="11" t="s">
        <v>34</v>
      </c>
      <c r="I12" s="11" t="s">
        <v>34</v>
      </c>
      <c r="J12" s="121" t="s">
        <v>34</v>
      </c>
      <c r="K12" s="121" t="s">
        <v>34</v>
      </c>
      <c r="L12" s="120" t="s">
        <v>34</v>
      </c>
      <c r="M12" s="1" t="s">
        <v>34</v>
      </c>
      <c r="N12" s="11">
        <v>45742</v>
      </c>
      <c r="O12" s="11" t="s">
        <v>34</v>
      </c>
      <c r="P12" s="11" t="s">
        <v>34</v>
      </c>
      <c r="Q12" s="11" t="s">
        <v>34</v>
      </c>
      <c r="R12" s="11">
        <v>45742</v>
      </c>
      <c r="S12" s="126">
        <v>45742</v>
      </c>
      <c r="T12" s="126">
        <v>45749</v>
      </c>
      <c r="U12" s="11">
        <v>45779</v>
      </c>
      <c r="AB12" s="1">
        <f>G12-U12</f>
        <v>76</v>
      </c>
      <c r="AC12" s="1" t="e">
        <f>U12-L12</f>
        <v>#VALUE!</v>
      </c>
    </row>
    <row r="13" spans="2:30" x14ac:dyDescent="0.25">
      <c r="B13" s="1">
        <v>2</v>
      </c>
      <c r="C13" s="1" t="s">
        <v>60</v>
      </c>
      <c r="D13" s="1" t="s">
        <v>177</v>
      </c>
      <c r="E13" s="119">
        <v>3</v>
      </c>
      <c r="F13" s="119">
        <v>120</v>
      </c>
      <c r="G13" s="11">
        <v>45843</v>
      </c>
      <c r="H13" s="11" t="s">
        <v>34</v>
      </c>
      <c r="I13" s="11" t="s">
        <v>34</v>
      </c>
      <c r="J13" s="121" t="s">
        <v>34</v>
      </c>
      <c r="K13" s="121" t="s">
        <v>34</v>
      </c>
      <c r="L13" s="120" t="s">
        <v>34</v>
      </c>
      <c r="M13" s="1" t="s">
        <v>34</v>
      </c>
      <c r="N13" s="11" t="s">
        <v>34</v>
      </c>
      <c r="O13" s="11" t="s">
        <v>34</v>
      </c>
      <c r="P13" s="11" t="s">
        <v>34</v>
      </c>
      <c r="Q13" s="11">
        <v>45744</v>
      </c>
      <c r="R13" s="11">
        <v>45744</v>
      </c>
      <c r="S13" s="1" t="s">
        <v>146</v>
      </c>
      <c r="T13" s="1" t="s">
        <v>146</v>
      </c>
      <c r="U13" s="11">
        <v>45775</v>
      </c>
      <c r="AB13" s="1">
        <f t="shared" ref="AB13:AB30" si="0">G13-U13</f>
        <v>68</v>
      </c>
      <c r="AC13" s="1" t="e">
        <f t="shared" ref="AC13:AC18" si="1">U13-L13</f>
        <v>#VALUE!</v>
      </c>
    </row>
    <row r="14" spans="2:30" x14ac:dyDescent="0.25">
      <c r="B14" s="1">
        <v>3</v>
      </c>
      <c r="C14" s="1" t="s">
        <v>7</v>
      </c>
      <c r="D14" s="1" t="s">
        <v>187</v>
      </c>
      <c r="E14" s="119">
        <v>60</v>
      </c>
      <c r="F14" s="119">
        <v>21341</v>
      </c>
      <c r="G14" s="11">
        <v>45898</v>
      </c>
      <c r="H14" s="11" t="s">
        <v>34</v>
      </c>
      <c r="I14" s="11">
        <v>45744</v>
      </c>
      <c r="J14" s="121">
        <v>45742</v>
      </c>
      <c r="K14" s="121" t="s">
        <v>34</v>
      </c>
      <c r="L14" s="120">
        <v>45742</v>
      </c>
      <c r="M14" s="126">
        <v>45742</v>
      </c>
      <c r="N14" s="11">
        <v>45742</v>
      </c>
      <c r="O14" s="11" t="s">
        <v>34</v>
      </c>
      <c r="P14" s="11" t="s">
        <v>34</v>
      </c>
      <c r="Q14" s="11">
        <v>45747</v>
      </c>
      <c r="R14" s="11">
        <v>45747</v>
      </c>
      <c r="S14" s="1" t="s">
        <v>146</v>
      </c>
      <c r="T14" s="1" t="s">
        <v>146</v>
      </c>
      <c r="U14" s="11">
        <v>45777</v>
      </c>
      <c r="AB14" s="1">
        <f t="shared" si="0"/>
        <v>121</v>
      </c>
      <c r="AC14" s="1">
        <f t="shared" si="1"/>
        <v>35</v>
      </c>
    </row>
    <row r="15" spans="2:30" x14ac:dyDescent="0.25">
      <c r="B15" s="1">
        <v>4</v>
      </c>
      <c r="C15" s="1" t="s">
        <v>7</v>
      </c>
      <c r="D15" s="1" t="s">
        <v>175</v>
      </c>
      <c r="E15" s="119">
        <v>65</v>
      </c>
      <c r="F15" s="119">
        <v>44465</v>
      </c>
      <c r="G15" s="11">
        <v>45898</v>
      </c>
      <c r="H15" s="11" t="s">
        <v>34</v>
      </c>
      <c r="I15" s="11">
        <v>45751</v>
      </c>
      <c r="J15" s="121">
        <v>45743</v>
      </c>
      <c r="K15" s="121">
        <v>45742</v>
      </c>
      <c r="L15" s="120">
        <v>45742</v>
      </c>
      <c r="M15" s="126">
        <v>45742</v>
      </c>
      <c r="N15" s="11">
        <v>45742</v>
      </c>
      <c r="O15" s="11" t="s">
        <v>34</v>
      </c>
      <c r="P15" s="11" t="s">
        <v>34</v>
      </c>
      <c r="Q15" s="11">
        <v>45750</v>
      </c>
      <c r="R15" s="11">
        <v>45751</v>
      </c>
      <c r="S15" s="1" t="s">
        <v>146</v>
      </c>
      <c r="T15" s="1" t="s">
        <v>146</v>
      </c>
      <c r="U15" s="11">
        <v>45781</v>
      </c>
      <c r="AB15" s="1">
        <f t="shared" si="0"/>
        <v>117</v>
      </c>
      <c r="AC15" s="1">
        <f t="shared" si="1"/>
        <v>39</v>
      </c>
    </row>
    <row r="16" spans="2:30" x14ac:dyDescent="0.25">
      <c r="B16" s="1">
        <v>5</v>
      </c>
      <c r="C16" s="1" t="s">
        <v>8</v>
      </c>
      <c r="D16" s="1" t="s">
        <v>182</v>
      </c>
      <c r="E16" s="119">
        <v>571</v>
      </c>
      <c r="F16" s="119">
        <v>75213</v>
      </c>
      <c r="G16" s="11">
        <v>45814</v>
      </c>
      <c r="H16" s="11" t="s">
        <v>34</v>
      </c>
      <c r="I16" s="11">
        <v>45757</v>
      </c>
      <c r="J16" s="121">
        <v>45749</v>
      </c>
      <c r="K16" s="121">
        <v>45742</v>
      </c>
      <c r="L16" s="120">
        <v>45747</v>
      </c>
      <c r="M16" s="126">
        <v>45755</v>
      </c>
      <c r="N16" s="11">
        <v>45744</v>
      </c>
      <c r="O16" s="11" t="s">
        <v>34</v>
      </c>
      <c r="P16" s="11" t="s">
        <v>34</v>
      </c>
      <c r="Q16" s="11">
        <v>45751</v>
      </c>
      <c r="R16" s="11">
        <v>45757</v>
      </c>
      <c r="S16" s="126">
        <v>45757</v>
      </c>
      <c r="T16" s="126">
        <v>45796</v>
      </c>
      <c r="U16" s="11">
        <v>45827</v>
      </c>
      <c r="AB16" s="1">
        <f t="shared" si="0"/>
        <v>-13</v>
      </c>
      <c r="AC16" s="1">
        <f t="shared" si="1"/>
        <v>80</v>
      </c>
    </row>
    <row r="17" spans="2:30" x14ac:dyDescent="0.25">
      <c r="B17" s="1">
        <v>6</v>
      </c>
      <c r="C17" s="1" t="s">
        <v>7</v>
      </c>
      <c r="D17" s="1" t="s">
        <v>188</v>
      </c>
      <c r="E17" s="119">
        <v>579</v>
      </c>
      <c r="F17" s="119">
        <v>121316</v>
      </c>
      <c r="G17" s="11">
        <v>45855</v>
      </c>
      <c r="H17" s="11">
        <v>45742</v>
      </c>
      <c r="I17" s="11">
        <v>45763</v>
      </c>
      <c r="J17" s="121">
        <v>45758</v>
      </c>
      <c r="K17" s="121">
        <v>45748</v>
      </c>
      <c r="L17" s="120">
        <v>45754</v>
      </c>
      <c r="M17" s="126">
        <v>45757</v>
      </c>
      <c r="N17" s="11">
        <v>45754</v>
      </c>
      <c r="O17" s="11" t="s">
        <v>34</v>
      </c>
      <c r="P17" s="11">
        <v>45750</v>
      </c>
      <c r="Q17" s="11">
        <v>45758</v>
      </c>
      <c r="R17" s="11">
        <v>45763</v>
      </c>
      <c r="S17" s="1" t="s">
        <v>146</v>
      </c>
      <c r="T17" s="1" t="s">
        <v>146</v>
      </c>
      <c r="U17" s="11">
        <v>45793</v>
      </c>
      <c r="AB17" s="1">
        <f t="shared" si="0"/>
        <v>62</v>
      </c>
      <c r="AC17" s="1">
        <f t="shared" si="1"/>
        <v>39</v>
      </c>
    </row>
    <row r="18" spans="2:30" x14ac:dyDescent="0.25">
      <c r="B18" s="1">
        <v>7</v>
      </c>
      <c r="C18" s="1" t="s">
        <v>7</v>
      </c>
      <c r="D18" s="1" t="s">
        <v>165</v>
      </c>
      <c r="E18" s="119">
        <v>14</v>
      </c>
      <c r="F18" s="119">
        <v>51014</v>
      </c>
      <c r="G18" s="11">
        <v>45782</v>
      </c>
      <c r="H18" s="11">
        <v>45749</v>
      </c>
      <c r="I18" s="11">
        <v>45764</v>
      </c>
      <c r="J18" s="121" t="s">
        <v>34</v>
      </c>
      <c r="K18" s="121" t="s">
        <v>34</v>
      </c>
      <c r="L18" s="120" t="s">
        <v>34</v>
      </c>
      <c r="M18" s="1" t="s">
        <v>34</v>
      </c>
      <c r="N18" s="11" t="s">
        <v>34</v>
      </c>
      <c r="O18" s="11" t="s">
        <v>34</v>
      </c>
      <c r="P18" s="11" t="s">
        <v>34</v>
      </c>
      <c r="Q18" s="11">
        <v>45770</v>
      </c>
      <c r="R18" s="11">
        <v>45770</v>
      </c>
      <c r="S18" s="1" t="s">
        <v>146</v>
      </c>
      <c r="T18" s="1" t="s">
        <v>146</v>
      </c>
      <c r="U18" s="11">
        <v>45800</v>
      </c>
      <c r="AB18" s="1">
        <f t="shared" si="0"/>
        <v>-18</v>
      </c>
      <c r="AC18" s="1" t="e">
        <f t="shared" si="1"/>
        <v>#VALUE!</v>
      </c>
    </row>
    <row r="19" spans="2:30" x14ac:dyDescent="0.25">
      <c r="B19" s="1">
        <v>8</v>
      </c>
      <c r="C19" s="1" t="s">
        <v>157</v>
      </c>
      <c r="D19" s="1" t="s">
        <v>183</v>
      </c>
      <c r="E19" s="119">
        <v>601</v>
      </c>
      <c r="F19" s="119">
        <v>38349</v>
      </c>
      <c r="G19" s="11">
        <v>45777</v>
      </c>
      <c r="H19" s="11">
        <v>45749</v>
      </c>
      <c r="I19" s="11">
        <v>45764</v>
      </c>
      <c r="J19" s="121">
        <v>45764</v>
      </c>
      <c r="K19" s="121">
        <v>45750</v>
      </c>
      <c r="L19" s="120">
        <v>45757</v>
      </c>
      <c r="M19" s="126">
        <v>45757</v>
      </c>
      <c r="N19" s="11">
        <v>45755</v>
      </c>
      <c r="O19" s="11" t="s">
        <v>34</v>
      </c>
      <c r="P19" s="11">
        <v>45750</v>
      </c>
      <c r="Q19" s="11">
        <v>45770</v>
      </c>
      <c r="R19" s="11">
        <v>45770</v>
      </c>
      <c r="S19" s="126">
        <v>45796</v>
      </c>
      <c r="T19" s="126">
        <v>45819</v>
      </c>
      <c r="U19" s="11">
        <v>45849</v>
      </c>
      <c r="AB19" s="1">
        <f t="shared" si="0"/>
        <v>-72</v>
      </c>
      <c r="AC19" s="1">
        <f t="shared" ref="AC19:AC23" si="2">U19-L19</f>
        <v>92</v>
      </c>
    </row>
    <row r="20" spans="2:30" x14ac:dyDescent="0.25">
      <c r="B20" s="1">
        <v>9</v>
      </c>
      <c r="C20" s="1" t="s">
        <v>157</v>
      </c>
      <c r="D20" s="1" t="s">
        <v>184</v>
      </c>
      <c r="E20" s="119">
        <v>725</v>
      </c>
      <c r="F20" s="119">
        <v>40229</v>
      </c>
      <c r="G20" s="11">
        <v>45777</v>
      </c>
      <c r="H20" s="11">
        <v>45750</v>
      </c>
      <c r="I20" s="11">
        <v>45768</v>
      </c>
      <c r="J20" s="121">
        <v>45769</v>
      </c>
      <c r="K20" s="121">
        <v>45750</v>
      </c>
      <c r="L20" s="120">
        <v>45761</v>
      </c>
      <c r="M20" s="126">
        <v>45758</v>
      </c>
      <c r="N20" s="11">
        <v>45756</v>
      </c>
      <c r="O20" s="11" t="s">
        <v>34</v>
      </c>
      <c r="P20" s="11">
        <v>45750</v>
      </c>
      <c r="Q20" s="11">
        <v>45771</v>
      </c>
      <c r="R20" s="11">
        <v>45771</v>
      </c>
      <c r="S20" s="126">
        <v>45819</v>
      </c>
      <c r="T20" s="126">
        <v>45845</v>
      </c>
      <c r="U20" s="11">
        <v>45876</v>
      </c>
      <c r="AB20" s="1">
        <f t="shared" si="0"/>
        <v>-99</v>
      </c>
      <c r="AC20" s="1">
        <f t="shared" si="2"/>
        <v>115</v>
      </c>
    </row>
    <row r="21" spans="2:30" x14ac:dyDescent="0.25">
      <c r="B21" s="1">
        <v>10</v>
      </c>
      <c r="C21" s="1" t="s">
        <v>157</v>
      </c>
      <c r="D21" s="1" t="s">
        <v>185</v>
      </c>
      <c r="E21" s="119">
        <v>315</v>
      </c>
      <c r="F21" s="119">
        <v>76020</v>
      </c>
      <c r="G21" s="11">
        <v>45777</v>
      </c>
      <c r="H21" s="11">
        <v>45750</v>
      </c>
      <c r="I21" s="11">
        <v>45771</v>
      </c>
      <c r="J21" s="121">
        <v>45778</v>
      </c>
      <c r="K21" s="121">
        <v>45751</v>
      </c>
      <c r="L21" s="120">
        <v>45764</v>
      </c>
      <c r="M21" s="126">
        <v>45762</v>
      </c>
      <c r="N21" s="11">
        <v>45758</v>
      </c>
      <c r="O21" s="11" t="s">
        <v>34</v>
      </c>
      <c r="P21" s="11" t="s">
        <v>34</v>
      </c>
      <c r="Q21" s="11">
        <v>45771</v>
      </c>
      <c r="R21" s="11">
        <v>45771</v>
      </c>
      <c r="S21" s="126">
        <v>45845</v>
      </c>
      <c r="T21" s="126">
        <v>45880</v>
      </c>
      <c r="U21" s="11">
        <v>45911</v>
      </c>
      <c r="AB21" s="1">
        <f t="shared" si="0"/>
        <v>-134</v>
      </c>
      <c r="AC21" s="1">
        <f t="shared" si="2"/>
        <v>147</v>
      </c>
    </row>
    <row r="22" spans="2:30" x14ac:dyDescent="0.25">
      <c r="B22" s="1">
        <v>11</v>
      </c>
      <c r="C22" s="1" t="s">
        <v>7</v>
      </c>
      <c r="D22" s="1" t="s">
        <v>179</v>
      </c>
      <c r="E22" s="119">
        <v>12</v>
      </c>
      <c r="F22" s="119">
        <v>5390</v>
      </c>
      <c r="G22" s="11">
        <v>45793</v>
      </c>
      <c r="H22" s="11" t="s">
        <v>34</v>
      </c>
      <c r="I22" s="11">
        <v>45771</v>
      </c>
      <c r="J22" s="121">
        <v>45778</v>
      </c>
      <c r="K22" s="121" t="s">
        <v>34</v>
      </c>
      <c r="L22" s="120">
        <v>45764</v>
      </c>
      <c r="M22" s="126">
        <v>45764</v>
      </c>
      <c r="N22" s="11" t="s">
        <v>34</v>
      </c>
      <c r="O22" s="11" t="s">
        <v>34</v>
      </c>
      <c r="P22" s="11">
        <v>45750</v>
      </c>
      <c r="Q22" s="11">
        <v>45771</v>
      </c>
      <c r="R22" s="11">
        <v>45771</v>
      </c>
      <c r="S22" s="1" t="s">
        <v>146</v>
      </c>
      <c r="T22" s="1" t="s">
        <v>146</v>
      </c>
      <c r="U22" s="11">
        <v>45801</v>
      </c>
      <c r="AB22" s="1">
        <f t="shared" si="0"/>
        <v>-8</v>
      </c>
      <c r="AC22" s="1">
        <f t="shared" si="2"/>
        <v>37</v>
      </c>
    </row>
    <row r="23" spans="2:30" x14ac:dyDescent="0.25">
      <c r="B23" s="1">
        <v>12</v>
      </c>
      <c r="C23" s="1" t="s">
        <v>8</v>
      </c>
      <c r="D23" s="1" t="s">
        <v>176</v>
      </c>
      <c r="E23" s="119">
        <v>113</v>
      </c>
      <c r="F23" s="119">
        <v>95779</v>
      </c>
      <c r="G23" s="11">
        <v>45814</v>
      </c>
      <c r="H23" s="11" t="s">
        <v>34</v>
      </c>
      <c r="I23" s="11">
        <v>45784</v>
      </c>
      <c r="J23" s="121">
        <v>45783</v>
      </c>
      <c r="K23" s="121">
        <v>45751</v>
      </c>
      <c r="L23" s="120">
        <v>45768</v>
      </c>
      <c r="M23" s="126">
        <v>45776</v>
      </c>
      <c r="N23" s="11">
        <v>45761</v>
      </c>
      <c r="O23" s="11" t="s">
        <v>34</v>
      </c>
      <c r="P23" s="11">
        <v>45751</v>
      </c>
      <c r="Q23" s="11">
        <v>45785</v>
      </c>
      <c r="R23" s="11">
        <v>45785</v>
      </c>
      <c r="S23" s="1" t="s">
        <v>146</v>
      </c>
      <c r="T23" s="1" t="s">
        <v>146</v>
      </c>
      <c r="U23" s="11">
        <v>45816</v>
      </c>
      <c r="AB23" s="1">
        <f t="shared" si="0"/>
        <v>-2</v>
      </c>
      <c r="AC23" s="1">
        <f t="shared" si="2"/>
        <v>48</v>
      </c>
    </row>
    <row r="24" spans="2:30" x14ac:dyDescent="0.25">
      <c r="B24" s="1">
        <v>13</v>
      </c>
      <c r="C24" s="1" t="s">
        <v>7</v>
      </c>
      <c r="D24" s="1" t="s">
        <v>173</v>
      </c>
      <c r="E24" s="119">
        <v>83</v>
      </c>
      <c r="F24" s="119">
        <v>747999</v>
      </c>
      <c r="G24" s="11">
        <v>45855</v>
      </c>
      <c r="H24" s="11">
        <v>45814</v>
      </c>
      <c r="I24" s="11">
        <v>45785</v>
      </c>
      <c r="J24" s="121">
        <v>45784</v>
      </c>
      <c r="K24" s="121">
        <v>45751</v>
      </c>
      <c r="L24" s="120">
        <v>45769</v>
      </c>
      <c r="M24" s="126">
        <v>45776</v>
      </c>
      <c r="N24" s="11">
        <v>45761</v>
      </c>
      <c r="O24" s="11">
        <v>45825</v>
      </c>
      <c r="P24" s="11" t="s">
        <v>34</v>
      </c>
      <c r="Q24" s="11">
        <v>45821</v>
      </c>
      <c r="R24" s="11">
        <v>45825</v>
      </c>
      <c r="S24" s="1" t="s">
        <v>146</v>
      </c>
      <c r="T24" s="1" t="s">
        <v>146</v>
      </c>
      <c r="U24" s="11">
        <v>45855</v>
      </c>
      <c r="AB24" s="1">
        <f t="shared" si="0"/>
        <v>0</v>
      </c>
      <c r="AC24" s="1">
        <f t="shared" ref="AC24:AC26" si="3">U24-L24</f>
        <v>86</v>
      </c>
    </row>
    <row r="25" spans="2:30" x14ac:dyDescent="0.25">
      <c r="B25" s="1">
        <v>14</v>
      </c>
      <c r="C25" s="1" t="s">
        <v>7</v>
      </c>
      <c r="D25" s="1" t="s">
        <v>174</v>
      </c>
      <c r="E25" s="119">
        <v>316</v>
      </c>
      <c r="F25" s="119">
        <v>501360</v>
      </c>
      <c r="G25" s="11">
        <v>45855</v>
      </c>
      <c r="H25" s="11">
        <v>45817</v>
      </c>
      <c r="I25" s="11" t="s">
        <v>34</v>
      </c>
      <c r="J25" s="121">
        <v>45841</v>
      </c>
      <c r="K25" s="121">
        <v>45796</v>
      </c>
      <c r="L25" s="120">
        <v>45818</v>
      </c>
      <c r="M25" s="126">
        <v>45796</v>
      </c>
      <c r="N25" s="11">
        <v>45811</v>
      </c>
      <c r="O25" s="11" t="s">
        <v>34</v>
      </c>
      <c r="P25" s="11" t="s">
        <v>34</v>
      </c>
      <c r="Q25" s="11">
        <v>45842</v>
      </c>
      <c r="R25" s="11">
        <v>45842</v>
      </c>
      <c r="S25" s="1" t="s">
        <v>146</v>
      </c>
      <c r="T25" s="1" t="s">
        <v>146</v>
      </c>
      <c r="U25" s="11">
        <v>45873</v>
      </c>
      <c r="AB25" s="1">
        <f t="shared" si="0"/>
        <v>-18</v>
      </c>
      <c r="AC25" s="1">
        <f t="shared" si="3"/>
        <v>55</v>
      </c>
      <c r="AD25" s="1" t="e">
        <f>S25-R25</f>
        <v>#VALUE!</v>
      </c>
    </row>
    <row r="26" spans="2:30" x14ac:dyDescent="0.25">
      <c r="B26" s="1">
        <v>15</v>
      </c>
      <c r="C26" s="1" t="s">
        <v>8</v>
      </c>
      <c r="D26" s="1" t="s">
        <v>178</v>
      </c>
      <c r="E26" s="119">
        <v>269</v>
      </c>
      <c r="F26" s="119">
        <v>258599</v>
      </c>
      <c r="G26" s="11">
        <v>45870</v>
      </c>
      <c r="H26" s="11" t="s">
        <v>34</v>
      </c>
      <c r="I26" s="11">
        <v>45805</v>
      </c>
      <c r="J26" s="121">
        <v>45883</v>
      </c>
      <c r="K26" s="121">
        <v>45810</v>
      </c>
      <c r="L26" s="120">
        <v>45835</v>
      </c>
      <c r="M26" s="126">
        <v>45798</v>
      </c>
      <c r="N26" s="11">
        <v>45819</v>
      </c>
      <c r="O26" s="11" t="s">
        <v>34</v>
      </c>
      <c r="P26" s="11" t="s">
        <v>34</v>
      </c>
      <c r="Q26" s="11">
        <v>45845</v>
      </c>
      <c r="R26" s="11">
        <v>45845</v>
      </c>
      <c r="S26" s="1" t="s">
        <v>146</v>
      </c>
      <c r="T26" s="1" t="s">
        <v>146</v>
      </c>
      <c r="U26" s="11">
        <v>45876</v>
      </c>
      <c r="AB26" s="1">
        <f t="shared" si="0"/>
        <v>-6</v>
      </c>
      <c r="AC26" s="1">
        <f t="shared" si="3"/>
        <v>41</v>
      </c>
      <c r="AD26" s="1" t="e">
        <f t="shared" ref="AD26" si="4">S26-R26</f>
        <v>#VALUE!</v>
      </c>
    </row>
    <row r="27" spans="2:30" x14ac:dyDescent="0.25">
      <c r="B27" s="1">
        <v>16</v>
      </c>
      <c r="C27" s="1" t="s">
        <v>7</v>
      </c>
      <c r="D27" s="1" t="s">
        <v>180</v>
      </c>
      <c r="E27" s="119">
        <v>90</v>
      </c>
      <c r="F27" s="119">
        <v>190568</v>
      </c>
      <c r="G27" s="11">
        <v>45884</v>
      </c>
      <c r="H27" s="11">
        <v>45831</v>
      </c>
      <c r="I27" s="11">
        <v>45806</v>
      </c>
      <c r="J27" s="121">
        <v>45884</v>
      </c>
      <c r="K27" s="121" t="s">
        <v>34</v>
      </c>
      <c r="L27" s="120">
        <v>45835</v>
      </c>
      <c r="M27" s="126">
        <v>45800</v>
      </c>
      <c r="N27" s="11">
        <v>45820</v>
      </c>
      <c r="O27" s="11">
        <v>45848</v>
      </c>
      <c r="P27" s="11">
        <v>45751</v>
      </c>
      <c r="Q27" s="11">
        <v>45880</v>
      </c>
      <c r="R27" s="11">
        <v>45880</v>
      </c>
      <c r="S27" s="1" t="s">
        <v>146</v>
      </c>
      <c r="T27" s="1" t="s">
        <v>146</v>
      </c>
      <c r="U27" s="11">
        <v>45911</v>
      </c>
      <c r="AB27" s="1">
        <f t="shared" si="0"/>
        <v>-27</v>
      </c>
    </row>
    <row r="28" spans="2:30" x14ac:dyDescent="0.25">
      <c r="B28" s="1">
        <v>17</v>
      </c>
      <c r="C28" s="1" t="s">
        <v>7</v>
      </c>
      <c r="D28" s="1" t="s">
        <v>180</v>
      </c>
      <c r="E28" s="119">
        <v>959</v>
      </c>
      <c r="F28" s="119">
        <v>247306</v>
      </c>
      <c r="G28" s="11">
        <v>45884</v>
      </c>
      <c r="H28" s="11">
        <v>45831</v>
      </c>
      <c r="I28" s="11">
        <v>45814</v>
      </c>
      <c r="J28" s="121">
        <v>45916</v>
      </c>
      <c r="K28" s="121">
        <v>45824</v>
      </c>
      <c r="L28" s="120">
        <v>45881</v>
      </c>
      <c r="M28" s="126">
        <v>45804</v>
      </c>
      <c r="N28" s="11">
        <v>45835</v>
      </c>
      <c r="O28" s="11" t="s">
        <v>34</v>
      </c>
      <c r="P28" s="11">
        <v>45751</v>
      </c>
      <c r="Q28" s="11">
        <v>45883</v>
      </c>
      <c r="R28" s="11">
        <v>45883</v>
      </c>
      <c r="S28" s="1" t="s">
        <v>146</v>
      </c>
      <c r="T28" s="1" t="s">
        <v>146</v>
      </c>
      <c r="U28" s="11">
        <v>45914</v>
      </c>
      <c r="AB28" s="1">
        <f t="shared" si="0"/>
        <v>-30</v>
      </c>
    </row>
    <row r="29" spans="2:30" x14ac:dyDescent="0.25">
      <c r="B29" s="1">
        <v>19</v>
      </c>
      <c r="C29" s="1" t="s">
        <v>7</v>
      </c>
      <c r="D29" s="1" t="s">
        <v>186</v>
      </c>
      <c r="E29" s="119">
        <v>61</v>
      </c>
      <c r="F29" s="119">
        <v>159115</v>
      </c>
      <c r="G29" s="11">
        <v>46086</v>
      </c>
      <c r="H29" s="11">
        <v>45841</v>
      </c>
      <c r="I29" s="11">
        <v>45819</v>
      </c>
      <c r="J29" s="121">
        <v>45918</v>
      </c>
      <c r="K29" s="121">
        <v>45824</v>
      </c>
      <c r="L29" s="120">
        <v>45882</v>
      </c>
      <c r="M29" s="126">
        <v>45804</v>
      </c>
      <c r="N29" s="11">
        <v>45835</v>
      </c>
      <c r="O29" s="11">
        <v>45889</v>
      </c>
      <c r="P29" s="11" t="s">
        <v>34</v>
      </c>
      <c r="Q29" s="11">
        <v>45887</v>
      </c>
      <c r="R29" s="11">
        <v>45889</v>
      </c>
      <c r="S29" s="1" t="s">
        <v>146</v>
      </c>
      <c r="T29" s="1" t="s">
        <v>146</v>
      </c>
      <c r="U29" s="11">
        <v>45920</v>
      </c>
      <c r="AB29" s="1">
        <f t="shared" si="0"/>
        <v>166</v>
      </c>
    </row>
    <row r="30" spans="2:30" x14ac:dyDescent="0.25">
      <c r="B30" s="1">
        <v>20</v>
      </c>
      <c r="C30" s="1" t="s">
        <v>7</v>
      </c>
      <c r="D30" s="1" t="s">
        <v>186</v>
      </c>
      <c r="E30" s="119">
        <v>1105</v>
      </c>
      <c r="F30" s="119">
        <v>324526</v>
      </c>
      <c r="G30" s="11">
        <v>46086</v>
      </c>
      <c r="H30" s="11">
        <v>45841</v>
      </c>
      <c r="I30" s="11">
        <v>45831</v>
      </c>
      <c r="J30" s="121">
        <v>45959</v>
      </c>
      <c r="K30" s="121">
        <v>45842</v>
      </c>
      <c r="L30" s="120">
        <v>45911</v>
      </c>
      <c r="M30" s="126">
        <v>45810</v>
      </c>
      <c r="N30" s="11">
        <v>45847</v>
      </c>
      <c r="O30" s="11">
        <v>45890</v>
      </c>
      <c r="P30" s="11">
        <v>45751</v>
      </c>
      <c r="Q30" s="11">
        <v>45940</v>
      </c>
      <c r="R30" s="11">
        <v>45940</v>
      </c>
      <c r="S30" s="1" t="s">
        <v>146</v>
      </c>
      <c r="T30" s="1" t="s">
        <v>146</v>
      </c>
      <c r="U30" s="11">
        <v>45971</v>
      </c>
      <c r="AB30" s="1">
        <f t="shared" si="0"/>
        <v>115</v>
      </c>
    </row>
    <row r="31" spans="2:30" x14ac:dyDescent="0.25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2:30" x14ac:dyDescent="0.25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2:26" x14ac:dyDescent="0.25">
      <c r="E33" s="119"/>
      <c r="F33" s="119"/>
      <c r="G33" s="11"/>
      <c r="H33" s="11"/>
      <c r="I33" s="11"/>
      <c r="J33" s="121"/>
      <c r="K33" s="121"/>
      <c r="L33" s="120"/>
      <c r="M33" s="126"/>
      <c r="N33" s="11"/>
      <c r="O33" s="11"/>
      <c r="P33" s="11"/>
      <c r="Q33" s="11"/>
      <c r="R33" s="11"/>
      <c r="U33" s="11"/>
    </row>
    <row r="34" spans="2:26" x14ac:dyDescent="0.25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2:26" ht="15" customHeight="1" x14ac:dyDescent="0.25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2:26" ht="15" customHeight="1" x14ac:dyDescent="0.25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2:26" ht="15" customHeight="1" x14ac:dyDescent="0.25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2:26" ht="15" customHeight="1" x14ac:dyDescent="0.25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2:26" ht="15.75" customHeight="1" x14ac:dyDescent="0.25"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2:26" x14ac:dyDescent="0.25"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2:26" x14ac:dyDescent="0.25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2:26" x14ac:dyDescent="0.25"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2:26" x14ac:dyDescent="0.25"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</sheetData>
  <mergeCells count="3">
    <mergeCell ref="B1:C5"/>
    <mergeCell ref="D1:U4"/>
    <mergeCell ref="D5:U5"/>
  </mergeCells>
  <conditionalFormatting sqref="F46:F64">
    <cfRule type="expression" dxfId="2" priority="1">
      <formula>+F46=0</formula>
    </cfRule>
  </conditionalFormatting>
  <conditionalFormatting sqref="G12:G33">
    <cfRule type="expression" dxfId="1" priority="7">
      <formula>+G12=0</formula>
    </cfRule>
  </conditionalFormatting>
  <pageMargins left="0.25" right="0.25" top="0.75" bottom="0.75" header="0.3" footer="0.3"/>
  <pageSetup paperSize="3" scale="25" fitToHeight="0" orientation="landscape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FA857-655B-45ED-9992-C4FB09CD5928}">
  <sheetPr>
    <tabColor theme="8" tint="0.59999389629810485"/>
    <pageSetUpPr fitToPage="1"/>
  </sheetPr>
  <dimension ref="B1:AD159"/>
  <sheetViews>
    <sheetView zoomScale="85" zoomScaleNormal="85" zoomScaleSheetLayoutView="55" workbookViewId="0">
      <pane xSplit="7" ySplit="11" topLeftCell="H12" activePane="bottomRight" state="frozen"/>
      <selection pane="topRight" activeCell="H1" sqref="H1"/>
      <selection pane="bottomLeft" activeCell="A12" sqref="A12"/>
      <selection pane="bottomRight" activeCell="B31" sqref="B1:U31"/>
    </sheetView>
  </sheetViews>
  <sheetFormatPr defaultColWidth="11.42578125" defaultRowHeight="15" outlineLevelCol="1" x14ac:dyDescent="0.25"/>
  <cols>
    <col min="1" max="1" width="2" style="1" customWidth="1"/>
    <col min="2" max="2" width="5.85546875" style="1" customWidth="1"/>
    <col min="3" max="3" width="8.5703125" style="1" customWidth="1"/>
    <col min="4" max="4" width="20.5703125" style="1" customWidth="1"/>
    <col min="5" max="5" width="13" style="1" customWidth="1"/>
    <col min="6" max="6" width="16.5703125" style="1" bestFit="1" customWidth="1"/>
    <col min="7" max="7" width="18.85546875" style="1" bestFit="1" customWidth="1"/>
    <col min="8" max="8" width="16.28515625" style="1" customWidth="1"/>
    <col min="9" max="9" width="12.28515625" style="1" customWidth="1"/>
    <col min="10" max="11" width="12.5703125" style="1" customWidth="1"/>
    <col min="12" max="12" width="16.140625" style="1" customWidth="1"/>
    <col min="13" max="16" width="12.5703125" style="1" customWidth="1"/>
    <col min="17" max="17" width="14.7109375" style="1" customWidth="1"/>
    <col min="18" max="18" width="17.5703125" style="1" customWidth="1"/>
    <col min="19" max="19" width="18.5703125" style="1" customWidth="1"/>
    <col min="20" max="21" width="19.140625" style="1" bestFit="1" customWidth="1" outlineLevel="1"/>
    <col min="22" max="25" width="11.42578125" style="1" hidden="1" customWidth="1" outlineLevel="1"/>
    <col min="26" max="27" width="11.42578125" style="1" hidden="1" customWidth="1"/>
    <col min="28" max="16384" width="11.42578125" style="1"/>
  </cols>
  <sheetData>
    <row r="1" spans="2:30" ht="15" customHeight="1" x14ac:dyDescent="0.25">
      <c r="B1" s="178" t="s">
        <v>60</v>
      </c>
      <c r="C1" s="178"/>
      <c r="D1" s="181" t="s">
        <v>170</v>
      </c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</row>
    <row r="2" spans="2:30" x14ac:dyDescent="0.25">
      <c r="B2" s="179"/>
      <c r="C2" s="179"/>
      <c r="D2" s="181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</row>
    <row r="3" spans="2:30" x14ac:dyDescent="0.25">
      <c r="B3" s="179"/>
      <c r="C3" s="179"/>
      <c r="D3" s="181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</row>
    <row r="4" spans="2:30" x14ac:dyDescent="0.25">
      <c r="B4" s="179"/>
      <c r="C4" s="179"/>
      <c r="D4" s="181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</row>
    <row r="5" spans="2:30" ht="15.75" thickBot="1" x14ac:dyDescent="0.3">
      <c r="B5" s="180"/>
      <c r="C5" s="180"/>
      <c r="D5" s="183">
        <f ca="1">NOW()</f>
        <v>45754.872581249998</v>
      </c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4"/>
      <c r="T5" s="184"/>
      <c r="U5" s="184"/>
    </row>
    <row r="6" spans="2:30" x14ac:dyDescent="0.25">
      <c r="G6" s="1" t="s">
        <v>155</v>
      </c>
      <c r="H6" s="1">
        <f>SUMIF(DATA!O22:O97,"OUI",DATA!P22:P97)</f>
        <v>0</v>
      </c>
      <c r="I6" s="1">
        <f>SUMIF(DATA!O22:O97,"OUI",DATA!R22:R97)</f>
        <v>0</v>
      </c>
      <c r="J6" s="148">
        <f>SUMIF(DATA!O22:O97,"OUI",DATA!T22:T97)</f>
        <v>0</v>
      </c>
      <c r="K6" s="1">
        <f>SUMIF(DATA!O22:O97,"OUI",DATA!V22:V97)</f>
        <v>0</v>
      </c>
      <c r="M6" s="1">
        <f>SUMIF(DATA!O22:O97,"OUI",DATA!X22:X97)</f>
        <v>0</v>
      </c>
      <c r="N6" s="1">
        <f>SUMIF(DATA!O22:O97,"OUI",DATA!Z22:Z97)</f>
        <v>0</v>
      </c>
      <c r="O6" s="1">
        <f>SUMIF(DATA!O22:O97,"OUI",DATA!AB22:AB97)</f>
        <v>0</v>
      </c>
      <c r="P6" s="1">
        <f>SUMIF(DATA!O22:O97,"OUI",DATA!AD22:AD97)</f>
        <v>0</v>
      </c>
      <c r="Q6" s="1">
        <f>SUMIF(DATA!O22:O97,"OUI",DATA!AF22:AF97)</f>
        <v>0</v>
      </c>
    </row>
    <row r="7" spans="2:30" x14ac:dyDescent="0.25">
      <c r="E7" s="146" t="s">
        <v>166</v>
      </c>
      <c r="F7" s="146" t="s">
        <v>167</v>
      </c>
      <c r="G7" s="1" t="s">
        <v>156</v>
      </c>
      <c r="H7" s="148">
        <f>SUMIF(DATA!O22:O97,"OUI",DATA!Q22:Q97)</f>
        <v>0</v>
      </c>
      <c r="I7" s="148">
        <f>SUMIF(DATA!O22:O97,"OUI",DATA!S22:S97)</f>
        <v>0</v>
      </c>
      <c r="J7" s="148">
        <f>SUMIF(DATA!O22:O97,"OUI",DATA!U22:U97)</f>
        <v>0</v>
      </c>
      <c r="K7" s="148">
        <f>SUMIF(DATA!O22:O97,"OUI",DATA!W22:W97)</f>
        <v>0</v>
      </c>
      <c r="M7" s="148">
        <f>SUMIF(DATA!O22:O97,"OUI",DATA!Y22:Y97)</f>
        <v>0</v>
      </c>
      <c r="N7" s="148">
        <f>SUMIF(DATA!O22:O97,"OUI",DATA!AA22:AA97)</f>
        <v>0</v>
      </c>
      <c r="O7" s="148">
        <f>SUMIF(DATA!O22:O97,"OUI",DATA!AC22:AC97)</f>
        <v>0</v>
      </c>
      <c r="P7" s="148">
        <f>SUMIF(DATA!O22:O97,"OUI",DATA!AE22:AE97)</f>
        <v>0</v>
      </c>
      <c r="Q7" s="150">
        <f>SUMIF(DATA!O22:O97,"OUI",DATA!AG22:AG97)</f>
        <v>0</v>
      </c>
      <c r="R7" s="149" t="s">
        <v>154</v>
      </c>
      <c r="T7" s="1" t="s">
        <v>169</v>
      </c>
      <c r="U7" s="1">
        <v>48</v>
      </c>
    </row>
    <row r="8" spans="2:30" ht="18.75" x14ac:dyDescent="0.3">
      <c r="B8" s="3" t="s">
        <v>24</v>
      </c>
      <c r="C8" s="1" t="s">
        <v>2</v>
      </c>
      <c r="E8" s="157">
        <f>SUM(E12:E40)</f>
        <v>5946</v>
      </c>
      <c r="F8" s="157">
        <f>SUM(F12:F40)</f>
        <v>2999236</v>
      </c>
      <c r="G8" s="146" t="s">
        <v>148</v>
      </c>
      <c r="H8" s="159">
        <f>POSTE!F2</f>
        <v>2</v>
      </c>
      <c r="I8" s="159">
        <f>POSTE!F3</f>
        <v>1.5</v>
      </c>
      <c r="J8" s="159">
        <f>POSTE!F4</f>
        <v>2</v>
      </c>
      <c r="K8" s="159">
        <f>POSTE!F5</f>
        <v>2</v>
      </c>
      <c r="L8" s="159"/>
      <c r="M8" s="159">
        <f>POSTE!F7</f>
        <v>1</v>
      </c>
      <c r="N8" s="159">
        <f>POSTE!F8</f>
        <v>2</v>
      </c>
      <c r="O8" s="159">
        <f>POSTE!F9</f>
        <v>1</v>
      </c>
      <c r="P8" s="159">
        <f>POSTE!F10</f>
        <v>1</v>
      </c>
      <c r="Q8" s="159">
        <f>POSTE!F11</f>
        <v>6</v>
      </c>
      <c r="T8" s="154" t="s">
        <v>168</v>
      </c>
      <c r="U8" s="156">
        <f>(H8*H9+I8*I9+J8*J9+K8*K9+M8*M9+N8*N9+O8*O9)*40*U7</f>
        <v>8624640</v>
      </c>
      <c r="AB8" s="155" t="s">
        <v>156</v>
      </c>
    </row>
    <row r="9" spans="2:30" x14ac:dyDescent="0.25">
      <c r="G9" s="146" t="s">
        <v>100</v>
      </c>
      <c r="H9" s="146">
        <f>POSTE!E2</f>
        <v>500</v>
      </c>
      <c r="I9" s="146">
        <f>POSTE!E3</f>
        <v>600</v>
      </c>
      <c r="J9" s="146">
        <f>POSTE!E4</f>
        <v>400</v>
      </c>
      <c r="K9" s="146">
        <f>POSTE!E5</f>
        <v>300</v>
      </c>
      <c r="L9" s="146"/>
      <c r="M9" s="146">
        <f>POSTE!E7</f>
        <v>200</v>
      </c>
      <c r="N9" s="146">
        <f>POSTE!E8</f>
        <v>121</v>
      </c>
      <c r="O9" s="146">
        <f>POSTE!E9</f>
        <v>750</v>
      </c>
      <c r="P9" s="146">
        <f>POSTE!E10</f>
        <v>250</v>
      </c>
      <c r="Q9" s="146">
        <f>POSTE!E11</f>
        <v>1</v>
      </c>
    </row>
    <row r="10" spans="2:30" x14ac:dyDescent="0.25">
      <c r="AC10" s="1" t="s">
        <v>159</v>
      </c>
      <c r="AD10" s="1" t="s">
        <v>161</v>
      </c>
    </row>
    <row r="11" spans="2:30" x14ac:dyDescent="0.25">
      <c r="B11" s="3" t="s">
        <v>153</v>
      </c>
      <c r="C11" s="3" t="s">
        <v>107</v>
      </c>
      <c r="D11" s="3" t="s">
        <v>108</v>
      </c>
      <c r="E11" s="3" t="s">
        <v>110</v>
      </c>
      <c r="F11" s="3" t="s">
        <v>111</v>
      </c>
      <c r="G11" s="3" t="s">
        <v>112</v>
      </c>
      <c r="H11" s="3" t="s">
        <v>150</v>
      </c>
      <c r="I11" s="3" t="s">
        <v>113</v>
      </c>
      <c r="J11" s="3" t="s">
        <v>114</v>
      </c>
      <c r="K11" s="3" t="s">
        <v>115</v>
      </c>
      <c r="L11" s="3" t="s">
        <v>116</v>
      </c>
      <c r="M11" s="3" t="s">
        <v>163</v>
      </c>
      <c r="N11" s="3" t="s">
        <v>117</v>
      </c>
      <c r="O11" s="3" t="s">
        <v>118</v>
      </c>
      <c r="P11" s="3" t="s">
        <v>119</v>
      </c>
      <c r="Q11" s="3" t="s">
        <v>120</v>
      </c>
      <c r="R11" s="3" t="s">
        <v>121</v>
      </c>
      <c r="S11" s="3" t="s">
        <v>147</v>
      </c>
      <c r="T11" s="3" t="s">
        <v>126</v>
      </c>
      <c r="U11" s="3" t="s">
        <v>151</v>
      </c>
      <c r="AB11" s="1" t="s">
        <v>158</v>
      </c>
      <c r="AC11" s="1" t="s">
        <v>160</v>
      </c>
      <c r="AD11" s="1" t="s">
        <v>161</v>
      </c>
    </row>
    <row r="12" spans="2:30" x14ac:dyDescent="0.25">
      <c r="B12" s="1">
        <v>1</v>
      </c>
      <c r="C12" s="1" t="s">
        <v>7</v>
      </c>
      <c r="D12" s="1" t="s">
        <v>181</v>
      </c>
      <c r="E12" s="119">
        <v>5</v>
      </c>
      <c r="F12" s="119">
        <v>527</v>
      </c>
      <c r="G12" s="11">
        <v>45855</v>
      </c>
      <c r="H12" s="11" t="s">
        <v>34</v>
      </c>
      <c r="I12" s="11" t="s">
        <v>34</v>
      </c>
      <c r="J12" s="121" t="s">
        <v>34</v>
      </c>
      <c r="K12" s="121" t="s">
        <v>34</v>
      </c>
      <c r="L12" s="120" t="s">
        <v>34</v>
      </c>
      <c r="M12" s="1" t="s">
        <v>34</v>
      </c>
      <c r="AB12" s="1">
        <f>G12-U12</f>
        <v>45855</v>
      </c>
      <c r="AC12" s="1" t="e">
        <f>U12-L12</f>
        <v>#VALUE!</v>
      </c>
    </row>
    <row r="13" spans="2:30" x14ac:dyDescent="0.25">
      <c r="B13" s="1">
        <v>2</v>
      </c>
      <c r="C13" s="1" t="s">
        <v>60</v>
      </c>
      <c r="D13" s="1" t="s">
        <v>177</v>
      </c>
      <c r="E13" s="119">
        <v>3</v>
      </c>
      <c r="F13" s="119">
        <v>120</v>
      </c>
      <c r="G13" s="11">
        <v>45843</v>
      </c>
      <c r="H13" s="11" t="s">
        <v>34</v>
      </c>
      <c r="I13" s="11" t="s">
        <v>34</v>
      </c>
      <c r="J13" s="121" t="s">
        <v>34</v>
      </c>
      <c r="K13" s="121" t="s">
        <v>34</v>
      </c>
      <c r="L13" s="120" t="s">
        <v>34</v>
      </c>
      <c r="M13" s="1" t="s">
        <v>34</v>
      </c>
      <c r="AB13" s="1">
        <f t="shared" ref="AB13:AB32" si="0">G13-U13</f>
        <v>45843</v>
      </c>
      <c r="AC13" s="1" t="e">
        <f t="shared" ref="AC13:AC26" si="1">U13-L13</f>
        <v>#VALUE!</v>
      </c>
    </row>
    <row r="14" spans="2:30" x14ac:dyDescent="0.25">
      <c r="B14" s="1">
        <v>3</v>
      </c>
      <c r="C14" s="1" t="s">
        <v>7</v>
      </c>
      <c r="D14" s="1" t="s">
        <v>187</v>
      </c>
      <c r="E14" s="119">
        <v>60</v>
      </c>
      <c r="F14" s="119">
        <v>21341</v>
      </c>
      <c r="G14" s="11">
        <v>45898</v>
      </c>
      <c r="H14" s="11" t="s">
        <v>34</v>
      </c>
      <c r="I14" s="11">
        <v>45744</v>
      </c>
      <c r="J14" s="121">
        <v>45742</v>
      </c>
      <c r="K14" s="121" t="s">
        <v>34</v>
      </c>
      <c r="L14" s="120">
        <v>45742</v>
      </c>
      <c r="M14" s="126">
        <v>45742</v>
      </c>
      <c r="N14" s="11">
        <v>45742</v>
      </c>
      <c r="O14" s="11" t="s">
        <v>34</v>
      </c>
      <c r="P14" s="11" t="s">
        <v>34</v>
      </c>
      <c r="Q14" s="11">
        <v>45747</v>
      </c>
      <c r="R14" s="11">
        <v>45747</v>
      </c>
      <c r="S14" s="1" t="s">
        <v>146</v>
      </c>
      <c r="T14" s="1" t="s">
        <v>146</v>
      </c>
      <c r="U14" s="11">
        <v>45777</v>
      </c>
      <c r="AB14" s="1">
        <f t="shared" si="0"/>
        <v>121</v>
      </c>
      <c r="AC14" s="1">
        <f t="shared" si="1"/>
        <v>35</v>
      </c>
    </row>
    <row r="15" spans="2:30" x14ac:dyDescent="0.25">
      <c r="B15" s="1">
        <v>4</v>
      </c>
      <c r="C15" s="1" t="s">
        <v>7</v>
      </c>
      <c r="D15" s="1" t="s">
        <v>175</v>
      </c>
      <c r="E15" s="119">
        <v>65</v>
      </c>
      <c r="F15" s="119">
        <v>44465</v>
      </c>
      <c r="G15" s="11">
        <v>45898</v>
      </c>
      <c r="H15" s="11" t="s">
        <v>34</v>
      </c>
      <c r="I15" s="11">
        <v>45751</v>
      </c>
      <c r="J15" s="121">
        <v>45743</v>
      </c>
      <c r="K15" s="121">
        <v>45742</v>
      </c>
      <c r="L15" s="120">
        <v>45742</v>
      </c>
      <c r="M15" s="126">
        <v>45742</v>
      </c>
      <c r="N15" s="11">
        <v>45742</v>
      </c>
      <c r="O15" s="11" t="s">
        <v>34</v>
      </c>
      <c r="P15" s="11" t="s">
        <v>34</v>
      </c>
      <c r="Q15" s="11">
        <v>45750</v>
      </c>
      <c r="R15" s="11">
        <v>45751</v>
      </c>
      <c r="S15" s="1" t="s">
        <v>146</v>
      </c>
      <c r="T15" s="1" t="s">
        <v>146</v>
      </c>
      <c r="U15" s="11">
        <v>45781</v>
      </c>
      <c r="AB15" s="1">
        <f t="shared" si="0"/>
        <v>117</v>
      </c>
      <c r="AC15" s="1">
        <f t="shared" si="1"/>
        <v>39</v>
      </c>
    </row>
    <row r="16" spans="2:30" x14ac:dyDescent="0.25">
      <c r="B16" s="1">
        <v>5</v>
      </c>
      <c r="C16" s="1" t="s">
        <v>8</v>
      </c>
      <c r="D16" s="1" t="s">
        <v>182</v>
      </c>
      <c r="E16" s="119">
        <v>571</v>
      </c>
      <c r="F16" s="119">
        <v>75213</v>
      </c>
      <c r="G16" s="11">
        <v>45814</v>
      </c>
      <c r="H16" s="11" t="s">
        <v>34</v>
      </c>
      <c r="I16" s="11">
        <v>45757</v>
      </c>
      <c r="J16" s="121">
        <v>45749</v>
      </c>
      <c r="K16" s="121">
        <v>45742</v>
      </c>
      <c r="L16" s="120">
        <v>45747</v>
      </c>
      <c r="M16" s="126">
        <v>45755</v>
      </c>
      <c r="N16" s="11">
        <v>45744</v>
      </c>
      <c r="O16" s="11" t="s">
        <v>34</v>
      </c>
      <c r="P16" s="11" t="s">
        <v>34</v>
      </c>
      <c r="Q16" s="11">
        <v>45751</v>
      </c>
      <c r="R16" s="11">
        <v>45757</v>
      </c>
      <c r="S16" s="126">
        <v>45757</v>
      </c>
      <c r="T16" s="126">
        <v>45796</v>
      </c>
      <c r="U16" s="11">
        <v>45827</v>
      </c>
      <c r="AB16" s="1">
        <f t="shared" si="0"/>
        <v>-13</v>
      </c>
      <c r="AC16" s="1">
        <f t="shared" si="1"/>
        <v>80</v>
      </c>
    </row>
    <row r="17" spans="2:30" x14ac:dyDescent="0.25">
      <c r="B17" s="1">
        <v>6</v>
      </c>
      <c r="C17" s="1" t="s">
        <v>7</v>
      </c>
      <c r="D17" s="1" t="s">
        <v>188</v>
      </c>
      <c r="E17" s="119">
        <v>579</v>
      </c>
      <c r="F17" s="119">
        <v>121316</v>
      </c>
      <c r="G17" s="11">
        <v>45855</v>
      </c>
      <c r="H17" s="11">
        <v>45742</v>
      </c>
      <c r="I17" s="11">
        <v>45763</v>
      </c>
      <c r="J17" s="121">
        <v>45758</v>
      </c>
      <c r="K17" s="121">
        <v>45748</v>
      </c>
      <c r="L17" s="120">
        <v>45754</v>
      </c>
      <c r="M17" s="126">
        <v>45757</v>
      </c>
      <c r="N17" s="11">
        <v>45754</v>
      </c>
      <c r="O17" s="11" t="s">
        <v>34</v>
      </c>
      <c r="P17" s="11">
        <v>45750</v>
      </c>
      <c r="Q17" s="11">
        <v>45758</v>
      </c>
      <c r="R17" s="11">
        <v>45763</v>
      </c>
      <c r="S17" s="1" t="s">
        <v>146</v>
      </c>
      <c r="T17" s="1" t="s">
        <v>146</v>
      </c>
      <c r="U17" s="11">
        <v>45793</v>
      </c>
      <c r="AB17" s="1">
        <f t="shared" si="0"/>
        <v>62</v>
      </c>
      <c r="AC17" s="1">
        <f t="shared" si="1"/>
        <v>39</v>
      </c>
    </row>
    <row r="18" spans="2:30" x14ac:dyDescent="0.25">
      <c r="B18" s="1">
        <v>7</v>
      </c>
      <c r="C18" s="1" t="s">
        <v>7</v>
      </c>
      <c r="D18" s="1" t="s">
        <v>165</v>
      </c>
      <c r="E18" s="119">
        <v>14</v>
      </c>
      <c r="F18" s="119">
        <v>51014</v>
      </c>
      <c r="G18" s="11">
        <v>45782</v>
      </c>
      <c r="H18" s="11">
        <v>45749</v>
      </c>
      <c r="I18" s="11">
        <v>45764</v>
      </c>
      <c r="J18" s="121" t="s">
        <v>34</v>
      </c>
      <c r="K18" s="121" t="s">
        <v>34</v>
      </c>
      <c r="L18" s="120" t="s">
        <v>34</v>
      </c>
      <c r="M18" s="1" t="s">
        <v>34</v>
      </c>
      <c r="AB18" s="1">
        <f t="shared" si="0"/>
        <v>45782</v>
      </c>
      <c r="AC18" s="1" t="e">
        <f t="shared" si="1"/>
        <v>#VALUE!</v>
      </c>
    </row>
    <row r="19" spans="2:30" x14ac:dyDescent="0.25">
      <c r="B19" s="1">
        <v>8</v>
      </c>
      <c r="C19" s="1" t="s">
        <v>157</v>
      </c>
      <c r="D19" s="1" t="s">
        <v>183</v>
      </c>
      <c r="E19" s="119">
        <v>601</v>
      </c>
      <c r="F19" s="119">
        <v>38349</v>
      </c>
      <c r="G19" s="11">
        <v>45777</v>
      </c>
      <c r="H19" s="11">
        <v>45749</v>
      </c>
      <c r="I19" s="11">
        <v>45764</v>
      </c>
      <c r="J19" s="121">
        <v>45764</v>
      </c>
      <c r="K19" s="121">
        <v>45750</v>
      </c>
      <c r="L19" s="120">
        <v>45757</v>
      </c>
      <c r="M19" s="126">
        <v>45757</v>
      </c>
      <c r="N19" s="11">
        <v>45755</v>
      </c>
      <c r="O19" s="11" t="s">
        <v>34</v>
      </c>
      <c r="P19" s="11">
        <v>45750</v>
      </c>
      <c r="Q19" s="11">
        <v>45770</v>
      </c>
      <c r="R19" s="11">
        <v>45770</v>
      </c>
      <c r="S19" s="126">
        <v>45796</v>
      </c>
      <c r="T19" s="126">
        <v>45819</v>
      </c>
      <c r="U19" s="11">
        <v>45849</v>
      </c>
      <c r="AB19" s="1">
        <f t="shared" si="0"/>
        <v>-72</v>
      </c>
      <c r="AC19" s="1">
        <f t="shared" si="1"/>
        <v>92</v>
      </c>
    </row>
    <row r="20" spans="2:30" x14ac:dyDescent="0.25">
      <c r="B20" s="1">
        <v>9</v>
      </c>
      <c r="C20" s="1" t="s">
        <v>157</v>
      </c>
      <c r="D20" s="1" t="s">
        <v>184</v>
      </c>
      <c r="E20" s="119">
        <v>725</v>
      </c>
      <c r="F20" s="119">
        <v>40229</v>
      </c>
      <c r="G20" s="11">
        <v>45777</v>
      </c>
      <c r="H20" s="11">
        <v>45750</v>
      </c>
      <c r="I20" s="11">
        <v>45768</v>
      </c>
      <c r="J20" s="121">
        <v>45769</v>
      </c>
      <c r="K20" s="121">
        <v>45750</v>
      </c>
      <c r="L20" s="120">
        <v>45761</v>
      </c>
      <c r="M20" s="126">
        <v>45758</v>
      </c>
      <c r="N20" s="11">
        <v>45756</v>
      </c>
      <c r="O20" s="11" t="s">
        <v>34</v>
      </c>
      <c r="P20" s="11">
        <v>45750</v>
      </c>
      <c r="Q20" s="11">
        <v>45771</v>
      </c>
      <c r="R20" s="11">
        <v>45771</v>
      </c>
      <c r="S20" s="126">
        <v>45819</v>
      </c>
      <c r="T20" s="126">
        <v>45845</v>
      </c>
      <c r="U20" s="11">
        <v>45876</v>
      </c>
      <c r="AB20" s="1">
        <f t="shared" si="0"/>
        <v>-99</v>
      </c>
      <c r="AC20" s="1">
        <f t="shared" si="1"/>
        <v>115</v>
      </c>
    </row>
    <row r="21" spans="2:30" x14ac:dyDescent="0.25">
      <c r="B21" s="1">
        <v>10</v>
      </c>
      <c r="C21" s="1" t="s">
        <v>157</v>
      </c>
      <c r="D21" s="1" t="s">
        <v>185</v>
      </c>
      <c r="E21" s="119">
        <v>315</v>
      </c>
      <c r="F21" s="119">
        <v>76020</v>
      </c>
      <c r="G21" s="11">
        <v>45777</v>
      </c>
      <c r="H21" s="11">
        <v>45750</v>
      </c>
      <c r="I21" s="11">
        <v>45771</v>
      </c>
      <c r="J21" s="121">
        <v>45778</v>
      </c>
      <c r="K21" s="121">
        <v>45751</v>
      </c>
      <c r="L21" s="120">
        <v>45764</v>
      </c>
      <c r="M21" s="126">
        <v>45762</v>
      </c>
      <c r="N21" s="11">
        <v>45758</v>
      </c>
      <c r="O21" s="11" t="s">
        <v>34</v>
      </c>
      <c r="P21" s="11" t="s">
        <v>34</v>
      </c>
      <c r="Q21" s="11">
        <v>45771</v>
      </c>
      <c r="R21" s="11">
        <v>45771</v>
      </c>
      <c r="S21" s="126">
        <v>45845</v>
      </c>
      <c r="T21" s="126">
        <v>45880</v>
      </c>
      <c r="U21" s="11">
        <v>45911</v>
      </c>
      <c r="AB21" s="1">
        <f t="shared" si="0"/>
        <v>-134</v>
      </c>
      <c r="AC21" s="1">
        <f t="shared" si="1"/>
        <v>147</v>
      </c>
    </row>
    <row r="22" spans="2:30" x14ac:dyDescent="0.25">
      <c r="B22" s="1">
        <v>11</v>
      </c>
      <c r="C22" s="1" t="s">
        <v>7</v>
      </c>
      <c r="D22" s="1" t="s">
        <v>179</v>
      </c>
      <c r="E22" s="119">
        <v>12</v>
      </c>
      <c r="F22" s="119">
        <v>5390</v>
      </c>
      <c r="G22" s="11">
        <v>45793</v>
      </c>
      <c r="H22" s="11" t="s">
        <v>34</v>
      </c>
      <c r="I22" s="11">
        <v>45771</v>
      </c>
      <c r="J22" s="121">
        <v>45778</v>
      </c>
      <c r="K22" s="121" t="s">
        <v>34</v>
      </c>
      <c r="L22" s="120">
        <v>45764</v>
      </c>
      <c r="M22" s="126">
        <v>45764</v>
      </c>
      <c r="N22" s="11" t="s">
        <v>34</v>
      </c>
      <c r="O22" s="11" t="s">
        <v>34</v>
      </c>
      <c r="P22" s="11">
        <v>45750</v>
      </c>
      <c r="Q22" s="11">
        <v>45771</v>
      </c>
      <c r="R22" s="11">
        <v>45771</v>
      </c>
      <c r="S22" s="1" t="s">
        <v>146</v>
      </c>
      <c r="T22" s="1" t="s">
        <v>146</v>
      </c>
      <c r="U22" s="11">
        <v>45801</v>
      </c>
      <c r="AB22" s="1">
        <f t="shared" si="0"/>
        <v>-8</v>
      </c>
      <c r="AC22" s="1">
        <f t="shared" si="1"/>
        <v>37</v>
      </c>
    </row>
    <row r="23" spans="2:30" x14ac:dyDescent="0.25">
      <c r="B23" s="1">
        <v>12</v>
      </c>
      <c r="C23" s="1" t="s">
        <v>8</v>
      </c>
      <c r="D23" s="1" t="s">
        <v>176</v>
      </c>
      <c r="E23" s="119">
        <v>113</v>
      </c>
      <c r="F23" s="119">
        <v>95779</v>
      </c>
      <c r="G23" s="11">
        <v>45814</v>
      </c>
      <c r="H23" s="11" t="s">
        <v>34</v>
      </c>
      <c r="I23" s="11">
        <v>45784</v>
      </c>
      <c r="J23" s="121">
        <v>45783</v>
      </c>
      <c r="K23" s="121">
        <v>45751</v>
      </c>
      <c r="L23" s="120">
        <v>45768</v>
      </c>
      <c r="M23" s="126">
        <v>45776</v>
      </c>
      <c r="N23" s="11">
        <v>45761</v>
      </c>
      <c r="O23" s="11" t="s">
        <v>34</v>
      </c>
      <c r="P23" s="11">
        <v>45751</v>
      </c>
      <c r="Q23" s="11">
        <v>45785</v>
      </c>
      <c r="R23" s="11">
        <v>45785</v>
      </c>
      <c r="S23" s="1" t="s">
        <v>146</v>
      </c>
      <c r="T23" s="1" t="s">
        <v>146</v>
      </c>
      <c r="U23" s="11">
        <v>45816</v>
      </c>
      <c r="AB23" s="1">
        <f t="shared" si="0"/>
        <v>-2</v>
      </c>
      <c r="AC23" s="1">
        <f t="shared" si="1"/>
        <v>48</v>
      </c>
    </row>
    <row r="24" spans="2:30" x14ac:dyDescent="0.25">
      <c r="B24" s="1">
        <v>13</v>
      </c>
      <c r="C24" s="1" t="s">
        <v>7</v>
      </c>
      <c r="D24" s="1" t="s">
        <v>173</v>
      </c>
      <c r="E24" s="119">
        <v>83</v>
      </c>
      <c r="F24" s="119">
        <v>747999</v>
      </c>
      <c r="G24" s="11">
        <v>45855</v>
      </c>
      <c r="H24" s="11">
        <v>45814</v>
      </c>
      <c r="I24" s="11">
        <v>45785</v>
      </c>
      <c r="J24" s="121">
        <v>45784</v>
      </c>
      <c r="K24" s="121">
        <v>45751</v>
      </c>
      <c r="L24" s="120">
        <v>45769</v>
      </c>
      <c r="M24" s="126">
        <v>45776</v>
      </c>
      <c r="N24" s="11">
        <v>45761</v>
      </c>
      <c r="O24" s="11">
        <v>45825</v>
      </c>
      <c r="P24" s="11" t="s">
        <v>34</v>
      </c>
      <c r="Q24" s="11">
        <v>45821</v>
      </c>
      <c r="R24" s="11">
        <v>45825</v>
      </c>
      <c r="S24" s="1" t="s">
        <v>146</v>
      </c>
      <c r="T24" s="1" t="s">
        <v>146</v>
      </c>
      <c r="U24" s="11">
        <v>45855</v>
      </c>
      <c r="AB24" s="1">
        <f t="shared" si="0"/>
        <v>0</v>
      </c>
      <c r="AC24" s="1">
        <f t="shared" si="1"/>
        <v>86</v>
      </c>
    </row>
    <row r="25" spans="2:30" x14ac:dyDescent="0.25">
      <c r="B25" s="1">
        <v>14</v>
      </c>
      <c r="C25" s="1" t="s">
        <v>7</v>
      </c>
      <c r="D25" s="1" t="s">
        <v>174</v>
      </c>
      <c r="E25" s="119">
        <v>316</v>
      </c>
      <c r="F25" s="119">
        <v>501360</v>
      </c>
      <c r="G25" s="11">
        <v>45855</v>
      </c>
      <c r="H25" s="11">
        <v>45817</v>
      </c>
      <c r="I25" s="11" t="s">
        <v>34</v>
      </c>
      <c r="J25" s="121">
        <v>45841</v>
      </c>
      <c r="K25" s="121">
        <v>45796</v>
      </c>
      <c r="L25" s="120">
        <v>45818</v>
      </c>
      <c r="M25" s="126">
        <v>45796</v>
      </c>
      <c r="N25" s="11">
        <v>45811</v>
      </c>
      <c r="O25" s="11" t="s">
        <v>34</v>
      </c>
      <c r="P25" s="11" t="s">
        <v>34</v>
      </c>
      <c r="Q25" s="11">
        <v>45842</v>
      </c>
      <c r="R25" s="11">
        <v>45842</v>
      </c>
      <c r="S25" s="1" t="s">
        <v>146</v>
      </c>
      <c r="T25" s="1" t="s">
        <v>146</v>
      </c>
      <c r="U25" s="11">
        <v>45873</v>
      </c>
      <c r="AB25" s="1">
        <f t="shared" si="0"/>
        <v>-18</v>
      </c>
      <c r="AC25" s="1">
        <f t="shared" si="1"/>
        <v>55</v>
      </c>
      <c r="AD25" s="1" t="e">
        <f>S25-R25</f>
        <v>#VALUE!</v>
      </c>
    </row>
    <row r="26" spans="2:30" x14ac:dyDescent="0.25">
      <c r="B26" s="1">
        <v>15</v>
      </c>
      <c r="C26" s="1" t="s">
        <v>8</v>
      </c>
      <c r="D26" s="1" t="s">
        <v>178</v>
      </c>
      <c r="E26" s="119">
        <v>269</v>
      </c>
      <c r="F26" s="119">
        <v>258599</v>
      </c>
      <c r="G26" s="11">
        <v>45870</v>
      </c>
      <c r="H26" s="11" t="s">
        <v>34</v>
      </c>
      <c r="I26" s="11">
        <v>45805</v>
      </c>
      <c r="J26" s="121">
        <v>45883</v>
      </c>
      <c r="K26" s="121">
        <v>45810</v>
      </c>
      <c r="L26" s="120">
        <v>45835</v>
      </c>
      <c r="M26" s="126">
        <v>45798</v>
      </c>
      <c r="N26" s="11">
        <v>45819</v>
      </c>
      <c r="O26" s="11" t="s">
        <v>34</v>
      </c>
      <c r="P26" s="11" t="s">
        <v>34</v>
      </c>
      <c r="Q26" s="11">
        <v>45845</v>
      </c>
      <c r="R26" s="11">
        <v>45845</v>
      </c>
      <c r="S26" s="1" t="s">
        <v>146</v>
      </c>
      <c r="T26" s="1" t="s">
        <v>146</v>
      </c>
      <c r="U26" s="11">
        <v>45876</v>
      </c>
      <c r="AB26" s="1">
        <f t="shared" si="0"/>
        <v>-6</v>
      </c>
      <c r="AC26" s="1">
        <f t="shared" si="1"/>
        <v>41</v>
      </c>
      <c r="AD26" s="1" t="e">
        <f t="shared" ref="AD26:AD29" si="2">S26-R26</f>
        <v>#VALUE!</v>
      </c>
    </row>
    <row r="27" spans="2:30" x14ac:dyDescent="0.25">
      <c r="B27" s="1">
        <v>16</v>
      </c>
      <c r="C27" s="1" t="s">
        <v>7</v>
      </c>
      <c r="D27" s="1" t="s">
        <v>180</v>
      </c>
      <c r="E27" s="119">
        <v>90</v>
      </c>
      <c r="F27" s="119">
        <v>190568</v>
      </c>
      <c r="G27" s="11">
        <v>45884</v>
      </c>
      <c r="H27" s="11">
        <v>45831</v>
      </c>
      <c r="I27" s="11">
        <v>45806</v>
      </c>
      <c r="J27" s="121">
        <v>45884</v>
      </c>
      <c r="K27" s="121" t="s">
        <v>34</v>
      </c>
      <c r="L27" s="120">
        <v>45835</v>
      </c>
      <c r="M27" s="126">
        <v>45800</v>
      </c>
      <c r="N27" s="11">
        <v>45820</v>
      </c>
      <c r="O27" s="11">
        <v>45848</v>
      </c>
      <c r="P27" s="11">
        <v>45751</v>
      </c>
      <c r="Q27" s="11">
        <v>45880</v>
      </c>
      <c r="R27" s="11">
        <v>45880</v>
      </c>
      <c r="S27" s="1" t="s">
        <v>146</v>
      </c>
      <c r="T27" s="1" t="s">
        <v>146</v>
      </c>
      <c r="U27" s="11">
        <v>45911</v>
      </c>
      <c r="AB27" s="1">
        <f t="shared" si="0"/>
        <v>-27</v>
      </c>
      <c r="AC27" s="1">
        <f t="shared" ref="AC27:AC29" si="3">U27-L26</f>
        <v>76</v>
      </c>
      <c r="AD27" s="1" t="e">
        <f t="shared" si="2"/>
        <v>#VALUE!</v>
      </c>
    </row>
    <row r="28" spans="2:30" x14ac:dyDescent="0.25">
      <c r="B28" s="1">
        <v>17</v>
      </c>
      <c r="C28" s="1" t="s">
        <v>7</v>
      </c>
      <c r="D28" s="1" t="s">
        <v>180</v>
      </c>
      <c r="E28" s="119">
        <v>959</v>
      </c>
      <c r="F28" s="119">
        <v>247306</v>
      </c>
      <c r="G28" s="11">
        <v>45884</v>
      </c>
      <c r="H28" s="11">
        <v>45831</v>
      </c>
      <c r="I28" s="11">
        <v>45814</v>
      </c>
      <c r="J28" s="121">
        <v>45916</v>
      </c>
      <c r="K28" s="121">
        <v>45824</v>
      </c>
      <c r="L28" s="120">
        <v>45881</v>
      </c>
      <c r="M28" s="126">
        <v>45804</v>
      </c>
      <c r="N28" s="11">
        <v>45835</v>
      </c>
      <c r="O28" s="11" t="s">
        <v>34</v>
      </c>
      <c r="P28" s="11">
        <v>45751</v>
      </c>
      <c r="Q28" s="11">
        <v>45883</v>
      </c>
      <c r="R28" s="11">
        <v>45883</v>
      </c>
      <c r="S28" s="1" t="s">
        <v>146</v>
      </c>
      <c r="T28" s="1" t="s">
        <v>146</v>
      </c>
      <c r="U28" s="11">
        <v>45914</v>
      </c>
      <c r="AB28" s="1">
        <f t="shared" si="0"/>
        <v>-30</v>
      </c>
      <c r="AC28" s="1">
        <f t="shared" si="3"/>
        <v>79</v>
      </c>
      <c r="AD28" s="1" t="e">
        <f t="shared" si="2"/>
        <v>#VALUE!</v>
      </c>
    </row>
    <row r="29" spans="2:30" x14ac:dyDescent="0.25">
      <c r="B29" s="1">
        <v>19</v>
      </c>
      <c r="C29" s="1" t="s">
        <v>7</v>
      </c>
      <c r="D29" s="1" t="s">
        <v>186</v>
      </c>
      <c r="E29" s="119">
        <v>61</v>
      </c>
      <c r="F29" s="119">
        <v>159115</v>
      </c>
      <c r="G29" s="11">
        <v>46086</v>
      </c>
      <c r="H29" s="11">
        <v>45841</v>
      </c>
      <c r="I29" s="11">
        <v>45819</v>
      </c>
      <c r="J29" s="121">
        <v>45918</v>
      </c>
      <c r="K29" s="121">
        <v>45824</v>
      </c>
      <c r="L29" s="120">
        <v>45882</v>
      </c>
      <c r="M29" s="126">
        <v>45804</v>
      </c>
      <c r="N29" s="11">
        <v>45835</v>
      </c>
      <c r="O29" s="11">
        <v>45889</v>
      </c>
      <c r="P29" s="11" t="s">
        <v>34</v>
      </c>
      <c r="Q29" s="11">
        <v>45887</v>
      </c>
      <c r="R29" s="11">
        <v>45889</v>
      </c>
      <c r="S29" s="1" t="s">
        <v>146</v>
      </c>
      <c r="T29" s="1" t="s">
        <v>146</v>
      </c>
      <c r="U29" s="11">
        <v>45920</v>
      </c>
      <c r="AB29" s="1">
        <f t="shared" si="0"/>
        <v>166</v>
      </c>
      <c r="AC29" s="1">
        <f t="shared" si="3"/>
        <v>39</v>
      </c>
      <c r="AD29" s="1" t="e">
        <f t="shared" si="2"/>
        <v>#VALUE!</v>
      </c>
    </row>
    <row r="30" spans="2:30" x14ac:dyDescent="0.25">
      <c r="B30" s="1">
        <v>20</v>
      </c>
      <c r="C30" s="1" t="s">
        <v>7</v>
      </c>
      <c r="D30" s="1" t="s">
        <v>186</v>
      </c>
      <c r="E30" s="119">
        <v>1105</v>
      </c>
      <c r="F30" s="119">
        <v>324526</v>
      </c>
      <c r="G30" s="11">
        <v>46086</v>
      </c>
      <c r="H30" s="11">
        <v>45841</v>
      </c>
      <c r="I30" s="11">
        <v>45831</v>
      </c>
      <c r="J30" s="121">
        <v>45959</v>
      </c>
      <c r="K30" s="121">
        <v>45842</v>
      </c>
      <c r="L30" s="120">
        <v>45911</v>
      </c>
      <c r="M30" s="126">
        <v>45810</v>
      </c>
      <c r="N30" s="11">
        <v>45847</v>
      </c>
      <c r="O30" s="11">
        <v>45890</v>
      </c>
      <c r="P30" s="11">
        <v>45751</v>
      </c>
      <c r="Q30" s="11">
        <v>45940</v>
      </c>
      <c r="R30" s="11">
        <v>45940</v>
      </c>
      <c r="S30" s="1" t="s">
        <v>146</v>
      </c>
      <c r="T30" s="1" t="s">
        <v>146</v>
      </c>
      <c r="U30" s="11">
        <v>45971</v>
      </c>
      <c r="AB30" s="1">
        <f t="shared" si="0"/>
        <v>115</v>
      </c>
      <c r="AC30" s="1">
        <f>U30-L30</f>
        <v>60</v>
      </c>
    </row>
    <row r="31" spans="2:30" x14ac:dyDescent="0.25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 s="1">
        <f t="shared" si="0"/>
        <v>0</v>
      </c>
      <c r="AC31" s="1">
        <f>U31-L35</f>
        <v>0</v>
      </c>
    </row>
    <row r="32" spans="2:30" x14ac:dyDescent="0.25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 s="1">
        <f t="shared" si="0"/>
        <v>0</v>
      </c>
      <c r="AC32" s="1">
        <f>U32-L36</f>
        <v>0</v>
      </c>
    </row>
    <row r="33" spans="2:27" x14ac:dyDescent="0.25"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2:27" x14ac:dyDescent="0.25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2:27" x14ac:dyDescent="0.25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2:27" x14ac:dyDescent="0.25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2:27" x14ac:dyDescent="0.25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2:27" x14ac:dyDescent="0.25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</row>
    <row r="39" spans="2:27" x14ac:dyDescent="0.25"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 spans="2:27" x14ac:dyDescent="0.25"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2:27" x14ac:dyDescent="0.25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2:27" x14ac:dyDescent="0.25"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2:27" x14ac:dyDescent="0.25"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2:27" x14ac:dyDescent="0.25"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2:27" x14ac:dyDescent="0.25"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2:27" x14ac:dyDescent="0.25"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2:27" x14ac:dyDescent="0.25"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 spans="2:27" x14ac:dyDescent="0.25"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</row>
    <row r="49" spans="2:27" x14ac:dyDescent="0.25"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2:27" x14ac:dyDescent="0.25"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2:27" x14ac:dyDescent="0.25"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2:27" x14ac:dyDescent="0.25"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2:27" x14ac:dyDescent="0.25"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2:27" x14ac:dyDescent="0.25"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2:27" x14ac:dyDescent="0.25"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2:27" x14ac:dyDescent="0.25"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2:27" x14ac:dyDescent="0.25"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2:27" x14ac:dyDescent="0.25"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2:27" x14ac:dyDescent="0.25"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2:27" x14ac:dyDescent="0.25"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2:27" x14ac:dyDescent="0.25"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2:27" x14ac:dyDescent="0.25"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2:27" x14ac:dyDescent="0.25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2:27" x14ac:dyDescent="0.25"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2:26" x14ac:dyDescent="0.25"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2:26" x14ac:dyDescent="0.25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2:26" x14ac:dyDescent="0.25"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2:26" x14ac:dyDescent="0.25"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2:26" x14ac:dyDescent="0.25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2:26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2:26" x14ac:dyDescent="0.25"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2:26" x14ac:dyDescent="0.25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2:26" x14ac:dyDescent="0.25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2:26" x14ac:dyDescent="0.25"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2:26" x14ac:dyDescent="0.25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2:26" x14ac:dyDescent="0.25"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2:26" x14ac:dyDescent="0.25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2:26" x14ac:dyDescent="0.25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2:26" x14ac:dyDescent="0.25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2:26" x14ac:dyDescent="0.25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  <row r="81" spans="2:26" x14ac:dyDescent="0.25"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</row>
    <row r="82" spans="2:26" x14ac:dyDescent="0.25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</row>
    <row r="83" spans="2:26" x14ac:dyDescent="0.25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</row>
    <row r="84" spans="2:26" x14ac:dyDescent="0.25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</row>
    <row r="85" spans="2:26" x14ac:dyDescent="0.25"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</row>
    <row r="86" spans="2:26" x14ac:dyDescent="0.25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</row>
    <row r="87" spans="2:26" x14ac:dyDescent="0.25"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2:26" x14ac:dyDescent="0.25"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</row>
    <row r="89" spans="2:26" x14ac:dyDescent="0.25"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</row>
    <row r="90" spans="2:26" x14ac:dyDescent="0.25"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</row>
    <row r="91" spans="2:26" x14ac:dyDescent="0.25"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</row>
    <row r="92" spans="2:26" x14ac:dyDescent="0.25"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</row>
    <row r="93" spans="2:26" x14ac:dyDescent="0.25"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</row>
    <row r="94" spans="2:26" x14ac:dyDescent="0.25"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</row>
    <row r="95" spans="2:26" x14ac:dyDescent="0.25"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</row>
    <row r="96" spans="2:26" x14ac:dyDescent="0.25"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</row>
    <row r="97" spans="2:26" x14ac:dyDescent="0.25"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</row>
    <row r="98" spans="2:26" x14ac:dyDescent="0.25"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</row>
    <row r="99" spans="2:26" x14ac:dyDescent="0.25"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</row>
    <row r="100" spans="2:26" x14ac:dyDescent="0.25"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</row>
    <row r="101" spans="2:26" x14ac:dyDescent="0.25"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</row>
    <row r="102" spans="2:26" x14ac:dyDescent="0.25"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</row>
    <row r="103" spans="2:26" x14ac:dyDescent="0.25"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</row>
    <row r="104" spans="2:26" x14ac:dyDescent="0.25"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</row>
    <row r="105" spans="2:26" x14ac:dyDescent="0.25"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</row>
    <row r="106" spans="2:26" x14ac:dyDescent="0.25"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</row>
    <row r="107" spans="2:26" x14ac:dyDescent="0.25"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</row>
    <row r="108" spans="2:26" x14ac:dyDescent="0.25"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</row>
    <row r="109" spans="2:26" x14ac:dyDescent="0.25"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</row>
    <row r="110" spans="2:26" x14ac:dyDescent="0.25"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</row>
    <row r="111" spans="2:26" x14ac:dyDescent="0.25"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</row>
    <row r="112" spans="2:26" x14ac:dyDescent="0.25"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</row>
    <row r="113" spans="2:26" x14ac:dyDescent="0.25"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</row>
    <row r="114" spans="2:26" x14ac:dyDescent="0.25"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</row>
    <row r="115" spans="2:26" x14ac:dyDescent="0.25"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</row>
    <row r="116" spans="2:26" x14ac:dyDescent="0.25"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</row>
    <row r="117" spans="2:26" x14ac:dyDescent="0.25"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</row>
    <row r="118" spans="2:26" x14ac:dyDescent="0.25"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</row>
    <row r="119" spans="2:26" x14ac:dyDescent="0.25"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</row>
    <row r="120" spans="2:26" x14ac:dyDescent="0.25"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</row>
    <row r="121" spans="2:26" x14ac:dyDescent="0.25"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</row>
    <row r="122" spans="2:26" x14ac:dyDescent="0.25"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</row>
    <row r="123" spans="2:26" x14ac:dyDescent="0.25"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</row>
    <row r="124" spans="2:26" x14ac:dyDescent="0.25"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</row>
    <row r="125" spans="2:26" x14ac:dyDescent="0.25"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</row>
    <row r="126" spans="2:26" x14ac:dyDescent="0.25"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</row>
    <row r="127" spans="2:26" x14ac:dyDescent="0.25"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</row>
    <row r="128" spans="2:26" x14ac:dyDescent="0.25"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</row>
    <row r="129" spans="2:26" x14ac:dyDescent="0.25"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</row>
    <row r="130" spans="2:26" x14ac:dyDescent="0.25"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</row>
    <row r="131" spans="2:26" x14ac:dyDescent="0.25"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</row>
    <row r="132" spans="2:26" x14ac:dyDescent="0.25"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</row>
    <row r="133" spans="2:26" x14ac:dyDescent="0.25"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</row>
    <row r="134" spans="2:26" x14ac:dyDescent="0.25"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</row>
    <row r="135" spans="2:26" x14ac:dyDescent="0.25"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</row>
    <row r="136" spans="2:26" x14ac:dyDescent="0.25"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</row>
    <row r="137" spans="2:26" x14ac:dyDescent="0.25"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</row>
    <row r="138" spans="2:26" x14ac:dyDescent="0.25"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</row>
    <row r="139" spans="2:26" x14ac:dyDescent="0.25"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</row>
    <row r="140" spans="2:26" x14ac:dyDescent="0.25"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</row>
    <row r="141" spans="2:26" x14ac:dyDescent="0.25"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</row>
    <row r="142" spans="2:26" x14ac:dyDescent="0.25"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</row>
    <row r="143" spans="2:26" x14ac:dyDescent="0.25"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</row>
    <row r="144" spans="2:26" x14ac:dyDescent="0.25"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</row>
    <row r="145" spans="2:26" x14ac:dyDescent="0.25"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</row>
    <row r="146" spans="2:26" x14ac:dyDescent="0.25"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</row>
    <row r="147" spans="2:26" x14ac:dyDescent="0.25"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</row>
    <row r="148" spans="2:26" x14ac:dyDescent="0.25"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</row>
    <row r="149" spans="2:26" x14ac:dyDescent="0.25"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</row>
    <row r="150" spans="2:26" x14ac:dyDescent="0.25"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</row>
    <row r="151" spans="2:26" x14ac:dyDescent="0.25"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</row>
    <row r="152" spans="2:26" x14ac:dyDescent="0.25"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</row>
    <row r="153" spans="2:26" x14ac:dyDescent="0.25"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</row>
    <row r="154" spans="2:26" x14ac:dyDescent="0.25"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</row>
    <row r="155" spans="2:26" x14ac:dyDescent="0.25"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</row>
    <row r="156" spans="2:26" x14ac:dyDescent="0.25"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</row>
    <row r="157" spans="2:26" x14ac:dyDescent="0.25"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</row>
    <row r="158" spans="2:26" x14ac:dyDescent="0.25"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</row>
    <row r="159" spans="2:26" x14ac:dyDescent="0.25"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</row>
  </sheetData>
  <mergeCells count="3">
    <mergeCell ref="B1:C5"/>
    <mergeCell ref="D1:U4"/>
    <mergeCell ref="D5:U5"/>
  </mergeCells>
  <conditionalFormatting sqref="G12:G30 G35 G37:G85">
    <cfRule type="expression" dxfId="0" priority="1">
      <formula>+G12=0</formula>
    </cfRule>
  </conditionalFormatting>
  <pageMargins left="0.25" right="0.25" top="0.75" bottom="0.75" header="0.3" footer="0.3"/>
  <pageSetup paperSize="3" scale="69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9</vt:i4>
      </vt:variant>
      <vt:variant>
        <vt:lpstr>Benoemde bereiken</vt:lpstr>
      </vt:variant>
      <vt:variant>
        <vt:i4>5</vt:i4>
      </vt:variant>
    </vt:vector>
  </HeadingPairs>
  <TitlesOfParts>
    <vt:vector size="14" baseType="lpstr">
      <vt:lpstr>Feuil1</vt:lpstr>
      <vt:lpstr>PROCÉDURE</vt:lpstr>
      <vt:lpstr>POSTE</vt:lpstr>
      <vt:lpstr>CONGÉ</vt:lpstr>
      <vt:lpstr>CUM</vt:lpstr>
      <vt:lpstr>DATA</vt:lpstr>
      <vt:lpstr>LISTE</vt:lpstr>
      <vt:lpstr>TCD DETAIL</vt:lpstr>
      <vt:lpstr>TCD DETAIL CAPACITÉ TOT</vt:lpstr>
      <vt:lpstr>'TCD DETAIL'!Afdrukbereik</vt:lpstr>
      <vt:lpstr>'TCD DETAIL CAPACITÉ TOT'!Afdrukbereik</vt:lpstr>
      <vt:lpstr>'TCD DETAIL'!Afdruktitels</vt:lpstr>
      <vt:lpstr>'TCD DETAIL CAPACITÉ TOT'!Afdruktitels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Carle</dc:creator>
  <cp:lastModifiedBy>BSA</cp:lastModifiedBy>
  <cp:lastPrinted>2025-03-26T12:58:05Z</cp:lastPrinted>
  <dcterms:created xsi:type="dcterms:W3CDTF">2021-06-08T01:48:42Z</dcterms:created>
  <dcterms:modified xsi:type="dcterms:W3CDTF">2025-04-07T19:11:50Z</dcterms:modified>
</cp:coreProperties>
</file>