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2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47AEBFB-8C42-4E2F-88EB-7D5A8AACD4BE}" xr6:coauthVersionLast="47" xr6:coauthVersionMax="47" xr10:uidLastSave="{00000000-0000-0000-0000-000000000000}"/>
  <bookViews>
    <workbookView xWindow="28680" yWindow="-120" windowWidth="29040" windowHeight="15990" activeTab="3" xr2:uid="{00000000-000D-0000-FFFF-FFFF00000000}"/>
  </bookViews>
  <sheets>
    <sheet name="Sheet1" sheetId="1" r:id="rId1"/>
    <sheet name="formation- travail" sheetId="4" r:id="rId2"/>
    <sheet name="Listes" sheetId="2" r:id="rId3"/>
    <sheet name="Sheet1 (2)" sheetId="3" r:id="rId4"/>
  </sheets>
  <functionGroups builtInGroupCount="19"/>
  <externalReferences>
    <externalReference r:id="rId5"/>
  </externalReferences>
  <definedNames>
    <definedName name="Assign">t_BDD8[Attrib]</definedName>
    <definedName name="Attrib">t_BDD8[Attrib]</definedName>
    <definedName name="Dummy">'Sheet1 (2)'!#REF!</definedName>
    <definedName name="Grade">t_BDD8[grade]</definedName>
    <definedName name="negatif">'Sheet1 (2)'!$Q$10</definedName>
    <definedName name="nombre_Trop">'Sheet1 (2)'!$AB$30</definedName>
    <definedName name="penalites">'Sheet1 (2)'!$Q$8</definedName>
    <definedName name="Points">'Sheet1 (2)'!$Q$9</definedName>
    <definedName name="somme_Trop">'Sheet1 (2)'!$AB$29</definedName>
    <definedName name="t48_grades">Tableau48[Possibilité des villes]</definedName>
    <definedName name="Ville1">t_BDD8[choix ville 1]</definedName>
    <definedName name="Ville2">t_BDD8[choix ville 2]</definedName>
    <definedName name="Ville3">t_BDD8[choix ville 3]</definedName>
    <definedName name="XXX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2" i="3" l="1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190" i="3"/>
  <c r="Q191" i="3"/>
  <c r="Q192" i="3"/>
  <c r="Q193" i="3"/>
  <c r="Q194" i="3"/>
  <c r="Q195" i="3"/>
  <c r="Q196" i="3"/>
  <c r="Q197" i="3"/>
  <c r="Q198" i="3"/>
  <c r="Q199" i="3"/>
  <c r="Q200" i="3"/>
  <c r="Q201" i="3"/>
  <c r="AB39" i="3"/>
  <c r="AB40" i="3"/>
  <c r="AB41" i="3"/>
  <c r="AB42" i="3"/>
  <c r="AP20" i="3"/>
  <c r="AP26" i="3"/>
  <c r="AP34" i="3"/>
  <c r="AO20" i="3"/>
  <c r="AO26" i="3"/>
  <c r="AO34" i="3"/>
  <c r="AN20" i="3"/>
  <c r="AN26" i="3"/>
  <c r="AN34" i="3"/>
  <c r="AM20" i="3"/>
  <c r="AM26" i="3"/>
  <c r="AM34" i="3"/>
  <c r="AL20" i="3"/>
  <c r="AL26" i="3"/>
  <c r="AL34" i="3"/>
  <c r="AK20" i="3"/>
  <c r="AK26" i="3"/>
  <c r="AK34" i="3"/>
  <c r="AJ20" i="3"/>
  <c r="AJ26" i="3"/>
  <c r="AJ34" i="3"/>
  <c r="AI20" i="3"/>
  <c r="AI26" i="3"/>
  <c r="AI34" i="3"/>
  <c r="AH20" i="3"/>
  <c r="AH26" i="3"/>
  <c r="AH34" i="3"/>
  <c r="AG20" i="3"/>
  <c r="AG26" i="3"/>
  <c r="AG34" i="3"/>
  <c r="AF20" i="3"/>
  <c r="AF26" i="3"/>
  <c r="AF34" i="3"/>
  <c r="AE20" i="3"/>
  <c r="AE26" i="3"/>
  <c r="AE34" i="3"/>
  <c r="AD20" i="3"/>
  <c r="AD26" i="3"/>
  <c r="AD34" i="3"/>
  <c r="AC20" i="3"/>
  <c r="AC26" i="3"/>
  <c r="AC34" i="3"/>
  <c r="AB20" i="3"/>
  <c r="AB26" i="3"/>
  <c r="AB34" i="3"/>
  <c r="AP19" i="3"/>
  <c r="AP25" i="3"/>
  <c r="AP33" i="3"/>
  <c r="AO19" i="3"/>
  <c r="AO25" i="3"/>
  <c r="AO33" i="3"/>
  <c r="AN19" i="3"/>
  <c r="AN25" i="3"/>
  <c r="AN33" i="3"/>
  <c r="AM19" i="3"/>
  <c r="AM25" i="3"/>
  <c r="AM33" i="3"/>
  <c r="AL19" i="3"/>
  <c r="AL25" i="3"/>
  <c r="AL33" i="3"/>
  <c r="AK19" i="3"/>
  <c r="AK25" i="3"/>
  <c r="AK33" i="3"/>
  <c r="AJ19" i="3"/>
  <c r="AJ25" i="3"/>
  <c r="AJ33" i="3"/>
  <c r="AI19" i="3"/>
  <c r="AI25" i="3"/>
  <c r="AI33" i="3"/>
  <c r="AH19" i="3"/>
  <c r="AH25" i="3"/>
  <c r="AH33" i="3"/>
  <c r="AG19" i="3"/>
  <c r="AG25" i="3"/>
  <c r="AG33" i="3"/>
  <c r="AF19" i="3"/>
  <c r="AF25" i="3"/>
  <c r="AF33" i="3"/>
  <c r="AE19" i="3"/>
  <c r="AE25" i="3"/>
  <c r="AE33" i="3"/>
  <c r="AD19" i="3"/>
  <c r="AD25" i="3"/>
  <c r="AD33" i="3"/>
  <c r="AC19" i="3"/>
  <c r="AC25" i="3"/>
  <c r="AC33" i="3"/>
  <c r="AB19" i="3"/>
  <c r="AB25" i="3"/>
  <c r="AB33" i="3"/>
  <c r="AP18" i="3"/>
  <c r="AP24" i="3"/>
  <c r="AP32" i="3"/>
  <c r="AO18" i="3"/>
  <c r="AO24" i="3"/>
  <c r="AO32" i="3"/>
  <c r="AN18" i="3"/>
  <c r="AN24" i="3"/>
  <c r="AN32" i="3"/>
  <c r="AM18" i="3"/>
  <c r="AM24" i="3"/>
  <c r="AM32" i="3"/>
  <c r="AL18" i="3"/>
  <c r="AL24" i="3"/>
  <c r="AL32" i="3"/>
  <c r="AK18" i="3"/>
  <c r="AK24" i="3"/>
  <c r="AK32" i="3"/>
  <c r="AJ18" i="3"/>
  <c r="AJ24" i="3"/>
  <c r="AJ32" i="3"/>
  <c r="AI18" i="3"/>
  <c r="AI24" i="3"/>
  <c r="AI32" i="3"/>
  <c r="AH18" i="3"/>
  <c r="AH24" i="3"/>
  <c r="AH32" i="3"/>
  <c r="AG18" i="3"/>
  <c r="AG24" i="3"/>
  <c r="AG32" i="3"/>
  <c r="AF18" i="3"/>
  <c r="AF24" i="3"/>
  <c r="AF32" i="3"/>
  <c r="AE18" i="3"/>
  <c r="AE24" i="3"/>
  <c r="AE32" i="3"/>
  <c r="AD18" i="3"/>
  <c r="AD24" i="3"/>
  <c r="AD32" i="3"/>
  <c r="AC18" i="3"/>
  <c r="AC24" i="3"/>
  <c r="AC32" i="3"/>
  <c r="AB18" i="3"/>
  <c r="AB24" i="3"/>
  <c r="AB32" i="3"/>
  <c r="AB30" i="3"/>
  <c r="AB29" i="3"/>
  <c r="AQ24" i="3"/>
  <c r="AQ25" i="3"/>
  <c r="AQ26" i="3"/>
  <c r="AQ27" i="3"/>
  <c r="AP27" i="3"/>
  <c r="AO27" i="3"/>
  <c r="AN27" i="3"/>
  <c r="AM27" i="3"/>
  <c r="AL27" i="3"/>
  <c r="AK27" i="3"/>
  <c r="AJ27" i="3"/>
  <c r="AI27" i="3"/>
  <c r="AH27" i="3"/>
  <c r="AG27" i="3"/>
  <c r="AF27" i="3"/>
  <c r="AE27" i="3"/>
  <c r="AD27" i="3"/>
  <c r="AC27" i="3"/>
  <c r="AB27" i="3"/>
  <c r="AA27" i="3"/>
  <c r="AQ18" i="3"/>
  <c r="AQ19" i="3"/>
  <c r="AQ20" i="3"/>
  <c r="AQ21" i="3"/>
  <c r="AP21" i="3"/>
  <c r="AO21" i="3"/>
  <c r="AN21" i="3"/>
  <c r="AM21" i="3"/>
  <c r="AL21" i="3"/>
  <c r="AK21" i="3"/>
  <c r="AJ21" i="3"/>
  <c r="AI21" i="3"/>
  <c r="AH21" i="3"/>
  <c r="AG21" i="3"/>
  <c r="AF21" i="3"/>
  <c r="AE21" i="3"/>
  <c r="AD21" i="3"/>
  <c r="AC21" i="3"/>
  <c r="AB21" i="3"/>
  <c r="AA21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Q15" i="3"/>
  <c r="AP15" i="3"/>
  <c r="AO15" i="3"/>
  <c r="AN15" i="3"/>
  <c r="AM15" i="3"/>
  <c r="AL15" i="3"/>
  <c r="AK15" i="3"/>
  <c r="AJ15" i="3"/>
  <c r="AI15" i="3"/>
  <c r="AH15" i="3"/>
  <c r="AG15" i="3"/>
  <c r="AF15" i="3"/>
  <c r="AE15" i="3"/>
  <c r="AD15" i="3"/>
  <c r="AC15" i="3"/>
  <c r="AB15" i="3"/>
  <c r="AA15" i="3"/>
  <c r="P7" i="3"/>
  <c r="O7" i="3"/>
  <c r="N7" i="3"/>
  <c r="M7" i="3"/>
  <c r="L7" i="3"/>
  <c r="K7" i="3"/>
  <c r="J7" i="3"/>
  <c r="I7" i="3"/>
  <c r="H7" i="3"/>
  <c r="F7" i="3"/>
  <c r="P6" i="3"/>
  <c r="O6" i="3"/>
  <c r="N6" i="3"/>
  <c r="M6" i="3"/>
  <c r="L6" i="3"/>
  <c r="K6" i="3"/>
  <c r="J6" i="3"/>
  <c r="I6" i="3"/>
  <c r="H6" i="3"/>
  <c r="F6" i="3"/>
  <c r="P2" i="3" a="1"/>
  <c r="P2" i="3"/>
  <c r="P3" i="3" a="1"/>
  <c r="P3" i="3"/>
  <c r="P4" i="3" a="1"/>
  <c r="P4" i="3"/>
  <c r="P5" i="3"/>
  <c r="O2" i="3" a="1"/>
  <c r="O2" i="3"/>
  <c r="O3" i="3" a="1"/>
  <c r="O3" i="3"/>
  <c r="O4" i="3" a="1"/>
  <c r="O4" i="3"/>
  <c r="O5" i="3"/>
  <c r="N2" i="3" a="1"/>
  <c r="N2" i="3"/>
  <c r="N3" i="3" a="1"/>
  <c r="N3" i="3"/>
  <c r="N4" i="3" a="1"/>
  <c r="N4" i="3"/>
  <c r="N5" i="3"/>
  <c r="M2" i="3" a="1"/>
  <c r="M2" i="3"/>
  <c r="M3" i="3" a="1"/>
  <c r="M3" i="3"/>
  <c r="M4" i="3" a="1"/>
  <c r="M4" i="3"/>
  <c r="M5" i="3"/>
  <c r="L2" i="3" a="1"/>
  <c r="L2" i="3"/>
  <c r="L3" i="3" a="1"/>
  <c r="L3" i="3"/>
  <c r="L4" i="3" a="1"/>
  <c r="L4" i="3"/>
  <c r="L5" i="3"/>
  <c r="K2" i="3" a="1"/>
  <c r="K2" i="3"/>
  <c r="K3" i="3" a="1"/>
  <c r="K3" i="3"/>
  <c r="K4" i="3" a="1"/>
  <c r="K4" i="3"/>
  <c r="K5" i="3"/>
  <c r="J2" i="3" a="1"/>
  <c r="J2" i="3"/>
  <c r="J3" i="3" a="1"/>
  <c r="J3" i="3"/>
  <c r="J4" i="3" a="1"/>
  <c r="J4" i="3"/>
  <c r="J5" i="3"/>
  <c r="I2" i="3" a="1"/>
  <c r="I2" i="3"/>
  <c r="I3" i="3" a="1"/>
  <c r="I3" i="3"/>
  <c r="I4" i="3" a="1"/>
  <c r="I4" i="3"/>
  <c r="I5" i="3"/>
  <c r="H2" i="3" a="1"/>
  <c r="H2" i="3"/>
  <c r="H3" i="3" a="1"/>
  <c r="H3" i="3"/>
  <c r="H4" i="3" a="1"/>
  <c r="H4" i="3"/>
  <c r="H5" i="3"/>
  <c r="F5" i="3"/>
  <c r="F4" i="3"/>
  <c r="F3" i="3"/>
  <c r="F2" i="3"/>
  <c r="V31" i="1"/>
  <c r="V30" i="1"/>
  <c r="V29" i="1"/>
  <c r="V28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AK12" i="1"/>
  <c r="AK11" i="1"/>
  <c r="AK10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<sst xmlns="http://schemas.openxmlformats.org/spreadsheetml/2006/main" count="4627" uniqueCount="261">
  <si>
    <t>AGEN</t>
  </si>
  <si>
    <t>ANGLET</t>
  </si>
  <si>
    <t>ANNECY</t>
  </si>
  <si>
    <t>ARRAS</t>
  </si>
  <si>
    <t>BORDEAUX</t>
  </si>
  <si>
    <t>GRENOBLE</t>
  </si>
  <si>
    <t>LIMOGES</t>
  </si>
  <si>
    <t>LYON</t>
  </si>
  <si>
    <t>MARSEILLE</t>
  </si>
  <si>
    <t>NANTES</t>
  </si>
  <si>
    <t>ORLEANS</t>
  </si>
  <si>
    <t>PARIS</t>
  </si>
  <si>
    <t>THOUARS</t>
  </si>
  <si>
    <t>TOULOUSE</t>
  </si>
  <si>
    <t>TOURS</t>
  </si>
  <si>
    <t>Total</t>
  </si>
  <si>
    <t>Compagnon</t>
  </si>
  <si>
    <t xml:space="preserve"> travail</t>
  </si>
  <si>
    <t>formation</t>
  </si>
  <si>
    <t>nom</t>
  </si>
  <si>
    <t>choix ville 1</t>
  </si>
  <si>
    <t>choix ville 2</t>
  </si>
  <si>
    <t>choix ville 3</t>
  </si>
  <si>
    <t>grade</t>
  </si>
  <si>
    <t>ville 1 déjà faites</t>
  </si>
  <si>
    <t>ville 2 déjà faites</t>
  </si>
  <si>
    <t>ville 3 déjà faites</t>
  </si>
  <si>
    <t>ville 4 déjà faites</t>
  </si>
  <si>
    <t>ville 5 déjà faites</t>
  </si>
  <si>
    <t>ville 6 déjà faites</t>
  </si>
  <si>
    <t>ville 7 déjà faites</t>
  </si>
  <si>
    <t>ville 8 déjà faites</t>
  </si>
  <si>
    <t>ville attribuée</t>
  </si>
  <si>
    <t>Jeune</t>
  </si>
  <si>
    <t>Aspirant</t>
  </si>
  <si>
    <t>Grade</t>
  </si>
  <si>
    <t>Ville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</si>
  <si>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</si>
  <si>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</si>
  <si>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</si>
  <si>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</si>
  <si>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</si>
  <si>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</si>
  <si>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</si>
  <si>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</si>
  <si>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</si>
  <si>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</si>
  <si>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</si>
  <si>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</si>
  <si>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</si>
  <si>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</si>
  <si>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</si>
  <si>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</si>
  <si>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</si>
  <si>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</si>
  <si>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</si>
  <si>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</si>
  <si>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</si>
  <si>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</si>
  <si>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</si>
  <si>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</si>
  <si>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</si>
  <si>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</si>
  <si>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</si>
  <si>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</si>
  <si>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</si>
  <si>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</si>
  <si>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</si>
  <si>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</si>
  <si>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</si>
  <si>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</si>
  <si>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</si>
  <si>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</si>
  <si>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</si>
  <si>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</si>
  <si>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</si>
  <si>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</si>
  <si>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</si>
  <si>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</si>
  <si>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</si>
  <si>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</si>
  <si>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</si>
  <si>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</si>
  <si>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</si>
  <si>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</si>
  <si>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</si>
  <si>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</si>
  <si>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</si>
  <si>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</si>
  <si>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</si>
  <si>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</si>
  <si>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</si>
  <si>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</si>
  <si>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</si>
  <si>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</si>
  <si>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</si>
  <si>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</si>
  <si>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</si>
  <si>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</si>
  <si>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</si>
  <si>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</si>
  <si>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</si>
  <si>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</si>
  <si>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</si>
  <si>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</si>
  <si>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</si>
  <si>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</si>
  <si>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</si>
  <si>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</si>
  <si>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</si>
  <si>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</si>
  <si>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</si>
  <si>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</si>
  <si>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</si>
  <si>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</si>
  <si>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</si>
  <si>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</si>
  <si>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</si>
  <si>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</si>
  <si>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</si>
  <si>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</si>
  <si>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</si>
  <si>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</si>
  <si>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</si>
  <si>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</si>
  <si>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</si>
  <si>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</si>
  <si>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</si>
  <si>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</si>
  <si>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</si>
  <si>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</si>
  <si>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</si>
  <si>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</si>
  <si>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</si>
  <si>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</si>
  <si>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</si>
  <si>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</si>
  <si>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</si>
  <si>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</si>
  <si>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</si>
  <si>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</si>
  <si>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</si>
  <si>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</si>
  <si>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</si>
  <si>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</si>
  <si>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</si>
  <si>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</si>
  <si>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</si>
  <si>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</si>
  <si>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</si>
  <si>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</si>
  <si>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</si>
  <si>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</si>
  <si>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</si>
  <si>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</si>
  <si>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</si>
  <si>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</si>
  <si>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</si>
  <si>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</si>
  <si>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</si>
  <si>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</si>
  <si>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</si>
  <si>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</si>
  <si>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</si>
  <si>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</si>
  <si>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</si>
  <si>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</si>
  <si>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</si>
  <si>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</si>
  <si>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</si>
  <si>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</si>
  <si>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</si>
  <si>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</si>
  <si>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</si>
  <si>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</si>
  <si>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</si>
  <si>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</si>
  <si>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</si>
  <si>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</si>
  <si>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</si>
  <si>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</si>
  <si>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</si>
  <si>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</si>
  <si>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</si>
  <si>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</si>
  <si>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</si>
  <si>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</si>
  <si>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Nom151</t>
  </si>
  <si>
    <t>Nom152</t>
  </si>
  <si>
    <t>Nom153</t>
  </si>
  <si>
    <t>Nom154</t>
  </si>
  <si>
    <t>Nom155</t>
  </si>
  <si>
    <t>Nom156</t>
  </si>
  <si>
    <t>Nom157</t>
  </si>
  <si>
    <t>Nom158</t>
  </si>
  <si>
    <t>Nom159</t>
  </si>
  <si>
    <t>Nom160</t>
  </si>
  <si>
    <t>Nom161</t>
  </si>
  <si>
    <t>Nom162</t>
  </si>
  <si>
    <t>Nom163</t>
  </si>
  <si>
    <t>Nom164</t>
  </si>
  <si>
    <t>Nom165</t>
  </si>
  <si>
    <t>Nom166</t>
  </si>
  <si>
    <t>Nom167</t>
  </si>
  <si>
    <t>Nom168</t>
  </si>
  <si>
    <t>Nom169</t>
  </si>
  <si>
    <t>Nom170</t>
  </si>
  <si>
    <t>Nom171</t>
  </si>
  <si>
    <t>Nom172</t>
  </si>
  <si>
    <t>Nom173</t>
  </si>
  <si>
    <t>Nom174</t>
  </si>
  <si>
    <t>Nom175</t>
  </si>
  <si>
    <t>Nom176</t>
  </si>
  <si>
    <t>Nom177</t>
  </si>
  <si>
    <t>Nom178</t>
  </si>
  <si>
    <t>Nom179</t>
  </si>
  <si>
    <t>Nom180</t>
  </si>
  <si>
    <t>Nom181</t>
  </si>
  <si>
    <t>Nom182</t>
  </si>
  <si>
    <t>Nom183</t>
  </si>
  <si>
    <t>Nom184</t>
  </si>
  <si>
    <t>Nom185</t>
  </si>
  <si>
    <t>Nom186</t>
  </si>
  <si>
    <t>Nom187</t>
  </si>
  <si>
    <t>Nom188</t>
  </si>
  <si>
    <t>Nom189</t>
  </si>
  <si>
    <t>Nom190</t>
  </si>
  <si>
    <t>COMPAGNON</t>
  </si>
  <si>
    <t>ASPIRANT</t>
  </si>
  <si>
    <t>JEUNE</t>
  </si>
  <si>
    <t>Souhait des</t>
  </si>
  <si>
    <t>Nombre placés</t>
  </si>
  <si>
    <t>Nombre d'itinérants</t>
  </si>
  <si>
    <t>Nombre</t>
  </si>
  <si>
    <t>CAP</t>
  </si>
  <si>
    <t>TP</t>
  </si>
  <si>
    <t>BP</t>
  </si>
  <si>
    <t>CDS</t>
  </si>
  <si>
    <t>X</t>
  </si>
  <si>
    <t>POSSIBILITÉ   FORMATION</t>
  </si>
  <si>
    <t>CHARPENTE TRADI</t>
  </si>
  <si>
    <t>CHARPENTE INDUSTRIELLE</t>
  </si>
  <si>
    <t>COUVERTURE</t>
  </si>
  <si>
    <t>MONUMENT HISTORIQUE</t>
  </si>
  <si>
    <t>ESCALIER</t>
  </si>
  <si>
    <t>CHARPENTE LAMELLÉ-COLLÉ</t>
  </si>
  <si>
    <t>POSSIBILITÉ TRAVAIL</t>
  </si>
  <si>
    <t>MAISON OSSATURE BOIS</t>
  </si>
  <si>
    <t>Possibilité des villes</t>
  </si>
  <si>
    <t>somme_Trop</t>
  </si>
  <si>
    <t>nombre_Trop</t>
  </si>
  <si>
    <t>(rien)</t>
  </si>
  <si>
    <t>Nombre possible</t>
  </si>
  <si>
    <t>points nég</t>
  </si>
  <si>
    <t>total</t>
  </si>
  <si>
    <t>choix1</t>
  </si>
  <si>
    <t>choix2</t>
  </si>
  <si>
    <t>choix3</t>
  </si>
  <si>
    <t>autres</t>
  </si>
  <si>
    <t>rien</t>
  </si>
  <si>
    <t>Attrib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</si>
</sst>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495057"/>
      <name val="Arial"/>
      <family val="2"/>
    </font>
    <font>
      <b/>
      <sz val="14"/>
      <color rgb="FFFF0000"/>
      <name val="Arial"/>
      <family val="2"/>
    </font>
    <font>
      <b/>
      <sz val="14"/>
      <color rgb="FFFFFF0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7" fillId="0" borderId="2" xfId="0" applyFont="1" applyBorder="1"/>
    <xf numFmtId="0" fontId="7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8" borderId="7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8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 wrapText="1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11" fillId="9" borderId="13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wrapText="1"/>
    </xf>
    <xf numFmtId="0" fontId="11" fillId="9" borderId="14" xfId="0" applyFont="1" applyFill="1" applyBorder="1" applyAlignment="1">
      <alignment horizontal="center"/>
    </xf>
    <xf numFmtId="0" fontId="11" fillId="9" borderId="15" xfId="0" applyFont="1" applyFill="1" applyBorder="1" applyAlignment="1">
      <alignment horizontal="center" wrapText="1"/>
    </xf>
    <xf numFmtId="0" fontId="10" fillId="9" borderId="12" xfId="0" applyFont="1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12" fillId="0" borderId="0" xfId="0" applyFont="1"/>
    <xf numFmtId="0" fontId="0" fillId="11" borderId="1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1" xfId="0" applyFill="1" applyBorder="1"/>
    <xf numFmtId="0" fontId="7" fillId="10" borderId="2" xfId="0" applyFont="1" applyFill="1" applyBorder="1"/>
    <xf numFmtId="0" fontId="7" fillId="10" borderId="2" xfId="0" applyFont="1" applyFill="1" applyBorder="1" applyAlignment="1">
      <alignment horizontal="center" vertical="center"/>
    </xf>
    <xf numFmtId="0" fontId="0" fillId="11" borderId="3" xfId="0" applyFill="1" applyBorder="1"/>
    <xf numFmtId="0" fontId="13" fillId="0" borderId="0" xfId="0" applyFont="1"/>
    <xf numFmtId="0" fontId="10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2" xfId="0" applyBorder="1"/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</cellXfs>
  <cellStyles count="2">
    <cellStyle name="Procent" xfId="1" builtinId="5"/>
    <cellStyle name="Standaard" xfId="0" builtinId="0"/>
  </cellStyles>
  <dxfs count="341">
    <dxf>
      <fill>
        <patternFill>
          <bgColor theme="5" tint="0.59996337778862885"/>
        </patternFill>
      </fill>
    </dxf>
    <dxf>
      <fill>
        <patternFill>
          <bgColor rgb="FF71AE48"/>
        </patternFill>
      </fill>
    </dxf>
    <dxf>
      <fill>
        <patternFill>
          <bgColor rgb="FFA2CD85"/>
        </patternFill>
      </fill>
    </dxf>
    <dxf>
      <fill>
        <patternFill>
          <bgColor rgb="FFD4E8C6"/>
        </patternFill>
      </fill>
    </dxf>
    <dxf>
      <fill>
        <patternFill>
          <bgColor rgb="FFFF66CC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ill>
        <patternFill patternType="none">
          <fgColor rgb="FF000000"/>
          <bgColor auto="1"/>
        </patternFill>
      </fill>
    </dxf>
    <dxf>
      <border outline="0">
        <bottom style="thin">
          <color rgb="FF9BC2E6"/>
        </bottom>
      </border>
    </dxf>
    <dxf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495057"/>
        <name val="Arial"/>
        <family val="2"/>
        <scheme val="none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495057"/>
        <name val="Arial"/>
        <family val="2"/>
        <scheme val="none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D4E8C6"/>
      <color rgb="FFA2CD85"/>
      <color rgb="FF71AE48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228600</xdr:colOff>
          <xdr:row>0</xdr:row>
          <xdr:rowOff>285750</xdr:rowOff>
        </xdr:from>
        <xdr:to>
          <xdr:col>19</xdr:col>
          <xdr:colOff>85725</xdr:colOff>
          <xdr:row>4</xdr:row>
          <xdr:rowOff>95250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12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367393</xdr:colOff>
      <xdr:row>6</xdr:row>
      <xdr:rowOff>149679</xdr:rowOff>
    </xdr:from>
    <xdr:to>
      <xdr:col>37</xdr:col>
      <xdr:colOff>381000</xdr:colOff>
      <xdr:row>14</xdr:row>
      <xdr:rowOff>122464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C55F090-E64B-4A8C-9256-4A033BABCA76}"/>
            </a:ext>
          </a:extLst>
        </xdr:cNvPr>
        <xdr:cNvSpPr/>
      </xdr:nvSpPr>
      <xdr:spPr>
        <a:xfrm>
          <a:off x="28456618" y="1883229"/>
          <a:ext cx="18987407" cy="1496785"/>
        </a:xfrm>
        <a:prstGeom prst="roundRect">
          <a:avLst/>
        </a:prstGeom>
        <a:noFill/>
        <a:ln w="38100">
          <a:solidFill>
            <a:schemeClr val="accent6"/>
          </a:solidFill>
          <a:prstDash val="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1047751</xdr:colOff>
      <xdr:row>5</xdr:row>
      <xdr:rowOff>54427</xdr:rowOff>
    </xdr:from>
    <xdr:to>
      <xdr:col>4</xdr:col>
      <xdr:colOff>1143001</xdr:colOff>
      <xdr:row>8</xdr:row>
      <xdr:rowOff>149677</xdr:rowOff>
    </xdr:to>
    <xdr:sp macro="[0]!Boucl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509F9D3-F621-351D-8B82-735F16EA3B79}"/>
            </a:ext>
          </a:extLst>
        </xdr:cNvPr>
        <xdr:cNvSpPr/>
      </xdr:nvSpPr>
      <xdr:spPr>
        <a:xfrm>
          <a:off x="4299858" y="1319891"/>
          <a:ext cx="1551214" cy="81642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3600"/>
            <a:t>macro</a:t>
          </a:r>
        </a:p>
      </xdr:txBody>
    </xdr:sp>
    <xdr:clientData/>
  </xdr:twoCellAnchor>
  <xdr:twoCellAnchor>
    <xdr:from>
      <xdr:col>0</xdr:col>
      <xdr:colOff>68036</xdr:colOff>
      <xdr:row>4</xdr:row>
      <xdr:rowOff>176894</xdr:rowOff>
    </xdr:from>
    <xdr:to>
      <xdr:col>1</xdr:col>
      <xdr:colOff>285750</xdr:colOff>
      <xdr:row>8</xdr:row>
      <xdr:rowOff>0</xdr:rowOff>
    </xdr:to>
    <xdr:sp macro="[0]!RAZ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C43C7EEE-7415-19B0-D29A-B0E1F85C3B80}"/>
            </a:ext>
          </a:extLst>
        </xdr:cNvPr>
        <xdr:cNvSpPr/>
      </xdr:nvSpPr>
      <xdr:spPr>
        <a:xfrm>
          <a:off x="68036" y="748394"/>
          <a:ext cx="1061357" cy="73478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3200"/>
            <a:t>RAZ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_GOUDEMAND\Downloads\TABLEAU%20DE%20REPARTITION%20DES%20VILLES%20%20V1.0.xlsm" TargetMode="External"/><Relationship Id="rId1" Type="http://schemas.openxmlformats.org/officeDocument/2006/relationships/externalLinkPath" Target="/Users/O_GOUDEMAND/Downloads/TABLEAU%20DE%20REPARTITION%20DES%20VILLES%20%20V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Listes"/>
      <sheetName val="TABLEAU DE REPARTITION DES VILL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AF64C1F-F1ED-4263-8815-9878DACD3BE6}" name="t_BDD" displayName="t_BDD" ref="A1:P191" totalsRowShown="0" headerRowDxfId="340" dataDxfId="339" tableBorderDxfId="338">
  <autoFilter ref="A1:P191" xr:uid="{FAF64C1F-F1ED-4263-8815-9878DACD3BE6}"/>
  <tableColumns count="16">
    <tableColumn id="1" xr3:uid="{028913B9-6BF8-42FF-9A3C-050A794EADAA}" name="nom" dataDxfId="337"/>
    <tableColumn id="2" xr3:uid="{6BD4DABC-15F2-4F42-83DB-3E1F2CD39485}" name="grade" dataDxfId="336"/>
    <tableColumn id="3" xr3:uid="{DAB3D443-EF5D-4516-9B34-90313A23A85D}" name="choix ville 1" dataDxfId="335"/>
    <tableColumn id="4" xr3:uid="{519C420B-B2DA-4B7D-B9FA-6911D637E2ED}" name="choix ville 2" dataDxfId="334"/>
    <tableColumn id="5" xr3:uid="{F4876EF1-0B9F-48A7-8360-F3F36E94928C}" name="choix ville 3" dataDxfId="333"/>
    <tableColumn id="6" xr3:uid="{E7A63A24-930E-463B-A000-6D75047351D7}" name="formation" dataDxfId="332"/>
    <tableColumn id="7" xr3:uid="{02EBE473-AAE3-4ED0-89CD-D05F974A3EE6}" name=" travail" dataDxfId="331"/>
    <tableColumn id="8" xr3:uid="{760F4AA6-0082-437D-A5BD-6DA321AFC43F}" name="ville 1 déjà faites" dataDxfId="330"/>
    <tableColumn id="9" xr3:uid="{33D63868-5D7C-4598-A3FD-850D456254C1}" name="ville 2 déjà faites" dataDxfId="329"/>
    <tableColumn id="10" xr3:uid="{C04D5ECA-2549-40CC-992B-09AC90DC77A3}" name="ville 3 déjà faites" dataDxfId="328"/>
    <tableColumn id="11" xr3:uid="{DDB4C274-3C29-4135-A146-7F704643557F}" name="ville 4 déjà faites" dataDxfId="327"/>
    <tableColumn id="12" xr3:uid="{5A399F0D-AD28-4699-A278-C0D0F99B9621}" name="ville 5 déjà faites" dataDxfId="326"/>
    <tableColumn id="13" xr3:uid="{2F47F5A8-4659-4CC3-AAC6-F2A17A76A47B}" name="ville 6 déjà faites" dataDxfId="325"/>
    <tableColumn id="14" xr3:uid="{508ED9DC-4EDB-4FD0-A0B0-46AD1E77A527}" name="ville 7 déjà faites" dataDxfId="324"/>
    <tableColumn id="15" xr3:uid="{FE3CEC7C-F14C-409E-A23E-AC11E2AA32C8}" name="ville 8 déjà faites" dataDxfId="323"/>
    <tableColumn id="16" xr3:uid="{E62F1907-2548-43ED-9D67-D934BF65FD28}" name="ville attribuée" dataDxfId="3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7DE9C76-01BE-4FD0-936F-652136E88CB5}" name="Tableau4" displayName="Tableau4" ref="U1:AK5" totalsRowCount="1" headerRowDxfId="321" dataDxfId="320">
  <autoFilter ref="U1:AK4" xr:uid="{57DE9C76-01BE-4FD0-936F-652136E88CB5}"/>
  <tableColumns count="17">
    <tableColumn id="1" xr3:uid="{64C5A816-EE78-41AC-A6CC-C0B0891DCE4B}" name="Souhait des" totalsRowFunction="custom">
      <totalsRowFormula>"Total: "&amp;SUM(Tableau4[[#Totals],[AGEN]:[TOURS]])</totalsRowFormula>
    </tableColumn>
    <tableColumn id="2" xr3:uid="{5B40AEEB-F261-4DF4-B63A-0B1E0ED3A378}" name="AGEN" totalsRowFunction="sum" dataDxfId="319" totalsRowDxfId="318">
      <calculatedColumnFormula>SUMPRODUCT((t_BDD[[grade]:[grade]]=$U2)*(t_BDD[[choix ville 1]:[choix ville 3]]=V$1)*1)</calculatedColumnFormula>
    </tableColumn>
    <tableColumn id="3" xr3:uid="{6A0D76DF-2D23-4DD5-8192-E279E6549572}" name="ANGLET" totalsRowFunction="sum" dataDxfId="317" totalsRowDxfId="316">
      <calculatedColumnFormula>SUMPRODUCT((t_BDD[[grade]:[grade]]=$U2)*(t_BDD[[choix ville 1]:[choix ville 3]]=W$1)*1)</calculatedColumnFormula>
    </tableColumn>
    <tableColumn id="4" xr3:uid="{9AE38927-2591-421C-80DF-99818B582EA2}" name="ANNECY" totalsRowFunction="sum" dataDxfId="315" totalsRowDxfId="314">
      <calculatedColumnFormula>SUMPRODUCT((t_BDD[[grade]:[grade]]=$U2)*(t_BDD[[choix ville 1]:[choix ville 3]]=X$1)*1)</calculatedColumnFormula>
    </tableColumn>
    <tableColumn id="5" xr3:uid="{28389C85-27D3-4854-9638-A024BB057B6E}" name="ARRAS" totalsRowFunction="sum" dataDxfId="313" totalsRowDxfId="312">
      <calculatedColumnFormula>SUMPRODUCT((t_BDD[[grade]:[grade]]=$U2)*(t_BDD[[choix ville 1]:[choix ville 3]]=Y$1)*1)</calculatedColumnFormula>
    </tableColumn>
    <tableColumn id="6" xr3:uid="{8426D967-C18D-48D2-BD4E-9E7AE4C48802}" name="BORDEAUX" totalsRowFunction="sum" dataDxfId="311" totalsRowDxfId="310">
      <calculatedColumnFormula>SUMPRODUCT((t_BDD[[grade]:[grade]]=$U2)*(t_BDD[[choix ville 1]:[choix ville 3]]=Z$1)*1)</calculatedColumnFormula>
    </tableColumn>
    <tableColumn id="7" xr3:uid="{9CF91D11-E1E6-46C8-A396-E1CC50BAD1BF}" name="GRENOBLE" totalsRowFunction="sum" dataDxfId="309" totalsRowDxfId="308">
      <calculatedColumnFormula>SUMPRODUCT((t_BDD[[grade]:[grade]]=$U2)*(t_BDD[[choix ville 1]:[choix ville 3]]=AA$1)*1)</calculatedColumnFormula>
    </tableColumn>
    <tableColumn id="8" xr3:uid="{2EBB4CD9-8474-4477-ADEF-E439F9DFB3A2}" name="LIMOGES" totalsRowFunction="sum" dataDxfId="307" totalsRowDxfId="306">
      <calculatedColumnFormula>SUMPRODUCT((t_BDD[[grade]:[grade]]=$U2)*(t_BDD[[choix ville 1]:[choix ville 3]]=AB$1)*1)</calculatedColumnFormula>
    </tableColumn>
    <tableColumn id="9" xr3:uid="{5CF6E49E-63F5-434E-ABCE-8522BD452CAE}" name="LYON" totalsRowFunction="sum" dataDxfId="305" totalsRowDxfId="304">
      <calculatedColumnFormula>SUMPRODUCT((t_BDD[[grade]:[grade]]=$U2)*(t_BDD[[choix ville 1]:[choix ville 3]]=AC$1)*1)</calculatedColumnFormula>
    </tableColumn>
    <tableColumn id="10" xr3:uid="{F22BCB47-8288-48FC-856A-D27DD03717DD}" name="MARSEILLE" totalsRowFunction="sum" dataDxfId="303" totalsRowDxfId="302">
      <calculatedColumnFormula>SUMPRODUCT((t_BDD[[grade]:[grade]]=$U2)*(t_BDD[[choix ville 1]:[choix ville 3]]=AD$1)*1)</calculatedColumnFormula>
    </tableColumn>
    <tableColumn id="11" xr3:uid="{40A00D41-3EF3-4106-BC33-EB06BADD67D5}" name="NANTES" totalsRowFunction="sum" dataDxfId="301" totalsRowDxfId="300">
      <calculatedColumnFormula>SUMPRODUCT((t_BDD[[grade]:[grade]]=$U2)*(t_BDD[[choix ville 1]:[choix ville 3]]=AE$1)*1)</calculatedColumnFormula>
    </tableColumn>
    <tableColumn id="12" xr3:uid="{6417F495-2C60-4C0A-88C1-F9117FC3962A}" name="ORLEANS" totalsRowFunction="sum" dataDxfId="299" totalsRowDxfId="298">
      <calculatedColumnFormula>SUMPRODUCT((t_BDD[[grade]:[grade]]=$U2)*(t_BDD[[choix ville 1]:[choix ville 3]]=AF$1)*1)</calculatedColumnFormula>
    </tableColumn>
    <tableColumn id="13" xr3:uid="{816ACFED-7C91-411D-8686-2280C2D321B5}" name="PARIS" totalsRowFunction="sum" dataDxfId="297" totalsRowDxfId="296">
      <calculatedColumnFormula>SUMPRODUCT((t_BDD[[grade]:[grade]]=$U2)*(t_BDD[[choix ville 1]:[choix ville 3]]=AG$1)*1)</calculatedColumnFormula>
    </tableColumn>
    <tableColumn id="14" xr3:uid="{6F545C0E-F8A4-477F-9ACA-E4E2F04EDC70}" name="THOUARS" totalsRowFunction="sum" dataDxfId="295" totalsRowDxfId="294">
      <calculatedColumnFormula>SUMPRODUCT((t_BDD[[grade]:[grade]]=$U2)*(t_BDD[[choix ville 1]:[choix ville 3]]=AH$1)*1)</calculatedColumnFormula>
    </tableColumn>
    <tableColumn id="15" xr3:uid="{F3C4A981-D269-4F22-A100-54585BE15FDF}" name="TOULOUSE" totalsRowFunction="sum" dataDxfId="293" totalsRowDxfId="292">
      <calculatedColumnFormula>SUMPRODUCT((t_BDD[[grade]:[grade]]=$U2)*(t_BDD[[choix ville 1]:[choix ville 3]]=AI$1)*1)</calculatedColumnFormula>
    </tableColumn>
    <tableColumn id="16" xr3:uid="{3D4615D7-2259-4CAC-BB70-5EE27465199B}" name="TOURS" totalsRowFunction="sum" dataDxfId="291" totalsRowDxfId="290">
      <calculatedColumnFormula>SUMPRODUCT((t_BDD[[grade]:[grade]]=$U2)*(t_BDD[[choix ville 1]:[choix ville 3]]=AJ$1)*1)</calculatedColumnFormula>
    </tableColumn>
    <tableColumn id="17" xr3:uid="{60A20C0C-311B-4998-8A0E-4C0253020489}" name="Total" totalsRowFunction="sum" dataDxfId="289" totalsRowDxfId="288">
      <calculatedColumnFormula>SUM(Tableau4[[#This Row],[AGEN]:[TOURS]])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40F5BD6-D620-4807-9C80-314D1371C3EA}" name="Tableau46" displayName="Tableau46" ref="U20:AK24" totalsRowCount="1" headerRowDxfId="287" dataDxfId="286">
  <autoFilter ref="U20:AK23" xr:uid="{F40F5BD6-D620-4807-9C80-314D1371C3EA}"/>
  <tableColumns count="17">
    <tableColumn id="1" xr3:uid="{A40750B6-6EBA-45D4-866C-5363F126C84D}" name="Nombre placés" totalsRowFunction="custom">
      <totalsRowFormula>"Total: "&amp;SUM(Tableau46[[#Totals],[AGEN]:[TOURS]])</totalsRowFormula>
    </tableColumn>
    <tableColumn id="2" xr3:uid="{80E297BA-AA80-48E9-9E51-DDB644E69607}" name="AGEN" totalsRowFunction="sum" dataDxfId="285" totalsRowDxfId="284">
      <calculatedColumnFormula>SUMPRODUCT((t_BDD[[grade]:[grade]]=$U21)*(t_BDD[[ville attribuée]:[ville attribuée]]=V$1)*1)</calculatedColumnFormula>
    </tableColumn>
    <tableColumn id="3" xr3:uid="{35A7CCEB-7B5F-4514-9047-0CE94EFCBD03}" name="ANGLET" totalsRowFunction="sum" dataDxfId="283" totalsRowDxfId="282">
      <calculatedColumnFormula>SUMPRODUCT((t_BDD[[grade]:[grade]]=$U21)*(t_BDD[[ville attribuée]:[ville attribuée]]=W$1)*1)</calculatedColumnFormula>
    </tableColumn>
    <tableColumn id="4" xr3:uid="{D2C6EFDD-744B-41CC-9471-565013AC66D8}" name="ANNECY" totalsRowFunction="sum" dataDxfId="281" totalsRowDxfId="280">
      <calculatedColumnFormula>SUMPRODUCT((t_BDD[[grade]:[grade]]=$U21)*(t_BDD[[ville attribuée]:[ville attribuée]]=X$1)*1)</calculatedColumnFormula>
    </tableColumn>
    <tableColumn id="5" xr3:uid="{4682A783-5358-439B-9616-65862D384A42}" name="ARRAS" totalsRowFunction="sum" dataDxfId="279" totalsRowDxfId="278">
      <calculatedColumnFormula>SUMPRODUCT((t_BDD[[grade]:[grade]]=$U21)*(t_BDD[[ville attribuée]:[ville attribuée]]=Y$1)*1)</calculatedColumnFormula>
    </tableColumn>
    <tableColumn id="6" xr3:uid="{93369F44-BF19-4755-88FE-0C46129143C6}" name="BORDEAUX" totalsRowFunction="sum" dataDxfId="277" totalsRowDxfId="276">
      <calculatedColumnFormula>SUMPRODUCT((t_BDD[[grade]:[grade]]=$U21)*(t_BDD[[ville attribuée]:[ville attribuée]]=Z$1)*1)</calculatedColumnFormula>
    </tableColumn>
    <tableColumn id="7" xr3:uid="{BBF402CB-7DED-4A0E-845B-4765B0ABA547}" name="GRENOBLE" totalsRowFunction="sum" dataDxfId="275" totalsRowDxfId="274">
      <calculatedColumnFormula>SUMPRODUCT((t_BDD[[grade]:[grade]]=$U21)*(t_BDD[[ville attribuée]:[ville attribuée]]=AA$1)*1)</calculatedColumnFormula>
    </tableColumn>
    <tableColumn id="8" xr3:uid="{00074469-D19D-4D22-A9AC-624571DC7C5F}" name="LIMOGES" totalsRowFunction="sum" dataDxfId="273" totalsRowDxfId="272">
      <calculatedColumnFormula>SUMPRODUCT((t_BDD[[grade]:[grade]]=$U21)*(t_BDD[[ville attribuée]:[ville attribuée]]=AB$1)*1)</calculatedColumnFormula>
    </tableColumn>
    <tableColumn id="9" xr3:uid="{B6D8B99B-DA9E-4D51-A47C-F051DB2E3A76}" name="LYON" totalsRowFunction="sum" dataDxfId="271" totalsRowDxfId="270">
      <calculatedColumnFormula>SUMPRODUCT((t_BDD[[grade]:[grade]]=$U21)*(t_BDD[[ville attribuée]:[ville attribuée]]=AC$1)*1)</calculatedColumnFormula>
    </tableColumn>
    <tableColumn id="10" xr3:uid="{304F608C-923F-434E-9543-433C022A998E}" name="MARSEILLE" totalsRowFunction="sum" dataDxfId="269" totalsRowDxfId="268">
      <calculatedColumnFormula>SUMPRODUCT((t_BDD[[grade]:[grade]]=$U21)*(t_BDD[[ville attribuée]:[ville attribuée]]=AD$1)*1)</calculatedColumnFormula>
    </tableColumn>
    <tableColumn id="11" xr3:uid="{13EC15B4-18F4-4A63-8765-FA59C19D4C59}" name="NANTES" totalsRowFunction="sum" dataDxfId="267" totalsRowDxfId="266">
      <calculatedColumnFormula>SUMPRODUCT((t_BDD[[grade]:[grade]]=$U21)*(t_BDD[[ville attribuée]:[ville attribuée]]=AE$1)*1)</calculatedColumnFormula>
    </tableColumn>
    <tableColumn id="12" xr3:uid="{9748E793-9D2B-46C3-A3A7-1922699989E2}" name="ORLEANS" totalsRowFunction="sum" dataDxfId="265" totalsRowDxfId="264">
      <calculatedColumnFormula>SUMPRODUCT((t_BDD[[grade]:[grade]]=$U21)*(t_BDD[[ville attribuée]:[ville attribuée]]=AF$1)*1)</calculatedColumnFormula>
    </tableColumn>
    <tableColumn id="13" xr3:uid="{2670586A-629A-4AED-8C6F-B6C46DF40A26}" name="PARIS" totalsRowFunction="sum" dataDxfId="263" totalsRowDxfId="262">
      <calculatedColumnFormula>SUMPRODUCT((t_BDD[[grade]:[grade]]=$U21)*(t_BDD[[ville attribuée]:[ville attribuée]]=AG$1)*1)</calculatedColumnFormula>
    </tableColumn>
    <tableColumn id="14" xr3:uid="{5B305636-36E3-427A-B841-1542AAD4CD9C}" name="THOUARS" totalsRowFunction="sum" dataDxfId="261" totalsRowDxfId="260">
      <calculatedColumnFormula>SUMPRODUCT((t_BDD[[grade]:[grade]]=$U21)*(t_BDD[[ville attribuée]:[ville attribuée]]=AH$1)*1)</calculatedColumnFormula>
    </tableColumn>
    <tableColumn id="15" xr3:uid="{430805A1-1FA0-4837-94B3-9CB380B213F2}" name="TOULOUSE" totalsRowFunction="sum" dataDxfId="259" totalsRowDxfId="258">
      <calculatedColumnFormula>SUMPRODUCT((t_BDD[[grade]:[grade]]=$U21)*(t_BDD[[ville attribuée]:[ville attribuée]]=AI$1)*1)</calculatedColumnFormula>
    </tableColumn>
    <tableColumn id="16" xr3:uid="{698B813C-507B-4001-AD68-ABE20DF5CDCD}" name="TOURS" totalsRowFunction="sum" dataDxfId="257" totalsRowDxfId="256">
      <calculatedColumnFormula>SUMPRODUCT((t_BDD[[grade]:[grade]]=$U21)*(t_BDD[[ville attribuée]:[ville attribuée]]=AJ$1)*1)</calculatedColumnFormula>
    </tableColumn>
    <tableColumn id="17" xr3:uid="{E40B9A49-8D54-4949-8D93-4F8DD7423395}" name="Total" totalsRowFunction="sum" dataDxfId="255" totalsRowDxfId="254">
      <calculatedColumnFormula>SUM(Tableau46[[#This Row],[AGEN]:[TOURS]])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096E7E7-5E7C-48E1-8176-FAECB0ADF3CD}" name="Tableau6" displayName="Tableau6" ref="U27:V31" totalsRowCount="1" headerRowDxfId="253" dataDxfId="251" headerRowBorderDxfId="252" tableBorderDxfId="250" totalsRowBorderDxfId="249">
  <autoFilter ref="U27:V30" xr:uid="{4096E7E7-5E7C-48E1-8176-FAECB0ADF3CD}"/>
  <tableColumns count="2">
    <tableColumn id="1" xr3:uid="{E6C364A4-B59E-4747-9064-4F617F1A0CE8}" name="Nombre d'itinérants" totalsRowLabel="Total" dataDxfId="248" totalsRowDxfId="247"/>
    <tableColumn id="2" xr3:uid="{66DBF950-A56A-4D92-835C-DD354F3E019C}" name="Nombre" totalsRowFunction="sum" dataDxfId="246" totalsRowDxfId="245">
      <calculatedColumnFormula>COUNTIF(t_BDD[grade],U28)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1495B98-51B2-437D-A77D-187538EE5EFA}" name="Tableau48" displayName="Tableau48" ref="U9:AK13" totalsRowCount="1" headerRowDxfId="244" dataDxfId="243">
  <autoFilter ref="U9:AK12" xr:uid="{71495B98-51B2-437D-A77D-187538EE5EFA}"/>
  <tableColumns count="17">
    <tableColumn id="1" xr3:uid="{A4A83D0E-0124-481F-949F-4884281CAF91}" name="Possibilité des villes" totalsRowFunction="custom">
      <totalsRowFormula>"Total: "&amp;SUM(Tableau48[[#Totals],[AGEN]:[TOURS]])</totalsRowFormula>
    </tableColumn>
    <tableColumn id="2" xr3:uid="{AC165ABD-D766-42BD-8579-524CB8612AF3}" name="AGEN" totalsRowFunction="sum" dataDxfId="242" totalsRowDxfId="241"/>
    <tableColumn id="3" xr3:uid="{27500BD7-93D2-441E-BBE4-0BB7140E4D88}" name="ANGLET" totalsRowFunction="sum" dataDxfId="240" totalsRowDxfId="239"/>
    <tableColumn id="4" xr3:uid="{67D1E313-F2C9-49C6-879A-6898E2239323}" name="ANNECY" totalsRowFunction="sum" dataDxfId="238" totalsRowDxfId="237"/>
    <tableColumn id="5" xr3:uid="{32B68F00-43E3-42B4-B204-EB03B97BA934}" name="ARRAS" totalsRowFunction="sum" dataDxfId="236" totalsRowDxfId="235"/>
    <tableColumn id="6" xr3:uid="{93EA2C5D-45CD-4A60-AAE1-2EC203C192C3}" name="BORDEAUX" totalsRowFunction="sum" dataDxfId="234" totalsRowDxfId="233"/>
    <tableColumn id="7" xr3:uid="{748BF46A-6B27-46C9-94F2-FB0880EEA5EC}" name="GRENOBLE" totalsRowFunction="sum" dataDxfId="232" totalsRowDxfId="231"/>
    <tableColumn id="8" xr3:uid="{71AB11A8-0BF8-4329-B25A-73C468E42718}" name="LIMOGES" totalsRowFunction="sum" dataDxfId="230" totalsRowDxfId="229"/>
    <tableColumn id="9" xr3:uid="{B5F3DFB7-AB14-4984-88E5-A059FBAC1EDB}" name="LYON" totalsRowFunction="sum" dataDxfId="228" totalsRowDxfId="227"/>
    <tableColumn id="10" xr3:uid="{1F384214-12CB-4099-A130-D16F98A0DCCF}" name="MARSEILLE" totalsRowFunction="sum" dataDxfId="226" totalsRowDxfId="225"/>
    <tableColumn id="11" xr3:uid="{6C8A6F85-AE1A-432C-A1CA-F9B8C985A2F6}" name="NANTES" totalsRowFunction="sum" dataDxfId="224" totalsRowDxfId="223"/>
    <tableColumn id="12" xr3:uid="{308771EB-A29D-4615-8CCB-344CE3F15BA5}" name="ORLEANS" totalsRowFunction="sum" dataDxfId="222" totalsRowDxfId="221"/>
    <tableColumn id="13" xr3:uid="{0F995558-23CD-4F36-906D-1927211AE0AC}" name="PARIS" totalsRowFunction="sum" dataDxfId="220" totalsRowDxfId="219"/>
    <tableColumn id="14" xr3:uid="{F315A387-10CC-4943-9B65-64457A291262}" name="THOUARS" totalsRowFunction="sum" dataDxfId="218" totalsRowDxfId="217"/>
    <tableColumn id="15" xr3:uid="{E1821A73-4198-4F7A-BE86-B0F7E977EBC1}" name="TOULOUSE" totalsRowFunction="sum" dataDxfId="216" totalsRowDxfId="215"/>
    <tableColumn id="16" xr3:uid="{DA9D6922-F1F5-4B67-B146-BFD53F58FA56}" name="TOURS" totalsRowFunction="sum" dataDxfId="214" totalsRowDxfId="213"/>
    <tableColumn id="17" xr3:uid="{D3032B03-2A9B-464E-B83D-BE70D0E0B035}" name="Total" totalsRowFunction="sum" dataDxfId="212" totalsRowDxfId="211">
      <calculatedColumnFormula>SUM(Tableau48[[#This Row],[AGEN]:[TOURS]])</calculatedColumnFormula>
    </tableColumn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33035AB-75EB-4F16-B8DB-5539B4DA86DD}" name="t_Villes13" displayName="t_Villes13" ref="A3:L18" totalsRowShown="0" headerRowDxfId="210" dataDxfId="209">
  <autoFilter ref="A3:L18" xr:uid="{933035AB-75EB-4F16-B8DB-5539B4DA86DD}"/>
  <tableColumns count="12">
    <tableColumn id="1" xr3:uid="{A12FCEFB-3868-4393-9042-C59E25EEBA4B}" name="Ville" dataDxfId="208"/>
    <tableColumn id="2" xr3:uid="{01FC5172-3DD9-4DCF-8662-ECE7FD09D718}" name="CAP" dataDxfId="207"/>
    <tableColumn id="3" xr3:uid="{60D46C23-CA5C-4DA1-883A-627B734C644D}" name="TP" dataDxfId="206"/>
    <tableColumn id="4" xr3:uid="{E6D54414-B986-41CD-80B2-F21DEA93E8DA}" name="BP" dataDxfId="205"/>
    <tableColumn id="5" xr3:uid="{B45E63CC-BBB3-495E-B85D-157523EF18BD}" name="CDS" dataDxfId="204"/>
    <tableColumn id="6" xr3:uid="{6CE55962-02D6-4898-81C9-64EFA46CDEF0}" name="CHARPENTE TRADI" dataDxfId="203"/>
    <tableColumn id="7" xr3:uid="{C2AC9E5A-8D3A-418E-AC39-D3FC69E3B951}" name="CHARPENTE INDUSTRIELLE" dataDxfId="202"/>
    <tableColumn id="8" xr3:uid="{F9283C9C-6E50-4E93-B309-774D842A58AE}" name="CHARPENTE LAMELLÉ-COLLÉ" dataDxfId="201"/>
    <tableColumn id="9" xr3:uid="{CDDE7CBC-6E10-4925-8BAF-C7AAB811475B}" name="COUVERTURE" dataDxfId="200"/>
    <tableColumn id="10" xr3:uid="{C434CD43-6BF6-481E-B5BD-4C664F421053}" name="MONUMENT HISTORIQUE" dataDxfId="199"/>
    <tableColumn id="11" xr3:uid="{5F9F6310-929C-4FFD-926D-2B3475ED2663}" name="ESCALIER" dataDxfId="198"/>
    <tableColumn id="12" xr3:uid="{4EA58DF8-6BED-4FF2-B3D8-BC6D4DF342E6}" name="MAISON OSSATURE BOIS" dataDxfId="19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19C5F4-CAD7-403C-811F-FE460830945B}" name="t_Villes" displayName="t_Villes" ref="A2:A18" totalsRowShown="0" headerRowDxfId="196" dataDxfId="195">
  <autoFilter ref="A2:A18" xr:uid="{A119C5F4-CAD7-403C-811F-FE460830945B}"/>
  <tableColumns count="1">
    <tableColumn id="1" xr3:uid="{27657E68-A0BA-43FC-B154-137F13BFCE5C}" name="Ville" dataDxfId="19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E71F7F-39CC-484E-8F3B-76EB3B511DF6}" name="t_Grades" displayName="t_Grades" ref="C2:C5" totalsRowShown="0" headerRowDxfId="193" dataDxfId="192">
  <autoFilter ref="C2:C5" xr:uid="{60E71F7F-39CC-484E-8F3B-76EB3B511DF6}"/>
  <tableColumns count="1">
    <tableColumn id="1" xr3:uid="{C3161800-A64D-426A-8780-1EFB4A35A0EC}" name="Grade" dataDxfId="19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FCC3DD5-D60C-4756-B2DC-9F3266097B44}" name="t_BDD8" displayName="t_BDD8" ref="A11:Q201" totalsRowShown="0" headerRowDxfId="190" dataDxfId="189" tableBorderDxfId="188">
  <autoFilter ref="A11:Q201" xr:uid="{DFCC3DD5-D60C-4756-B2DC-9F3266097B44}"/>
  <tableColumns count="17">
    <tableColumn id="1" xr3:uid="{69505886-AA1F-4B40-87A6-86E15168DFF8}" name="nom" dataDxfId="187"/>
    <tableColumn id="2" xr3:uid="{B3E9CD0F-706B-462F-A116-EC3FD227724C}" name="grade" dataDxfId="186"/>
    <tableColumn id="3" xr3:uid="{E552B6EE-4655-4F98-9CF0-F1DBCDDD0F21}" name="choix ville 1" dataDxfId="185"/>
    <tableColumn id="4" xr3:uid="{6792142A-2E51-4A2C-8493-5796E7E9D3AE}" name="choix ville 2" dataDxfId="184"/>
    <tableColumn id="5" xr3:uid="{D9189F32-1A26-4A9D-9E93-BD1262F2CCDB}" name="choix ville 3" dataDxfId="183"/>
    <tableColumn id="6" xr3:uid="{A51F2735-FE9A-48D3-A34B-0A2560EBC7D6}" name="formation" dataDxfId="182"/>
    <tableColumn id="7" xr3:uid="{CD9A27BF-89C6-442F-8A53-8BA9E99C51A9}" name=" travail" dataDxfId="181"/>
    <tableColumn id="8" xr3:uid="{25D4F92D-68B5-428A-93B0-311F4B0C1E2E}" name="ville 1 déjà faites" dataDxfId="180"/>
    <tableColumn id="9" xr3:uid="{BAAAE023-48E4-4BD2-80E0-A614AF564E2F}" name="ville 2 déjà faites" dataDxfId="179"/>
    <tableColumn id="10" xr3:uid="{5FC2C5D4-C26E-481F-A7B6-6D6E754F920B}" name="ville 3 déjà faites" dataDxfId="178"/>
    <tableColumn id="11" xr3:uid="{24DF0E62-B363-49FE-8006-7DE3EBE08380}" name="ville 4 déjà faites" dataDxfId="177"/>
    <tableColumn id="12" xr3:uid="{696636D9-AD1B-49D7-865D-30FF50ABD5F1}" name="ville 5 déjà faites" dataDxfId="176"/>
    <tableColumn id="13" xr3:uid="{812D1C20-6CF9-4F87-84DE-2AF85A76A33D}" name="ville 6 déjà faites" dataDxfId="175"/>
    <tableColumn id="14" xr3:uid="{7078D5F3-E29E-4E3E-A11E-1A6F981F9434}" name="ville 7 déjà faites" dataDxfId="174"/>
    <tableColumn id="15" xr3:uid="{68C53967-CA0F-420E-B97A-2D3D166C971C}" name="ville 8 déjà faites" dataDxfId="173"/>
    <tableColumn id="16" xr3:uid="{12CE60CD-0FB4-4A43-9490-0881B015E0E7}" name="Attrib" dataDxfId="172"/>
    <tableColumn id="17" xr3:uid="{EB7B789F-79D7-4878-9E93-9F67B15081D5}" name="points nég" dataDxfId="171">
      <calculatedColumnFormula>-100*(COUNTIF(t_BDD8[[#This Row],[ville 1 déjà faites]:[ville 8 déjà faites]],t_BDD8[[#This Row],[Attrib]]))*(t_BDD8[[#This Row],[Attrib]]&lt;&gt;"(rien)")-(t_BDD8[[#This Row],[Attrib]]="(rien)")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6306645-CE76-49BD-B685-B70890D9298B}" name="Tableau49" displayName="Tableau49" ref="AA11:AQ15" totalsRowCount="1" headerRowDxfId="170" dataDxfId="169">
  <autoFilter ref="AA11:AQ14" xr:uid="{57DE9C76-01BE-4FD0-936F-652136E88CB5}"/>
  <tableColumns count="17">
    <tableColumn id="1" xr3:uid="{987F97A0-E06D-4C1B-B941-4DCDC671C33B}" name="Souhait des" totalsRowFunction="custom">
      <totalsRowFormula>"Total: "&amp;SUM(Tableau49[[#Totals],[AGEN]:[TOURS]])</totalsRowFormula>
    </tableColumn>
    <tableColumn id="2" xr3:uid="{C8CADE25-AC40-48E3-BEB3-FBEFA94767CF}" name="AGEN" totalsRowFunction="sum" dataDxfId="168" totalsRowDxfId="167">
      <calculatedColumnFormula>SUMPRODUCT((t_BDD8[[grade]:[grade]]=$AA12)*(t_BDD8[[choix ville 1]:[choix ville 3]]=AB$11)*1)</calculatedColumnFormula>
    </tableColumn>
    <tableColumn id="3" xr3:uid="{73A70C0B-FDAD-430B-A9D6-050A5BD42552}" name="ANGLET" totalsRowFunction="sum" dataDxfId="166" totalsRowDxfId="165">
      <calculatedColumnFormula>SUMPRODUCT((t_BDD8[[grade]:[grade]]=$AA12)*(t_BDD8[[choix ville 1]:[choix ville 3]]=AC$11)*1)</calculatedColumnFormula>
    </tableColumn>
    <tableColumn id="4" xr3:uid="{BDD3F046-94FB-4878-A0DA-10DDDAF7EE29}" name="ANNECY" totalsRowFunction="sum" dataDxfId="164" totalsRowDxfId="163">
      <calculatedColumnFormula>SUMPRODUCT((t_BDD8[[grade]:[grade]]=$AA12)*(t_BDD8[[choix ville 1]:[choix ville 3]]=AD$11)*1)</calculatedColumnFormula>
    </tableColumn>
    <tableColumn id="5" xr3:uid="{F8B835D5-1720-43D8-A397-A59AC5F74B9A}" name="ARRAS" totalsRowFunction="sum" dataDxfId="162" totalsRowDxfId="161">
      <calculatedColumnFormula>SUMPRODUCT((t_BDD8[[grade]:[grade]]=$AA12)*(t_BDD8[[choix ville 1]:[choix ville 3]]=AE$11)*1)</calculatedColumnFormula>
    </tableColumn>
    <tableColumn id="6" xr3:uid="{64230162-D27E-4D6D-9F2C-D90BF94F1CAC}" name="BORDEAUX" totalsRowFunction="sum" dataDxfId="160" totalsRowDxfId="159">
      <calculatedColumnFormula>SUMPRODUCT((t_BDD8[[grade]:[grade]]=$AA12)*(t_BDD8[[choix ville 1]:[choix ville 3]]=AF$11)*1)</calculatedColumnFormula>
    </tableColumn>
    <tableColumn id="7" xr3:uid="{F5559B61-761B-4D1A-95B2-F09B54E0670C}" name="GRENOBLE" totalsRowFunction="sum" dataDxfId="158" totalsRowDxfId="157">
      <calculatedColumnFormula>SUMPRODUCT((t_BDD8[[grade]:[grade]]=$AA12)*(t_BDD8[[choix ville 1]:[choix ville 3]]=AG$11)*1)</calculatedColumnFormula>
    </tableColumn>
    <tableColumn id="8" xr3:uid="{4D265EB0-4F60-4002-AB32-9D07DEDD7AD9}" name="LIMOGES" totalsRowFunction="sum" dataDxfId="156" totalsRowDxfId="155">
      <calculatedColumnFormula>SUMPRODUCT((t_BDD8[[grade]:[grade]]=$AA12)*(t_BDD8[[choix ville 1]:[choix ville 3]]=AH$11)*1)</calculatedColumnFormula>
    </tableColumn>
    <tableColumn id="9" xr3:uid="{23FC3277-9F58-4AEF-AE8F-51277D7507A5}" name="LYON" totalsRowFunction="sum" dataDxfId="154" totalsRowDxfId="153">
      <calculatedColumnFormula>SUMPRODUCT((t_BDD8[[grade]:[grade]]=$AA12)*(t_BDD8[[choix ville 1]:[choix ville 3]]=AI$11)*1)</calculatedColumnFormula>
    </tableColumn>
    <tableColumn id="10" xr3:uid="{909AD3E1-7F56-4A69-809D-81B3462B9E25}" name="MARSEILLE" totalsRowFunction="sum" dataDxfId="152" totalsRowDxfId="151">
      <calculatedColumnFormula>SUMPRODUCT((t_BDD8[[grade]:[grade]]=$AA12)*(t_BDD8[[choix ville 1]:[choix ville 3]]=AJ$11)*1)</calculatedColumnFormula>
    </tableColumn>
    <tableColumn id="11" xr3:uid="{1F0FE875-3773-4558-A779-9778E1007BAD}" name="NANTES" totalsRowFunction="sum" dataDxfId="150" totalsRowDxfId="149">
      <calculatedColumnFormula>SUMPRODUCT((t_BDD8[[grade]:[grade]]=$AA12)*(t_BDD8[[choix ville 1]:[choix ville 3]]=AK$11)*1)</calculatedColumnFormula>
    </tableColumn>
    <tableColumn id="12" xr3:uid="{5E004118-BE9B-41E9-83FB-DEB4A10A7C56}" name="ORLEANS" totalsRowFunction="sum" dataDxfId="148" totalsRowDxfId="147">
      <calculatedColumnFormula>SUMPRODUCT((t_BDD8[[grade]:[grade]]=$AA12)*(t_BDD8[[choix ville 1]:[choix ville 3]]=AL$11)*1)</calculatedColumnFormula>
    </tableColumn>
    <tableColumn id="13" xr3:uid="{B04C6DDB-6415-4F7B-9179-8533A159E2B7}" name="PARIS" totalsRowFunction="sum" dataDxfId="146" totalsRowDxfId="145">
      <calculatedColumnFormula>SUMPRODUCT((t_BDD8[[grade]:[grade]]=$AA12)*(t_BDD8[[choix ville 1]:[choix ville 3]]=AM$11)*1)</calculatedColumnFormula>
    </tableColumn>
    <tableColumn id="14" xr3:uid="{3FA5D59D-8382-419C-9BA0-B60FBA517BA8}" name="THOUARS" totalsRowFunction="sum" dataDxfId="144" totalsRowDxfId="143">
      <calculatedColumnFormula>SUMPRODUCT((t_BDD8[[grade]:[grade]]=$AA12)*(t_BDD8[[choix ville 1]:[choix ville 3]]=AN$11)*1)</calculatedColumnFormula>
    </tableColumn>
    <tableColumn id="15" xr3:uid="{DD845ADC-5F83-4864-AD37-6687C1AFEAD6}" name="TOULOUSE" totalsRowFunction="sum" dataDxfId="142" totalsRowDxfId="141">
      <calculatedColumnFormula>SUMPRODUCT((t_BDD8[[grade]:[grade]]=$AA12)*(t_BDD8[[choix ville 1]:[choix ville 3]]=AO$11)*1)</calculatedColumnFormula>
    </tableColumn>
    <tableColumn id="16" xr3:uid="{23710729-6821-4B18-9033-9B91C6BCCDC1}" name="TOURS" totalsRowFunction="sum" dataDxfId="140" totalsRowDxfId="139">
      <calculatedColumnFormula>SUMPRODUCT((t_BDD8[[grade]:[grade]]=$AA12)*(t_BDD8[[choix ville 1]:[choix ville 3]]=AP$11)*1)</calculatedColumnFormula>
    </tableColumn>
    <tableColumn id="17" xr3:uid="{FBF6A2D8-3CCA-4ED6-AA20-9A6CF66E35B1}" name="Total" totalsRowFunction="sum" dataDxfId="138" totalsRowDxfId="137">
      <calculatedColumnFormula>SUM(Tableau49[[#This Row],[AGEN]:[TOURS]])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0CD78CF-D004-4C45-93B2-8C56EACDE713}" name="Tableau4610" displayName="Tableau4610" ref="AA17:AQ21" totalsRowCount="1" headerRowDxfId="136" dataDxfId="135">
  <autoFilter ref="AA17:AQ20" xr:uid="{F40F5BD6-D620-4807-9C80-314D1371C3EA}"/>
  <tableColumns count="17">
    <tableColumn id="1" xr3:uid="{9596063A-5F0A-4EB4-8FA3-27F82C9ACE68}" name="Nombre placés" totalsRowFunction="custom">
      <totalsRowFormula>"Total: "&amp;SUM(Tableau4610[[#Totals],[AGEN]:[TOURS]])</totalsRowFormula>
    </tableColumn>
    <tableColumn id="2" xr3:uid="{7D7627EC-1879-4AE6-9D7E-8F373E222032}" name="AGEN" totalsRowFunction="sum" dataDxfId="134" totalsRowDxfId="133">
      <calculatedColumnFormula>SUMPRODUCT((t_BDD8[[grade]:[grade]]=$AA18)*(t_BDD8[[Attrib]:[Attrib]]=AB$11)*1)</calculatedColumnFormula>
    </tableColumn>
    <tableColumn id="3" xr3:uid="{D0105C5E-AC42-40CF-86D6-5145D80959C7}" name="ANGLET" totalsRowFunction="sum" dataDxfId="132" totalsRowDxfId="131">
      <calculatedColumnFormula>SUMPRODUCT((t_BDD8[[grade]:[grade]]=$AA18)*(t_BDD8[[Attrib]:[Attrib]]=AC$11)*1)</calculatedColumnFormula>
    </tableColumn>
    <tableColumn id="4" xr3:uid="{FAC4B29A-26AA-463A-A649-F90C4EAF2924}" name="ANNECY" totalsRowFunction="sum" dataDxfId="130" totalsRowDxfId="129">
      <calculatedColumnFormula>SUMPRODUCT((t_BDD8[[grade]:[grade]]=$AA18)*(t_BDD8[[Attrib]:[Attrib]]=AD$11)*1)</calculatedColumnFormula>
    </tableColumn>
    <tableColumn id="5" xr3:uid="{1044F328-26A1-4B57-829C-CE9EE0C15167}" name="ARRAS" totalsRowFunction="sum" dataDxfId="128" totalsRowDxfId="127">
      <calculatedColumnFormula>SUMPRODUCT((t_BDD8[[grade]:[grade]]=$AA18)*(t_BDD8[[Attrib]:[Attrib]]=AE$11)*1)</calculatedColumnFormula>
    </tableColumn>
    <tableColumn id="6" xr3:uid="{44D6D2EE-4BA1-42C1-843E-D44A723E25B7}" name="BORDEAUX" totalsRowFunction="sum" dataDxfId="126" totalsRowDxfId="125">
      <calculatedColumnFormula>SUMPRODUCT((t_BDD8[[grade]:[grade]]=$AA18)*(t_BDD8[[Attrib]:[Attrib]]=AF$11)*1)</calculatedColumnFormula>
    </tableColumn>
    <tableColumn id="7" xr3:uid="{3F0327F9-FF85-4493-8024-25B1C006F147}" name="GRENOBLE" totalsRowFunction="sum" dataDxfId="124" totalsRowDxfId="123">
      <calculatedColumnFormula>SUMPRODUCT((t_BDD8[[grade]:[grade]]=$AA18)*(t_BDD8[[Attrib]:[Attrib]]=AG$11)*1)</calculatedColumnFormula>
    </tableColumn>
    <tableColumn id="8" xr3:uid="{203F4BE5-55DE-4613-AE03-7EAA31A6F5FC}" name="LIMOGES" totalsRowFunction="sum" dataDxfId="122" totalsRowDxfId="121">
      <calculatedColumnFormula>SUMPRODUCT((t_BDD8[[grade]:[grade]]=$AA18)*(t_BDD8[[Attrib]:[Attrib]]=AH$11)*1)</calculatedColumnFormula>
    </tableColumn>
    <tableColumn id="9" xr3:uid="{6DF705C6-0089-4C19-8B59-E1359EA5F9D2}" name="LYON" totalsRowFunction="sum" dataDxfId="120" totalsRowDxfId="119">
      <calculatedColumnFormula>SUMPRODUCT((t_BDD8[[grade]:[grade]]=$AA18)*(t_BDD8[[Attrib]:[Attrib]]=AI$11)*1)</calculatedColumnFormula>
    </tableColumn>
    <tableColumn id="10" xr3:uid="{DE9B5E54-8BB7-46AD-A558-80F8F5242399}" name="MARSEILLE" totalsRowFunction="sum" dataDxfId="118" totalsRowDxfId="117">
      <calculatedColumnFormula>SUMPRODUCT((t_BDD8[[grade]:[grade]]=$AA18)*(t_BDD8[[Attrib]:[Attrib]]=AJ$11)*1)</calculatedColumnFormula>
    </tableColumn>
    <tableColumn id="11" xr3:uid="{0242CAEA-09B2-447A-9E37-9E9B07D9A8DA}" name="NANTES" totalsRowFunction="sum" dataDxfId="116" totalsRowDxfId="115">
      <calculatedColumnFormula>SUMPRODUCT((t_BDD8[[grade]:[grade]]=$AA18)*(t_BDD8[[Attrib]:[Attrib]]=AK$11)*1)</calculatedColumnFormula>
    </tableColumn>
    <tableColumn id="12" xr3:uid="{595F77E3-FA73-43CF-8271-83ED9F43EDF0}" name="ORLEANS" totalsRowFunction="sum" dataDxfId="114" totalsRowDxfId="113">
      <calculatedColumnFormula>SUMPRODUCT((t_BDD8[[grade]:[grade]]=$AA18)*(t_BDD8[[Attrib]:[Attrib]]=AL$11)*1)</calculatedColumnFormula>
    </tableColumn>
    <tableColumn id="13" xr3:uid="{5D006EFD-3FD3-4E8A-9488-7D468A2DCDEB}" name="PARIS" totalsRowFunction="sum" dataDxfId="112" totalsRowDxfId="111">
      <calculatedColumnFormula>SUMPRODUCT((t_BDD8[[grade]:[grade]]=$AA18)*(t_BDD8[[Attrib]:[Attrib]]=AM$11)*1)</calculatedColumnFormula>
    </tableColumn>
    <tableColumn id="14" xr3:uid="{13CA44B0-FCE2-4945-8AC8-FF6FF3DCC909}" name="THOUARS" totalsRowFunction="sum" dataDxfId="110" totalsRowDxfId="109">
      <calculatedColumnFormula>SUMPRODUCT((t_BDD8[[grade]:[grade]]=$AA18)*(t_BDD8[[Attrib]:[Attrib]]=AN$11)*1)</calculatedColumnFormula>
    </tableColumn>
    <tableColumn id="15" xr3:uid="{5BB3A116-78E1-4CCD-BDA4-03E390AD2EA3}" name="TOULOUSE" totalsRowFunction="sum" dataDxfId="108" totalsRowDxfId="107">
      <calculatedColumnFormula>SUMPRODUCT((t_BDD8[[grade]:[grade]]=$AA18)*(t_BDD8[[Attrib]:[Attrib]]=AO$11)*1)</calculatedColumnFormula>
    </tableColumn>
    <tableColumn id="16" xr3:uid="{67F89A39-B128-4815-8912-DECACEF4FAC8}" name="TOURS" totalsRowFunction="sum" dataDxfId="106" totalsRowDxfId="105">
      <calculatedColumnFormula>SUMPRODUCT((t_BDD8[[grade]:[grade]]=$AA18)*(t_BDD8[[Attrib]:[Attrib]]=AP$11)*1)</calculatedColumnFormula>
    </tableColumn>
    <tableColumn id="17" xr3:uid="{FAE0975D-691A-4359-9387-F4F1BCE09B4D}" name="Total" totalsRowFunction="sum" dataDxfId="104" totalsRowDxfId="103">
      <calculatedColumnFormula>SUM(Tableau4610[[#This Row],[AGEN]:[TOURS]])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9C5D830-7811-4B2A-965C-837F371C4949}" name="Tableau611" displayName="Tableau611" ref="AA38:AB42" totalsRowCount="1" headerRowDxfId="102" dataDxfId="100" headerRowBorderDxfId="101" tableBorderDxfId="99" totalsRowBorderDxfId="98">
  <autoFilter ref="AA38:AB41" xr:uid="{4096E7E7-5E7C-48E1-8176-FAECB0ADF3CD}"/>
  <tableColumns count="2">
    <tableColumn id="1" xr3:uid="{58C4F65A-8D18-4745-BABD-5791DED48585}" name="Nombre d'itinérants" totalsRowLabel="Total" dataDxfId="97" totalsRowDxfId="96"/>
    <tableColumn id="2" xr3:uid="{37EFADCA-23B5-4C02-A5B2-260EB71B0594}" name="Nombre" totalsRowFunction="sum" dataDxfId="95" totalsRowDxfId="94">
      <calculatedColumnFormula>COUNTIF(t_BDD8[grade],AA39)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C4E3951-B779-4C9B-8A46-958E1ECA6ABF}" name="Tableau461014" displayName="Tableau461014" ref="AA23:AQ27" totalsRowCount="1" headerRowDxfId="93" dataDxfId="92">
  <autoFilter ref="AA23:AQ26" xr:uid="{2C4E3951-B779-4C9B-8A46-958E1ECA6ABF}"/>
  <tableColumns count="17">
    <tableColumn id="1" xr3:uid="{8A69B5EE-A102-42AA-8870-CBF1C36AB9AC}" name="Nombre possible" totalsRowFunction="custom">
      <totalsRowFormula>"Total: "&amp;SUM(Tableau461014[[#Totals],[AGEN]:[TOURS]])</totalsRowFormula>
    </tableColumn>
    <tableColumn id="2" xr3:uid="{C49A3132-13F9-494A-B986-A450DDC1F282}" name="AGEN" totalsRowFunction="sum" dataDxfId="91" totalsRowDxfId="90">
      <calculatedColumnFormula>INDEX(Tableau48[],MATCH($AA24,t48_grades,0),MATCH(AB$23,Tableau48[#Headers],0))</calculatedColumnFormula>
    </tableColumn>
    <tableColumn id="3" xr3:uid="{910F00FC-59D9-4304-9B68-ADB7B2B4E86B}" name="ANGLET" totalsRowFunction="sum" dataDxfId="89" totalsRowDxfId="88">
      <calculatedColumnFormula>INDEX(Tableau48[],MATCH($AA24,t48_grades,0),MATCH(AC$23,Tableau48[#Headers],0))</calculatedColumnFormula>
    </tableColumn>
    <tableColumn id="4" xr3:uid="{CA3AC187-2D0B-4DA0-8299-608BFB5531EA}" name="ANNECY" totalsRowFunction="sum" dataDxfId="87" totalsRowDxfId="86">
      <calculatedColumnFormula>INDEX(Tableau48[],MATCH($AA24,t48_grades,0),MATCH(AD$23,Tableau48[#Headers],0))</calculatedColumnFormula>
    </tableColumn>
    <tableColumn id="5" xr3:uid="{D8784325-44FB-4CC4-99CA-7638FF0020C2}" name="ARRAS" totalsRowFunction="sum" dataDxfId="85" totalsRowDxfId="84">
      <calculatedColumnFormula>INDEX(Tableau48[],MATCH($AA24,t48_grades,0),MATCH(AE$23,Tableau48[#Headers],0))</calculatedColumnFormula>
    </tableColumn>
    <tableColumn id="6" xr3:uid="{BF9A3536-9FD1-4A8A-88D9-C6C8120EDAA6}" name="BORDEAUX" totalsRowFunction="sum" dataDxfId="83" totalsRowDxfId="82">
      <calculatedColumnFormula>INDEX(Tableau48[],MATCH($AA24,t48_grades,0),MATCH(AF$23,Tableau48[#Headers],0))</calculatedColumnFormula>
    </tableColumn>
    <tableColumn id="7" xr3:uid="{5AE3DC50-087C-4BD1-BFBA-AC5D015C2FDE}" name="GRENOBLE" totalsRowFunction="sum" dataDxfId="81" totalsRowDxfId="80">
      <calculatedColumnFormula>INDEX(Tableau48[],MATCH($AA24,t48_grades,0),MATCH(AG$23,Tableau48[#Headers],0))</calculatedColumnFormula>
    </tableColumn>
    <tableColumn id="8" xr3:uid="{4B0C8775-17A0-4521-BA7C-163B1B989871}" name="LIMOGES" totalsRowFunction="sum" dataDxfId="79" totalsRowDxfId="78">
      <calculatedColumnFormula>INDEX(Tableau48[],MATCH($AA24,t48_grades,0),MATCH(AH$23,Tableau48[#Headers],0))</calculatedColumnFormula>
    </tableColumn>
    <tableColumn id="9" xr3:uid="{8BC47219-E683-4F9D-A288-661F6A949AC9}" name="LYON" totalsRowFunction="sum" dataDxfId="77" totalsRowDxfId="76">
      <calculatedColumnFormula>INDEX(Tableau48[],MATCH($AA24,t48_grades,0),MATCH(AI$23,Tableau48[#Headers],0))</calculatedColumnFormula>
    </tableColumn>
    <tableColumn id="10" xr3:uid="{0154A91B-ED05-47B1-AD16-9654E920BF5D}" name="MARSEILLE" totalsRowFunction="sum" dataDxfId="75" totalsRowDxfId="74">
      <calculatedColumnFormula>INDEX(Tableau48[],MATCH($AA24,t48_grades,0),MATCH(AJ$23,Tableau48[#Headers],0))</calculatedColumnFormula>
    </tableColumn>
    <tableColumn id="11" xr3:uid="{DB135C32-31FA-4B6C-9325-083E172B33C1}" name="NANTES" totalsRowFunction="sum" dataDxfId="73" totalsRowDxfId="72">
      <calculatedColumnFormula>INDEX(Tableau48[],MATCH($AA24,t48_grades,0),MATCH(AK$23,Tableau48[#Headers],0))</calculatedColumnFormula>
    </tableColumn>
    <tableColumn id="12" xr3:uid="{50DBBF13-CD9A-44B1-B66F-87CFC0E77A27}" name="ORLEANS" totalsRowFunction="sum" dataDxfId="71" totalsRowDxfId="70">
      <calculatedColumnFormula>INDEX(Tableau48[],MATCH($AA24,t48_grades,0),MATCH(AL$23,Tableau48[#Headers],0))</calculatedColumnFormula>
    </tableColumn>
    <tableColumn id="13" xr3:uid="{F48E44EA-6A67-49A2-ABBB-CCE265A32D52}" name="PARIS" totalsRowFunction="sum" dataDxfId="69" totalsRowDxfId="68">
      <calculatedColumnFormula>INDEX(Tableau48[],MATCH($AA24,t48_grades,0),MATCH(AM$23,Tableau48[#Headers],0))</calculatedColumnFormula>
    </tableColumn>
    <tableColumn id="14" xr3:uid="{867FA1D1-D26C-4BD7-BE27-15C3A8037413}" name="THOUARS" totalsRowFunction="sum" dataDxfId="67" totalsRowDxfId="66">
      <calculatedColumnFormula>INDEX(Tableau48[],MATCH($AA24,t48_grades,0),MATCH(AN$23,Tableau48[#Headers],0))</calculatedColumnFormula>
    </tableColumn>
    <tableColumn id="15" xr3:uid="{158ED649-3DC1-4605-9A22-5C36561F6531}" name="TOULOUSE" totalsRowFunction="sum" dataDxfId="65" totalsRowDxfId="64">
      <calculatedColumnFormula>INDEX(Tableau48[],MATCH($AA24,t48_grades,0),MATCH(AO$23,Tableau48[#Headers],0))</calculatedColumnFormula>
    </tableColumn>
    <tableColumn id="16" xr3:uid="{C0A9D32E-A83E-4FB5-8984-DB341515D4ED}" name="TOURS" totalsRowFunction="sum" dataDxfId="63" totalsRowDxfId="62">
      <calculatedColumnFormula>INDEX(Tableau48[],MATCH($AA24,t48_grades,0),MATCH(AP$23,Tableau48[#Headers],0))</calculatedColumnFormula>
    </tableColumn>
    <tableColumn id="17" xr3:uid="{9D40AE18-C51F-4DB5-BAC8-7CC07783D908}" name="Total" totalsRowFunction="sum" dataDxfId="61" totalsRowDxfId="60">
      <calculatedColumnFormula>SUM(Tableau461014[[#This Row],[AGEN]:[TOURS]])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3532F1F-ACF2-44B0-B6CC-9F6C0A942D2D}" name="t_Trop" displayName="t_Trop" ref="AA31:AP34" totalsRowShown="0" headerRowDxfId="59" dataDxfId="57" headerRowBorderDxfId="58" tableBorderDxfId="56" totalsRowBorderDxfId="55">
  <autoFilter ref="AA31:AP34" xr:uid="{23532F1F-ACF2-44B0-B6CC-9F6C0A942D2D}"/>
  <tableColumns count="16">
    <tableColumn id="1" xr3:uid="{986DC66A-EA23-445B-A265-22EC0A3A5984}" name="Nombre placés"/>
    <tableColumn id="2" xr3:uid="{8F82F64A-8AAA-43F7-90BC-73424FC908A4}" name="AGEN" dataDxfId="54">
      <calculatedColumnFormula>MAX(0,+AB18-AB24)</calculatedColumnFormula>
    </tableColumn>
    <tableColumn id="3" xr3:uid="{98961B2B-999D-49B0-9CEF-7E3C8A7146D7}" name="ANGLET" dataDxfId="53">
      <calculatedColumnFormula>MAX(0,+AC18-AC24)</calculatedColumnFormula>
    </tableColumn>
    <tableColumn id="4" xr3:uid="{38479324-227F-4146-AC9E-71D77F22D94F}" name="ANNECY" dataDxfId="52">
      <calculatedColumnFormula>MAX(0,+AD18-AD24)</calculatedColumnFormula>
    </tableColumn>
    <tableColumn id="5" xr3:uid="{D3D6840D-08D2-4D76-9370-9961B7297682}" name="ARRAS" dataDxfId="51">
      <calculatedColumnFormula>MAX(0,+AE18-AE24)</calculatedColumnFormula>
    </tableColumn>
    <tableColumn id="6" xr3:uid="{E3FEC3D8-43BF-44D8-BDAF-22239C024F68}" name="BORDEAUX" dataDxfId="50">
      <calculatedColumnFormula>MAX(0,+AF18-AF24)</calculatedColumnFormula>
    </tableColumn>
    <tableColumn id="7" xr3:uid="{36639898-EE1C-4768-B172-D61C206BCC57}" name="GRENOBLE" dataDxfId="49">
      <calculatedColumnFormula>MAX(0,+AG18-AG24)</calculatedColumnFormula>
    </tableColumn>
    <tableColumn id="8" xr3:uid="{95AD72A1-7ACE-48A2-A88E-B60F9305A4C4}" name="LIMOGES" dataDxfId="48">
      <calculatedColumnFormula>MAX(0,+AH18-AH24)</calculatedColumnFormula>
    </tableColumn>
    <tableColumn id="9" xr3:uid="{385D1072-22F1-4C2C-AD1F-B58078F37D94}" name="LYON" dataDxfId="47">
      <calculatedColumnFormula>MAX(0,+AI18-AI24)</calculatedColumnFormula>
    </tableColumn>
    <tableColumn id="10" xr3:uid="{9A7882F9-2E37-437A-8B56-E479FCCFEB60}" name="MARSEILLE" dataDxfId="46">
      <calculatedColumnFormula>MAX(0,+AJ18-AJ24)</calculatedColumnFormula>
    </tableColumn>
    <tableColumn id="11" xr3:uid="{70870C2B-6B01-4770-A65D-06F68C860D43}" name="NANTES" dataDxfId="45">
      <calculatedColumnFormula>MAX(0,+AK18-AK24)</calculatedColumnFormula>
    </tableColumn>
    <tableColumn id="12" xr3:uid="{E394FF3E-4ACD-4C53-BF67-5A4F3E7C40DD}" name="ORLEANS" dataDxfId="44">
      <calculatedColumnFormula>MAX(0,+AL18-AL24)</calculatedColumnFormula>
    </tableColumn>
    <tableColumn id="13" xr3:uid="{20476E7E-4330-4FF4-AD30-461DF1787582}" name="PARIS" dataDxfId="43">
      <calculatedColumnFormula>MAX(0,+AM18-AM24)</calculatedColumnFormula>
    </tableColumn>
    <tableColumn id="14" xr3:uid="{355F390A-C6C8-4B1D-9755-5CA2AAF8FB3F}" name="THOUARS" dataDxfId="42">
      <calculatedColumnFormula>MAX(0,+AN18-AN24)</calculatedColumnFormula>
    </tableColumn>
    <tableColumn id="15" xr3:uid="{331479FA-2D33-4508-A7B3-7B7509F8B3A1}" name="TOULOUSE" dataDxfId="41">
      <calculatedColumnFormula>MAX(0,+AO18-AO24)</calculatedColumnFormula>
    </tableColumn>
    <tableColumn id="16" xr3:uid="{8B841E21-CAC4-4C9A-A12A-04FA52B7B570}" name="TOURS" dataDxfId="40">
      <calculatedColumnFormula>MAX(0,+AP18-AP24)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drawing" Target="../drawings/drawing1.xml"/><Relationship Id="rId7" Type="http://schemas.openxmlformats.org/officeDocument/2006/relationships/table" Target="../tables/table2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10" Type="http://schemas.openxmlformats.org/officeDocument/2006/relationships/table" Target="../tables/table5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.xml"/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213"/>
  <sheetViews>
    <sheetView showGridLines="0" topLeftCell="O1" zoomScale="70" zoomScaleNormal="70" workbookViewId="0">
      <selection activeCell="U10" sqref="U10:U12"/>
    </sheetView>
  </sheetViews>
  <sheetFormatPr defaultColWidth="9.140625" defaultRowHeight="15" x14ac:dyDescent="0.25"/>
  <cols>
    <col min="1" max="1" width="12.5703125" bestFit="1" customWidth="1"/>
    <col min="2" max="2" width="14.28515625" bestFit="1" customWidth="1"/>
    <col min="3" max="5" width="21.85546875" bestFit="1" customWidth="1"/>
    <col min="6" max="6" width="27.28515625" customWidth="1"/>
    <col min="7" max="7" width="34.28515625" customWidth="1"/>
    <col min="8" max="15" width="28" bestFit="1" customWidth="1"/>
    <col min="16" max="16" width="24" bestFit="1" customWidth="1"/>
    <col min="17" max="17" width="14.28515625" customWidth="1"/>
    <col min="18" max="18" width="13.5703125" customWidth="1"/>
    <col min="19" max="19" width="18.5703125" customWidth="1"/>
    <col min="21" max="21" width="21.42578125" bestFit="1" customWidth="1"/>
    <col min="22" max="23" width="13.28515625" style="1" bestFit="1" customWidth="1"/>
    <col min="24" max="24" width="13.42578125" style="1" bestFit="1" customWidth="1"/>
    <col min="25" max="25" width="12.28515625" style="1" bestFit="1" customWidth="1"/>
    <col min="26" max="26" width="16.28515625" style="1" bestFit="1" customWidth="1"/>
    <col min="27" max="27" width="15.7109375" style="1" bestFit="1" customWidth="1"/>
    <col min="28" max="28" width="14.28515625" style="1" bestFit="1" customWidth="1"/>
    <col min="29" max="29" width="11" style="1" bestFit="1" customWidth="1"/>
    <col min="30" max="30" width="15.7109375" style="1" bestFit="1" customWidth="1"/>
    <col min="31" max="31" width="13.42578125" style="1" bestFit="1" customWidth="1"/>
    <col min="32" max="32" width="14.42578125" style="1" bestFit="1" customWidth="1"/>
    <col min="33" max="33" width="11.42578125" style="1" bestFit="1" customWidth="1"/>
    <col min="34" max="34" width="15" style="1" bestFit="1" customWidth="1"/>
    <col min="35" max="35" width="15.7109375" style="1" bestFit="1" customWidth="1"/>
    <col min="36" max="36" width="12.42578125" style="1" bestFit="1" customWidth="1"/>
  </cols>
  <sheetData>
    <row r="1" spans="1:37" ht="37.5" customHeight="1" x14ac:dyDescent="0.25">
      <c r="A1" s="9" t="s">
        <v>19</v>
      </c>
      <c r="B1" s="10" t="s">
        <v>23</v>
      </c>
      <c r="C1" s="11" t="s">
        <v>20</v>
      </c>
      <c r="D1" s="11" t="s">
        <v>21</v>
      </c>
      <c r="E1" s="11" t="s">
        <v>22</v>
      </c>
      <c r="F1" s="12" t="s">
        <v>18</v>
      </c>
      <c r="G1" s="12" t="s">
        <v>17</v>
      </c>
      <c r="H1" s="13" t="s">
        <v>24</v>
      </c>
      <c r="I1" s="13" t="s">
        <v>25</v>
      </c>
      <c r="J1" s="13" t="s">
        <v>26</v>
      </c>
      <c r="K1" s="13" t="s">
        <v>27</v>
      </c>
      <c r="L1" s="13" t="s">
        <v>28</v>
      </c>
      <c r="M1" s="13" t="s">
        <v>29</v>
      </c>
      <c r="N1" s="13" t="s">
        <v>30</v>
      </c>
      <c r="O1" s="13" t="s">
        <v>31</v>
      </c>
      <c r="P1" s="14" t="s">
        <v>32</v>
      </c>
      <c r="Q1" s="15"/>
      <c r="R1" s="15"/>
      <c r="S1" s="15"/>
      <c r="U1" t="s">
        <v>230</v>
      </c>
      <c r="V1" s="1" t="s">
        <v>0</v>
      </c>
      <c r="W1" s="1" t="s">
        <v>1</v>
      </c>
      <c r="X1" s="1" t="s">
        <v>2</v>
      </c>
      <c r="Y1" s="1" t="s">
        <v>3</v>
      </c>
      <c r="Z1" s="1" t="s">
        <v>4</v>
      </c>
      <c r="AA1" s="1" t="s">
        <v>5</v>
      </c>
      <c r="AB1" s="1" t="s">
        <v>6</v>
      </c>
      <c r="AC1" s="1" t="s">
        <v>7</v>
      </c>
      <c r="AD1" s="1" t="s">
        <v>8</v>
      </c>
      <c r="AE1" s="1" t="s">
        <v>9</v>
      </c>
      <c r="AF1" s="1" t="s">
        <v>10</v>
      </c>
      <c r="AG1" s="1" t="s">
        <v>11</v>
      </c>
      <c r="AH1" s="1" t="s">
        <v>12</v>
      </c>
      <c r="AI1" s="1" t="s">
        <v>13</v>
      </c>
      <c r="AJ1" s="1" t="s">
        <v>14</v>
      </c>
      <c r="AK1" s="1" t="s">
        <v>15</v>
      </c>
    </row>
    <row r="2" spans="1:37" ht="20.100000000000001" customHeight="1" x14ac:dyDescent="0.25">
      <c r="A2" s="1" t="s">
        <v>37</v>
      </c>
      <c r="B2" s="1" t="s">
        <v>16</v>
      </c>
      <c r="C2" s="1" t="s">
        <v>7</v>
      </c>
      <c r="D2" s="1" t="s">
        <v>13</v>
      </c>
      <c r="E2" s="1" t="s">
        <v>2</v>
      </c>
      <c r="F2" s="1" t="s">
        <v>237</v>
      </c>
      <c r="G2" s="1" t="s">
        <v>241</v>
      </c>
      <c r="H2" s="1" t="s">
        <v>2</v>
      </c>
      <c r="I2" s="1" t="s">
        <v>5</v>
      </c>
      <c r="J2" s="1" t="s">
        <v>3</v>
      </c>
      <c r="K2" s="1" t="s">
        <v>1</v>
      </c>
      <c r="L2" s="1" t="s">
        <v>7</v>
      </c>
      <c r="M2" s="1"/>
      <c r="N2" s="1"/>
      <c r="O2" s="1"/>
      <c r="P2" s="1" t="s">
        <v>13</v>
      </c>
      <c r="Q2" s="1"/>
      <c r="R2" s="1"/>
      <c r="S2" s="1"/>
      <c r="T2" s="1"/>
      <c r="U2" t="s">
        <v>16</v>
      </c>
      <c r="V2" s="1">
        <f>SUMPRODUCT((t_BDD[[grade]:[grade]]=$U2)*(t_BDD[[choix ville 1]:[choix ville 3]]=V$1)*1)</f>
        <v>10</v>
      </c>
      <c r="W2" s="1">
        <f>SUMPRODUCT((t_BDD[[grade]:[grade]]=$U2)*(t_BDD[[choix ville 1]:[choix ville 3]]=W$1)*1)</f>
        <v>8</v>
      </c>
      <c r="X2" s="1">
        <f>SUMPRODUCT((t_BDD[[grade]:[grade]]=$U2)*(t_BDD[[choix ville 1]:[choix ville 3]]=X$1)*1)</f>
        <v>4</v>
      </c>
      <c r="Y2" s="1">
        <f>SUMPRODUCT((t_BDD[[grade]:[grade]]=$U2)*(t_BDD[[choix ville 1]:[choix ville 3]]=Y$1)*1)</f>
        <v>7</v>
      </c>
      <c r="Z2" s="1">
        <f>SUMPRODUCT((t_BDD[[grade]:[grade]]=$U2)*(t_BDD[[choix ville 1]:[choix ville 3]]=Z$1)*1)</f>
        <v>14</v>
      </c>
      <c r="AA2" s="1">
        <f>SUMPRODUCT((t_BDD[[grade]:[grade]]=$U2)*(t_BDD[[choix ville 1]:[choix ville 3]]=AA$1)*1)</f>
        <v>12</v>
      </c>
      <c r="AB2" s="1">
        <f>SUMPRODUCT((t_BDD[[grade]:[grade]]=$U2)*(t_BDD[[choix ville 1]:[choix ville 3]]=AB$1)*1)</f>
        <v>7</v>
      </c>
      <c r="AC2" s="1">
        <f>SUMPRODUCT((t_BDD[[grade]:[grade]]=$U2)*(t_BDD[[choix ville 1]:[choix ville 3]]=AC$1)*1)</f>
        <v>10</v>
      </c>
      <c r="AD2" s="1">
        <f>SUMPRODUCT((t_BDD[[grade]:[grade]]=$U2)*(t_BDD[[choix ville 1]:[choix ville 3]]=AD$1)*1)</f>
        <v>6</v>
      </c>
      <c r="AE2" s="1">
        <f>SUMPRODUCT((t_BDD[[grade]:[grade]]=$U2)*(t_BDD[[choix ville 1]:[choix ville 3]]=AE$1)*1)</f>
        <v>5</v>
      </c>
      <c r="AF2" s="1">
        <f>SUMPRODUCT((t_BDD[[grade]:[grade]]=$U2)*(t_BDD[[choix ville 1]:[choix ville 3]]=AF$1)*1)</f>
        <v>2</v>
      </c>
      <c r="AG2" s="1">
        <f>SUMPRODUCT((t_BDD[[grade]:[grade]]=$U2)*(t_BDD[[choix ville 1]:[choix ville 3]]=AG$1)*1)</f>
        <v>12</v>
      </c>
      <c r="AH2" s="1">
        <f>SUMPRODUCT((t_BDD[[grade]:[grade]]=$U2)*(t_BDD[[choix ville 1]:[choix ville 3]]=AH$1)*1)</f>
        <v>6</v>
      </c>
      <c r="AI2" s="1">
        <f>SUMPRODUCT((t_BDD[[grade]:[grade]]=$U2)*(t_BDD[[choix ville 1]:[choix ville 3]]=AI$1)*1)</f>
        <v>6</v>
      </c>
      <c r="AJ2" s="1">
        <f>SUMPRODUCT((t_BDD[[grade]:[grade]]=$U2)*(t_BDD[[choix ville 1]:[choix ville 3]]=AJ$1)*1)</f>
        <v>8</v>
      </c>
      <c r="AK2" s="1">
        <f>SUM(Tableau4[[#This Row],[AGEN]:[TOURS]])</f>
        <v>117</v>
      </c>
    </row>
    <row r="3" spans="1:37" x14ac:dyDescent="0.25">
      <c r="A3" s="1" t="s">
        <v>38</v>
      </c>
      <c r="B3" s="1" t="s">
        <v>16</v>
      </c>
      <c r="C3" s="1" t="s">
        <v>7</v>
      </c>
      <c r="D3" s="1" t="s">
        <v>7</v>
      </c>
      <c r="E3" s="1" t="s">
        <v>5</v>
      </c>
      <c r="F3" s="1" t="s">
        <v>235</v>
      </c>
      <c r="G3" s="1" t="s">
        <v>245</v>
      </c>
      <c r="H3" s="1" t="s">
        <v>5</v>
      </c>
      <c r="I3" s="1" t="s">
        <v>4</v>
      </c>
      <c r="J3" s="1" t="s">
        <v>2</v>
      </c>
      <c r="K3" s="1" t="s">
        <v>12</v>
      </c>
      <c r="L3" s="1" t="s">
        <v>0</v>
      </c>
      <c r="M3" s="1"/>
      <c r="N3" s="1"/>
      <c r="O3" s="1"/>
      <c r="P3" s="1" t="s">
        <v>7</v>
      </c>
      <c r="Q3" s="1"/>
      <c r="R3" s="1"/>
      <c r="S3" s="1"/>
      <c r="T3" s="1"/>
      <c r="U3" t="s">
        <v>34</v>
      </c>
      <c r="V3" s="1">
        <f>SUMPRODUCT((t_BDD[[grade]:[grade]]=$U3)*(t_BDD[[choix ville 1]:[choix ville 3]]=V$1)*1)</f>
        <v>12</v>
      </c>
      <c r="W3" s="1">
        <f>SUMPRODUCT((t_BDD[[grade]:[grade]]=$U3)*(t_BDD[[choix ville 1]:[choix ville 3]]=W$1)*1)</f>
        <v>8</v>
      </c>
      <c r="X3" s="1">
        <f>SUMPRODUCT((t_BDD[[grade]:[grade]]=$U3)*(t_BDD[[choix ville 1]:[choix ville 3]]=X$1)*1)</f>
        <v>9</v>
      </c>
      <c r="Y3" s="1">
        <f>SUMPRODUCT((t_BDD[[grade]:[grade]]=$U3)*(t_BDD[[choix ville 1]:[choix ville 3]]=Y$1)*1)</f>
        <v>10</v>
      </c>
      <c r="Z3" s="1">
        <f>SUMPRODUCT((t_BDD[[grade]:[grade]]=$U3)*(t_BDD[[choix ville 1]:[choix ville 3]]=Z$1)*1)</f>
        <v>7</v>
      </c>
      <c r="AA3" s="1">
        <f>SUMPRODUCT((t_BDD[[grade]:[grade]]=$U3)*(t_BDD[[choix ville 1]:[choix ville 3]]=AA$1)*1)</f>
        <v>13</v>
      </c>
      <c r="AB3" s="1">
        <f>SUMPRODUCT((t_BDD[[grade]:[grade]]=$U3)*(t_BDD[[choix ville 1]:[choix ville 3]]=AB$1)*1)</f>
        <v>10</v>
      </c>
      <c r="AC3" s="1">
        <f>SUMPRODUCT((t_BDD[[grade]:[grade]]=$U3)*(t_BDD[[choix ville 1]:[choix ville 3]]=AC$1)*1)</f>
        <v>5</v>
      </c>
      <c r="AD3" s="1">
        <f>SUMPRODUCT((t_BDD[[grade]:[grade]]=$U3)*(t_BDD[[choix ville 1]:[choix ville 3]]=AD$1)*1)</f>
        <v>11</v>
      </c>
      <c r="AE3" s="1">
        <f>SUMPRODUCT((t_BDD[[grade]:[grade]]=$U3)*(t_BDD[[choix ville 1]:[choix ville 3]]=AE$1)*1)</f>
        <v>8</v>
      </c>
      <c r="AF3" s="1">
        <f>SUMPRODUCT((t_BDD[[grade]:[grade]]=$U3)*(t_BDD[[choix ville 1]:[choix ville 3]]=AF$1)*1)</f>
        <v>8</v>
      </c>
      <c r="AG3" s="1">
        <f>SUMPRODUCT((t_BDD[[grade]:[grade]]=$U3)*(t_BDD[[choix ville 1]:[choix ville 3]]=AG$1)*1)</f>
        <v>14</v>
      </c>
      <c r="AH3" s="1">
        <f>SUMPRODUCT((t_BDD[[grade]:[grade]]=$U3)*(t_BDD[[choix ville 1]:[choix ville 3]]=AH$1)*1)</f>
        <v>6</v>
      </c>
      <c r="AI3" s="1">
        <f>SUMPRODUCT((t_BDD[[grade]:[grade]]=$U3)*(t_BDD[[choix ville 1]:[choix ville 3]]=AI$1)*1)</f>
        <v>10</v>
      </c>
      <c r="AJ3" s="1">
        <f>SUMPRODUCT((t_BDD[[grade]:[grade]]=$U3)*(t_BDD[[choix ville 1]:[choix ville 3]]=AJ$1)*1)</f>
        <v>7</v>
      </c>
      <c r="AK3" s="1">
        <f>SUM(Tableau4[[#This Row],[AGEN]:[TOURS]])</f>
        <v>138</v>
      </c>
    </row>
    <row r="4" spans="1:37" x14ac:dyDescent="0.25">
      <c r="A4" s="1" t="s">
        <v>39</v>
      </c>
      <c r="B4" s="1" t="s">
        <v>16</v>
      </c>
      <c r="C4" s="1" t="s">
        <v>4</v>
      </c>
      <c r="D4" s="1" t="s">
        <v>6</v>
      </c>
      <c r="E4" s="1" t="s">
        <v>11</v>
      </c>
      <c r="F4" s="1" t="s">
        <v>236</v>
      </c>
      <c r="G4" s="1" t="s">
        <v>241</v>
      </c>
      <c r="H4" s="1" t="s">
        <v>2</v>
      </c>
      <c r="I4" s="1" t="s">
        <v>13</v>
      </c>
      <c r="J4" s="1" t="s">
        <v>2</v>
      </c>
      <c r="K4" s="1" t="s">
        <v>0</v>
      </c>
      <c r="L4" s="1" t="s">
        <v>12</v>
      </c>
      <c r="M4" s="1"/>
      <c r="N4" s="1"/>
      <c r="O4" s="1"/>
      <c r="P4" s="1" t="s">
        <v>4</v>
      </c>
      <c r="Q4" s="1"/>
      <c r="R4" s="1"/>
      <c r="S4" s="1"/>
      <c r="T4" s="1"/>
      <c r="U4" t="s">
        <v>33</v>
      </c>
      <c r="V4" s="1">
        <f>SUMPRODUCT((t_BDD[[grade]:[grade]]=$U4)*(t_BDD[[choix ville 1]:[choix ville 3]]=V$1)*1)</f>
        <v>28</v>
      </c>
      <c r="W4" s="1">
        <f>SUMPRODUCT((t_BDD[[grade]:[grade]]=$U4)*(t_BDD[[choix ville 1]:[choix ville 3]]=W$1)*1)</f>
        <v>16</v>
      </c>
      <c r="X4" s="1">
        <f>SUMPRODUCT((t_BDD[[grade]:[grade]]=$U4)*(t_BDD[[choix ville 1]:[choix ville 3]]=X$1)*1)</f>
        <v>19</v>
      </c>
      <c r="Y4" s="1">
        <f>SUMPRODUCT((t_BDD[[grade]:[grade]]=$U4)*(t_BDD[[choix ville 1]:[choix ville 3]]=Y$1)*1)</f>
        <v>26</v>
      </c>
      <c r="Z4" s="1">
        <f>SUMPRODUCT((t_BDD[[grade]:[grade]]=$U4)*(t_BDD[[choix ville 1]:[choix ville 3]]=Z$1)*1)</f>
        <v>15</v>
      </c>
      <c r="AA4" s="1">
        <f>SUMPRODUCT((t_BDD[[grade]:[grade]]=$U4)*(t_BDD[[choix ville 1]:[choix ville 3]]=AA$1)*1)</f>
        <v>34</v>
      </c>
      <c r="AB4" s="1">
        <f>SUMPRODUCT((t_BDD[[grade]:[grade]]=$U4)*(t_BDD[[choix ville 1]:[choix ville 3]]=AB$1)*1)</f>
        <v>23</v>
      </c>
      <c r="AC4" s="1">
        <f>SUMPRODUCT((t_BDD[[grade]:[grade]]=$U4)*(t_BDD[[choix ville 1]:[choix ville 3]]=AC$1)*1)</f>
        <v>13</v>
      </c>
      <c r="AD4" s="1">
        <f>SUMPRODUCT((t_BDD[[grade]:[grade]]=$U4)*(t_BDD[[choix ville 1]:[choix ville 3]]=AD$1)*1)</f>
        <v>18</v>
      </c>
      <c r="AE4" s="1">
        <f>SUMPRODUCT((t_BDD[[grade]:[grade]]=$U4)*(t_BDD[[choix ville 1]:[choix ville 3]]=AE$1)*1)</f>
        <v>20</v>
      </c>
      <c r="AF4" s="1">
        <f>SUMPRODUCT((t_BDD[[grade]:[grade]]=$U4)*(t_BDD[[choix ville 1]:[choix ville 3]]=AF$1)*1)</f>
        <v>25</v>
      </c>
      <c r="AG4" s="1">
        <f>SUMPRODUCT((t_BDD[[grade]:[grade]]=$U4)*(t_BDD[[choix ville 1]:[choix ville 3]]=AG$1)*1)</f>
        <v>32</v>
      </c>
      <c r="AH4" s="1">
        <f>SUMPRODUCT((t_BDD[[grade]:[grade]]=$U4)*(t_BDD[[choix ville 1]:[choix ville 3]]=AH$1)*1)</f>
        <v>19</v>
      </c>
      <c r="AI4" s="1">
        <f>SUMPRODUCT((t_BDD[[grade]:[grade]]=$U4)*(t_BDD[[choix ville 1]:[choix ville 3]]=AI$1)*1)</f>
        <v>20</v>
      </c>
      <c r="AJ4" s="1">
        <f>SUMPRODUCT((t_BDD[[grade]:[grade]]=$U4)*(t_BDD[[choix ville 1]:[choix ville 3]]=AJ$1)*1)</f>
        <v>7</v>
      </c>
      <c r="AK4" s="1">
        <f>SUM(Tableau4[[#This Row],[AGEN]:[TOURS]])</f>
        <v>315</v>
      </c>
    </row>
    <row r="5" spans="1:37" x14ac:dyDescent="0.25">
      <c r="A5" s="1" t="s">
        <v>40</v>
      </c>
      <c r="B5" s="1" t="s">
        <v>16</v>
      </c>
      <c r="C5" s="1" t="s">
        <v>4</v>
      </c>
      <c r="D5" s="1" t="s">
        <v>5</v>
      </c>
      <c r="E5" s="1" t="s">
        <v>3</v>
      </c>
      <c r="F5" s="1"/>
      <c r="G5" s="1" t="s">
        <v>240</v>
      </c>
      <c r="H5" s="1" t="s">
        <v>5</v>
      </c>
      <c r="I5" s="1" t="s">
        <v>2</v>
      </c>
      <c r="J5" s="1" t="s">
        <v>0</v>
      </c>
      <c r="K5" s="1" t="s">
        <v>12</v>
      </c>
      <c r="L5" s="1" t="s">
        <v>1</v>
      </c>
      <c r="M5" s="1"/>
      <c r="N5" s="1"/>
      <c r="O5" s="1"/>
      <c r="P5" s="1" t="s">
        <v>4</v>
      </c>
      <c r="Q5" s="1"/>
      <c r="R5" s="1"/>
      <c r="S5" s="1"/>
      <c r="T5" s="1"/>
      <c r="U5" t="str">
        <f>"Total: "&amp;SUM(Tableau4[[#Totals],[AGEN]:[TOURS]])</f>
        <v>Total: 570</v>
      </c>
      <c r="V5" s="1">
        <f>SUBTOTAL(109,Tableau4[AGEN])</f>
        <v>50</v>
      </c>
      <c r="W5" s="1">
        <f>SUBTOTAL(109,Tableau4[ANGLET])</f>
        <v>32</v>
      </c>
      <c r="X5" s="1">
        <f>SUBTOTAL(109,Tableau4[ANNECY])</f>
        <v>32</v>
      </c>
      <c r="Y5" s="1">
        <f>SUBTOTAL(109,Tableau4[ARRAS])</f>
        <v>43</v>
      </c>
      <c r="Z5" s="1">
        <f>SUBTOTAL(109,Tableau4[BORDEAUX])</f>
        <v>36</v>
      </c>
      <c r="AA5" s="1">
        <f>SUBTOTAL(109,Tableau4[GRENOBLE])</f>
        <v>59</v>
      </c>
      <c r="AB5" s="1">
        <f>SUBTOTAL(109,Tableau4[LIMOGES])</f>
        <v>40</v>
      </c>
      <c r="AC5" s="1">
        <f>SUBTOTAL(109,Tableau4[LYON])</f>
        <v>28</v>
      </c>
      <c r="AD5" s="1">
        <f>SUBTOTAL(109,Tableau4[MARSEILLE])</f>
        <v>35</v>
      </c>
      <c r="AE5" s="1">
        <f>SUBTOTAL(109,Tableau4[NANTES])</f>
        <v>33</v>
      </c>
      <c r="AF5" s="1">
        <f>SUBTOTAL(109,Tableau4[ORLEANS])</f>
        <v>35</v>
      </c>
      <c r="AG5" s="1">
        <f>SUBTOTAL(109,Tableau4[PARIS])</f>
        <v>58</v>
      </c>
      <c r="AH5" s="1">
        <f>SUBTOTAL(109,Tableau4[THOUARS])</f>
        <v>31</v>
      </c>
      <c r="AI5" s="1">
        <f>SUBTOTAL(109,Tableau4[TOULOUSE])</f>
        <v>36</v>
      </c>
      <c r="AJ5" s="1">
        <f>SUBTOTAL(109,Tableau4[TOURS])</f>
        <v>22</v>
      </c>
      <c r="AK5" s="1">
        <f>SUBTOTAL(109,Tableau4[Total])</f>
        <v>570</v>
      </c>
    </row>
    <row r="6" spans="1:37" x14ac:dyDescent="0.25">
      <c r="A6" s="1" t="s">
        <v>41</v>
      </c>
      <c r="B6" s="1" t="s">
        <v>16</v>
      </c>
      <c r="C6" s="1" t="s">
        <v>12</v>
      </c>
      <c r="D6" s="1" t="s">
        <v>9</v>
      </c>
      <c r="E6" s="1" t="s">
        <v>9</v>
      </c>
      <c r="F6" s="1" t="s">
        <v>237</v>
      </c>
      <c r="G6" s="1" t="s">
        <v>241</v>
      </c>
      <c r="H6" s="1" t="s">
        <v>7</v>
      </c>
      <c r="I6" s="1" t="s">
        <v>14</v>
      </c>
      <c r="J6" s="1" t="s">
        <v>12</v>
      </c>
      <c r="K6" s="1" t="s">
        <v>1</v>
      </c>
      <c r="L6" s="1" t="s">
        <v>6</v>
      </c>
      <c r="M6" s="1"/>
      <c r="N6" s="1"/>
      <c r="O6" s="1"/>
      <c r="P6" s="1" t="s">
        <v>9</v>
      </c>
      <c r="Q6" s="1"/>
      <c r="R6" s="1"/>
      <c r="S6" s="1"/>
      <c r="T6" s="1"/>
      <c r="V6" s="16">
        <f>[1]!Tableau4[[#Totals],[AGEN]]/[1]!Tableau4[[#Totals],[Total]]</f>
        <v>8.771929824561403E-2</v>
      </c>
      <c r="W6" s="16">
        <f>[1]!Tableau4[[#Totals],[ANGLET]]/[1]!Tableau4[[#Totals],[Total]]</f>
        <v>5.6140350877192984E-2</v>
      </c>
      <c r="X6" s="16">
        <f>[1]!Tableau4[[#Totals],[ANNECY]]/[1]!Tableau4[[#Totals],[Total]]</f>
        <v>5.6140350877192984E-2</v>
      </c>
      <c r="Y6" s="16">
        <f>[1]!Tableau4[[#Totals],[ARRAS]]/[1]!Tableau4[[#Totals],[Total]]</f>
        <v>7.5438596491228069E-2</v>
      </c>
      <c r="Z6" s="16">
        <f>[1]!Tableau4[[#Totals],[BORDEAUX]]/[1]!Tableau4[[#Totals],[Total]]</f>
        <v>6.3157894736842107E-2</v>
      </c>
      <c r="AA6" s="16">
        <f>[1]!Tableau4[[#Totals],[GRENOBLE]]/[1]!Tableau4[[#Totals],[Total]]</f>
        <v>0.10350877192982456</v>
      </c>
      <c r="AB6" s="16">
        <f>[1]!Tableau4[[#Totals],[LIMOGES]]/[1]!Tableau4[[#Totals],[Total]]</f>
        <v>7.0175438596491224E-2</v>
      </c>
      <c r="AC6" s="16">
        <f>[1]!Tableau4[[#Totals],[LYON]]/[1]!Tableau4[[#Totals],[Total]]</f>
        <v>4.736842105263158E-2</v>
      </c>
      <c r="AD6" s="16">
        <f>[1]!Tableau4[[#Totals],[MARSEILLE]]/[1]!Tableau4[[#Totals],[Total]]</f>
        <v>6.1403508771929821E-2</v>
      </c>
      <c r="AE6" s="16">
        <f>[1]!Tableau4[[#Totals],[NANTES]]/[1]!Tableau4[[#Totals],[Total]]</f>
        <v>5.7894736842105263E-2</v>
      </c>
      <c r="AF6" s="16">
        <f>[1]!Tableau4[[#Totals],[ORLEANS]]/[1]!Tableau4[[#Totals],[Total]]</f>
        <v>6.1403508771929821E-2</v>
      </c>
      <c r="AG6" s="16">
        <f>[1]!Tableau4[[#Totals],[PARIS]]/[1]!Tableau4[[#Totals],[Total]]</f>
        <v>0.10350877192982456</v>
      </c>
      <c r="AH6" s="16">
        <f>[1]!Tableau4[[#Totals],[THOUARS]]/[1]!Tableau4[[#Totals],[Total]]</f>
        <v>5.4385964912280704E-2</v>
      </c>
      <c r="AI6" s="16">
        <f>[1]!Tableau4[[#Totals],[TOULOUSE]]/[1]!Tableau4[[#Totals],[Total]]</f>
        <v>6.3157894736842107E-2</v>
      </c>
      <c r="AJ6" s="16">
        <f>[1]!Tableau4[[#Totals],[TOURS]]/[1]!Tableau4[[#Totals],[Total]]</f>
        <v>3.8596491228070177E-2</v>
      </c>
    </row>
    <row r="7" spans="1:37" x14ac:dyDescent="0.25">
      <c r="A7" s="1" t="s">
        <v>42</v>
      </c>
      <c r="B7" s="1" t="s">
        <v>16</v>
      </c>
      <c r="C7" s="1" t="s">
        <v>14</v>
      </c>
      <c r="D7" s="1" t="s">
        <v>4</v>
      </c>
      <c r="E7" s="1" t="s">
        <v>1</v>
      </c>
      <c r="F7" s="1"/>
      <c r="G7" s="1" t="s">
        <v>240</v>
      </c>
      <c r="H7" s="1" t="s">
        <v>0</v>
      </c>
      <c r="I7" s="1" t="s">
        <v>5</v>
      </c>
      <c r="J7" s="1" t="s">
        <v>1</v>
      </c>
      <c r="K7" s="1" t="s">
        <v>6</v>
      </c>
      <c r="L7" s="1" t="s">
        <v>7</v>
      </c>
      <c r="M7" s="1"/>
      <c r="N7" s="1"/>
      <c r="O7" s="1"/>
      <c r="P7" s="1" t="s">
        <v>14</v>
      </c>
      <c r="Q7" s="1"/>
      <c r="R7" s="1"/>
      <c r="S7" s="1"/>
      <c r="T7" s="1"/>
    </row>
    <row r="8" spans="1:37" x14ac:dyDescent="0.25">
      <c r="A8" s="1" t="s">
        <v>43</v>
      </c>
      <c r="B8" s="1" t="s">
        <v>16</v>
      </c>
      <c r="C8" s="1" t="s">
        <v>7</v>
      </c>
      <c r="D8" s="1" t="s">
        <v>4</v>
      </c>
      <c r="E8" s="1" t="s">
        <v>11</v>
      </c>
      <c r="F8" s="1"/>
      <c r="G8" s="1" t="s">
        <v>245</v>
      </c>
      <c r="H8" s="1" t="s">
        <v>1</v>
      </c>
      <c r="I8" s="1" t="s">
        <v>2</v>
      </c>
      <c r="J8" s="1" t="s">
        <v>6</v>
      </c>
      <c r="K8" s="1" t="s">
        <v>7</v>
      </c>
      <c r="L8" s="1" t="s">
        <v>5</v>
      </c>
      <c r="M8" s="1"/>
      <c r="N8" s="1"/>
      <c r="O8" s="1"/>
      <c r="P8" s="1" t="s">
        <v>4</v>
      </c>
      <c r="Q8" s="1"/>
      <c r="R8" s="1"/>
      <c r="S8" s="1"/>
      <c r="T8" s="1"/>
    </row>
    <row r="9" spans="1:37" x14ac:dyDescent="0.25">
      <c r="A9" s="1" t="s">
        <v>44</v>
      </c>
      <c r="B9" s="1" t="s">
        <v>16</v>
      </c>
      <c r="C9" s="1" t="s">
        <v>14</v>
      </c>
      <c r="D9" s="1" t="s">
        <v>1</v>
      </c>
      <c r="E9" s="1" t="s">
        <v>8</v>
      </c>
      <c r="F9" s="1" t="s">
        <v>235</v>
      </c>
      <c r="G9" s="1" t="s">
        <v>240</v>
      </c>
      <c r="H9" s="1" t="s">
        <v>3</v>
      </c>
      <c r="I9" s="1" t="s">
        <v>5</v>
      </c>
      <c r="J9" s="1" t="s">
        <v>7</v>
      </c>
      <c r="K9" s="1" t="s">
        <v>5</v>
      </c>
      <c r="L9" s="1" t="s">
        <v>4</v>
      </c>
      <c r="M9" s="1"/>
      <c r="N9" s="1"/>
      <c r="O9" s="1"/>
      <c r="P9" s="1" t="s">
        <v>14</v>
      </c>
      <c r="Q9" s="1"/>
      <c r="R9" s="1"/>
      <c r="S9" s="1"/>
      <c r="T9" s="1"/>
      <c r="U9" s="17" t="s">
        <v>248</v>
      </c>
      <c r="V9" s="1" t="s">
        <v>0</v>
      </c>
      <c r="W9" s="1" t="s">
        <v>1</v>
      </c>
      <c r="X9" s="1" t="s">
        <v>2</v>
      </c>
      <c r="Y9" s="1" t="s">
        <v>3</v>
      </c>
      <c r="Z9" s="1" t="s">
        <v>4</v>
      </c>
      <c r="AA9" s="1" t="s">
        <v>5</v>
      </c>
      <c r="AB9" s="1" t="s">
        <v>6</v>
      </c>
      <c r="AC9" s="1" t="s">
        <v>7</v>
      </c>
      <c r="AD9" s="1" t="s">
        <v>8</v>
      </c>
      <c r="AE9" s="1" t="s">
        <v>9</v>
      </c>
      <c r="AF9" s="1" t="s">
        <v>10</v>
      </c>
      <c r="AG9" s="1" t="s">
        <v>11</v>
      </c>
      <c r="AH9" s="1" t="s">
        <v>12</v>
      </c>
      <c r="AI9" s="1" t="s">
        <v>13</v>
      </c>
      <c r="AJ9" s="1" t="s">
        <v>14</v>
      </c>
      <c r="AK9" s="1" t="s">
        <v>15</v>
      </c>
    </row>
    <row r="10" spans="1:37" x14ac:dyDescent="0.25">
      <c r="A10" s="1" t="s">
        <v>45</v>
      </c>
      <c r="B10" s="1" t="s">
        <v>16</v>
      </c>
      <c r="C10" s="1" t="s">
        <v>4</v>
      </c>
      <c r="D10" s="1" t="s">
        <v>4</v>
      </c>
      <c r="E10" s="1" t="s">
        <v>6</v>
      </c>
      <c r="F10" s="1"/>
      <c r="G10" s="1"/>
      <c r="H10" s="1" t="s">
        <v>7</v>
      </c>
      <c r="I10" s="1" t="s">
        <v>7</v>
      </c>
      <c r="J10" s="1" t="s">
        <v>5</v>
      </c>
      <c r="K10" s="1" t="s">
        <v>4</v>
      </c>
      <c r="L10" s="1" t="s">
        <v>13</v>
      </c>
      <c r="M10" s="1"/>
      <c r="N10" s="1"/>
      <c r="O10" s="1"/>
      <c r="P10" s="1" t="s">
        <v>6</v>
      </c>
      <c r="Q10" s="1"/>
      <c r="R10" s="1"/>
      <c r="S10" s="1"/>
      <c r="T10" s="1"/>
      <c r="U10" t="s">
        <v>16</v>
      </c>
      <c r="V10" s="1">
        <v>3</v>
      </c>
      <c r="W10" s="1">
        <v>4</v>
      </c>
      <c r="X10" s="1">
        <v>5</v>
      </c>
      <c r="Y10" s="1">
        <v>3</v>
      </c>
      <c r="Z10" s="1">
        <v>5</v>
      </c>
      <c r="AA10" s="1">
        <v>5</v>
      </c>
      <c r="AB10" s="1">
        <v>5</v>
      </c>
      <c r="AC10" s="1">
        <v>4</v>
      </c>
      <c r="AD10" s="1">
        <v>3</v>
      </c>
      <c r="AE10" s="1">
        <v>2</v>
      </c>
      <c r="AF10" s="1">
        <v>2</v>
      </c>
      <c r="AG10" s="1">
        <v>5</v>
      </c>
      <c r="AH10" s="1">
        <v>1</v>
      </c>
      <c r="AI10" s="1">
        <v>5</v>
      </c>
      <c r="AJ10" s="1">
        <v>3</v>
      </c>
      <c r="AK10" s="1">
        <f>SUM(Tableau48[[#This Row],[AGEN]:[TOURS]])</f>
        <v>55</v>
      </c>
    </row>
    <row r="11" spans="1:37" x14ac:dyDescent="0.25">
      <c r="A11" s="1" t="s">
        <v>46</v>
      </c>
      <c r="B11" s="1" t="s">
        <v>16</v>
      </c>
      <c r="C11" s="1" t="s">
        <v>11</v>
      </c>
      <c r="D11" s="1" t="s">
        <v>8</v>
      </c>
      <c r="E11" s="1" t="s">
        <v>5</v>
      </c>
      <c r="F11" s="1"/>
      <c r="G11" s="1"/>
      <c r="H11" s="1" t="s">
        <v>5</v>
      </c>
      <c r="I11" s="1" t="s">
        <v>0</v>
      </c>
      <c r="J11" s="1" t="s">
        <v>4</v>
      </c>
      <c r="K11" s="1" t="s">
        <v>13</v>
      </c>
      <c r="L11" s="1" t="s">
        <v>2</v>
      </c>
      <c r="M11" s="1"/>
      <c r="N11" s="1"/>
      <c r="O11" s="1"/>
      <c r="P11" s="1" t="s">
        <v>11</v>
      </c>
      <c r="Q11" s="1"/>
      <c r="R11" s="1"/>
      <c r="S11" s="1"/>
      <c r="T11" s="1"/>
      <c r="U11" t="s">
        <v>34</v>
      </c>
      <c r="V11" s="1">
        <v>3</v>
      </c>
      <c r="W11" s="1">
        <v>5</v>
      </c>
      <c r="X11" s="1">
        <v>3</v>
      </c>
      <c r="Y11" s="1">
        <v>3</v>
      </c>
      <c r="Z11" s="1">
        <v>3</v>
      </c>
      <c r="AA11" s="1">
        <v>5</v>
      </c>
      <c r="AB11" s="1">
        <v>3</v>
      </c>
      <c r="AC11" s="1">
        <v>5</v>
      </c>
      <c r="AD11" s="1">
        <v>5</v>
      </c>
      <c r="AE11" s="1">
        <v>3</v>
      </c>
      <c r="AF11" s="1">
        <v>3</v>
      </c>
      <c r="AG11" s="1">
        <v>5</v>
      </c>
      <c r="AH11" s="1">
        <v>1</v>
      </c>
      <c r="AI11" s="1">
        <v>5</v>
      </c>
      <c r="AJ11" s="1">
        <v>3</v>
      </c>
      <c r="AK11" s="1">
        <f>SUM(Tableau48[[#This Row],[AGEN]:[TOURS]])</f>
        <v>55</v>
      </c>
    </row>
    <row r="12" spans="1:37" x14ac:dyDescent="0.25">
      <c r="A12" s="1" t="s">
        <v>47</v>
      </c>
      <c r="B12" s="1" t="s">
        <v>16</v>
      </c>
      <c r="C12" s="1" t="s">
        <v>12</v>
      </c>
      <c r="D12" s="1" t="s">
        <v>9</v>
      </c>
      <c r="E12" s="1" t="s">
        <v>9</v>
      </c>
      <c r="F12" s="1"/>
      <c r="G12" s="1"/>
      <c r="H12" s="1" t="s">
        <v>13</v>
      </c>
      <c r="I12" s="1" t="s">
        <v>1</v>
      </c>
      <c r="J12" s="1" t="s">
        <v>13</v>
      </c>
      <c r="K12" s="1" t="s">
        <v>2</v>
      </c>
      <c r="L12" s="1" t="s">
        <v>2</v>
      </c>
      <c r="M12" s="1"/>
      <c r="N12" s="1"/>
      <c r="O12" s="1"/>
      <c r="P12" s="1" t="s">
        <v>12</v>
      </c>
      <c r="Q12" s="1"/>
      <c r="R12" s="1"/>
      <c r="S12" s="1"/>
      <c r="T12" s="1"/>
      <c r="U12" t="s">
        <v>33</v>
      </c>
      <c r="V12" s="1">
        <v>6</v>
      </c>
      <c r="W12" s="1">
        <v>12</v>
      </c>
      <c r="X12" s="1">
        <v>5</v>
      </c>
      <c r="Y12" s="1">
        <v>3</v>
      </c>
      <c r="Z12" s="1">
        <v>5</v>
      </c>
      <c r="AA12" s="1">
        <v>10</v>
      </c>
      <c r="AB12" s="1">
        <v>5</v>
      </c>
      <c r="AC12" s="1">
        <v>5</v>
      </c>
      <c r="AD12" s="1">
        <v>7</v>
      </c>
      <c r="AE12" s="1">
        <v>5</v>
      </c>
      <c r="AF12" s="1">
        <v>3</v>
      </c>
      <c r="AG12" s="1">
        <v>13</v>
      </c>
      <c r="AH12" s="1">
        <v>2</v>
      </c>
      <c r="AI12" s="1">
        <v>13</v>
      </c>
      <c r="AJ12" s="1">
        <v>2</v>
      </c>
      <c r="AK12" s="1">
        <f>SUM(Tableau48[[#This Row],[AGEN]:[TOURS]])</f>
        <v>96</v>
      </c>
    </row>
    <row r="13" spans="1:37" x14ac:dyDescent="0.25">
      <c r="A13" s="1" t="s">
        <v>48</v>
      </c>
      <c r="B13" s="1" t="s">
        <v>16</v>
      </c>
      <c r="C13" s="1" t="s">
        <v>14</v>
      </c>
      <c r="D13" s="1" t="s">
        <v>4</v>
      </c>
      <c r="E13" s="1" t="s">
        <v>1</v>
      </c>
      <c r="F13" s="1"/>
      <c r="G13" s="1"/>
      <c r="H13" s="1" t="s">
        <v>4</v>
      </c>
      <c r="I13" s="1" t="s">
        <v>3</v>
      </c>
      <c r="J13" s="1" t="s">
        <v>2</v>
      </c>
      <c r="K13" s="1" t="s">
        <v>0</v>
      </c>
      <c r="L13" s="1" t="s">
        <v>5</v>
      </c>
      <c r="M13" s="1"/>
      <c r="N13" s="1"/>
      <c r="O13" s="1"/>
      <c r="P13" s="1" t="s">
        <v>14</v>
      </c>
      <c r="Q13" s="1"/>
      <c r="R13" s="1"/>
      <c r="S13" s="1"/>
      <c r="T13" s="1"/>
      <c r="U13" t="str">
        <f>"Total: "&amp;SUM(Tableau48[[#Totals],[AGEN]:[TOURS]])</f>
        <v>Total: 206</v>
      </c>
      <c r="V13" s="1">
        <f>SUBTOTAL(109,Tableau48[AGEN])</f>
        <v>12</v>
      </c>
      <c r="W13" s="1">
        <f>SUBTOTAL(109,Tableau48[ANGLET])</f>
        <v>21</v>
      </c>
      <c r="X13" s="1">
        <f>SUBTOTAL(109,Tableau48[ANNECY])</f>
        <v>13</v>
      </c>
      <c r="Y13" s="1">
        <f>SUBTOTAL(109,Tableau48[ARRAS])</f>
        <v>9</v>
      </c>
      <c r="Z13" s="1">
        <f>SUBTOTAL(109,Tableau48[BORDEAUX])</f>
        <v>13</v>
      </c>
      <c r="AA13" s="1">
        <f>SUBTOTAL(109,Tableau48[GRENOBLE])</f>
        <v>20</v>
      </c>
      <c r="AB13" s="1">
        <f>SUBTOTAL(109,Tableau48[LIMOGES])</f>
        <v>13</v>
      </c>
      <c r="AC13" s="1">
        <f>SUBTOTAL(109,Tableau48[LYON])</f>
        <v>14</v>
      </c>
      <c r="AD13" s="1">
        <f>SUBTOTAL(109,Tableau48[MARSEILLE])</f>
        <v>15</v>
      </c>
      <c r="AE13" s="1">
        <f>SUBTOTAL(109,Tableau48[NANTES])</f>
        <v>10</v>
      </c>
      <c r="AF13" s="1">
        <f>SUBTOTAL(109,Tableau48[ORLEANS])</f>
        <v>8</v>
      </c>
      <c r="AG13" s="1">
        <f>SUBTOTAL(109,Tableau48[PARIS])</f>
        <v>23</v>
      </c>
      <c r="AH13" s="1">
        <f>SUBTOTAL(109,Tableau48[THOUARS])</f>
        <v>4</v>
      </c>
      <c r="AI13" s="1">
        <f>SUBTOTAL(109,Tableau48[TOULOUSE])</f>
        <v>23</v>
      </c>
      <c r="AJ13" s="1">
        <f>SUBTOTAL(109,Tableau48[TOURS])</f>
        <v>8</v>
      </c>
      <c r="AK13" s="1">
        <f>SUBTOTAL(109,Tableau48[Total])</f>
        <v>206</v>
      </c>
    </row>
    <row r="14" spans="1:37" x14ac:dyDescent="0.25">
      <c r="A14" s="1" t="s">
        <v>49</v>
      </c>
      <c r="B14" s="1" t="s">
        <v>16</v>
      </c>
      <c r="C14" s="1" t="s">
        <v>7</v>
      </c>
      <c r="D14" s="1" t="s">
        <v>4</v>
      </c>
      <c r="E14" s="1" t="s">
        <v>11</v>
      </c>
      <c r="F14" s="1"/>
      <c r="G14" s="1"/>
      <c r="H14" s="1" t="s">
        <v>5</v>
      </c>
      <c r="I14" s="1" t="s">
        <v>7</v>
      </c>
      <c r="J14" s="1" t="s">
        <v>4</v>
      </c>
      <c r="K14" s="1" t="s">
        <v>12</v>
      </c>
      <c r="L14" s="1" t="s">
        <v>2</v>
      </c>
      <c r="M14" s="1"/>
      <c r="N14" s="1"/>
      <c r="O14" s="1"/>
      <c r="P14" s="1" t="s">
        <v>11</v>
      </c>
      <c r="Q14" s="1"/>
      <c r="R14" s="1"/>
      <c r="S14" s="1"/>
      <c r="T14" s="1"/>
    </row>
    <row r="15" spans="1:37" x14ac:dyDescent="0.25">
      <c r="A15" s="1" t="s">
        <v>50</v>
      </c>
      <c r="B15" s="1" t="s">
        <v>16</v>
      </c>
      <c r="C15" s="1" t="s">
        <v>14</v>
      </c>
      <c r="D15" s="1" t="s">
        <v>1</v>
      </c>
      <c r="E15" s="1" t="s">
        <v>8</v>
      </c>
      <c r="F15" s="1"/>
      <c r="G15" s="1"/>
      <c r="H15" s="1" t="s">
        <v>3</v>
      </c>
      <c r="I15" s="1" t="s">
        <v>5</v>
      </c>
      <c r="J15" s="1" t="s">
        <v>1</v>
      </c>
      <c r="K15" s="1" t="s">
        <v>1</v>
      </c>
      <c r="L15" s="1" t="s">
        <v>5</v>
      </c>
      <c r="M15" s="1"/>
      <c r="N15" s="1"/>
      <c r="O15" s="1"/>
      <c r="P15" s="1" t="s">
        <v>14</v>
      </c>
      <c r="Q15" s="1"/>
      <c r="R15" s="1"/>
      <c r="S15" s="1"/>
      <c r="T15" s="1"/>
    </row>
    <row r="16" spans="1:37" x14ac:dyDescent="0.25">
      <c r="A16" s="1" t="s">
        <v>51</v>
      </c>
      <c r="B16" s="1" t="s">
        <v>16</v>
      </c>
      <c r="C16" s="1" t="s">
        <v>7</v>
      </c>
      <c r="D16" s="1" t="s">
        <v>4</v>
      </c>
      <c r="E16" s="1" t="s">
        <v>11</v>
      </c>
      <c r="F16" s="1"/>
      <c r="G16" s="1"/>
      <c r="H16" s="1" t="s">
        <v>11</v>
      </c>
      <c r="I16" s="1" t="s">
        <v>2</v>
      </c>
      <c r="J16" s="1" t="s">
        <v>14</v>
      </c>
      <c r="K16" s="1" t="s">
        <v>6</v>
      </c>
      <c r="L16" s="1" t="s">
        <v>7</v>
      </c>
      <c r="M16" s="1"/>
      <c r="N16" s="1"/>
      <c r="O16" s="1"/>
      <c r="P16" s="1" t="s">
        <v>4</v>
      </c>
      <c r="Q16" s="1"/>
      <c r="R16" s="1"/>
      <c r="S16" s="1"/>
      <c r="T16" s="1"/>
    </row>
    <row r="17" spans="1:37" x14ac:dyDescent="0.25">
      <c r="A17" s="1" t="s">
        <v>52</v>
      </c>
      <c r="B17" s="1" t="s">
        <v>16</v>
      </c>
      <c r="C17" s="1" t="s">
        <v>5</v>
      </c>
      <c r="D17" s="1" t="s">
        <v>4</v>
      </c>
      <c r="E17" s="1" t="s">
        <v>0</v>
      </c>
      <c r="F17" s="1"/>
      <c r="G17" s="1"/>
      <c r="H17" s="1" t="s">
        <v>3</v>
      </c>
      <c r="I17" s="1" t="s">
        <v>2</v>
      </c>
      <c r="J17" s="1" t="s">
        <v>9</v>
      </c>
      <c r="K17" s="1" t="s">
        <v>7</v>
      </c>
      <c r="L17" s="1" t="s">
        <v>0</v>
      </c>
      <c r="M17" s="1" t="s">
        <v>7</v>
      </c>
      <c r="N17" s="1"/>
      <c r="O17" s="1"/>
      <c r="P17" s="1" t="s">
        <v>5</v>
      </c>
      <c r="Q17" s="1"/>
      <c r="R17" s="1"/>
      <c r="S17" s="1"/>
      <c r="T17" s="1"/>
    </row>
    <row r="18" spans="1:37" x14ac:dyDescent="0.25">
      <c r="A18" s="1" t="s">
        <v>53</v>
      </c>
      <c r="B18" s="1" t="s">
        <v>16</v>
      </c>
      <c r="C18" s="1" t="s">
        <v>13</v>
      </c>
      <c r="D18" s="1" t="s">
        <v>0</v>
      </c>
      <c r="E18" s="1" t="s">
        <v>11</v>
      </c>
      <c r="F18" s="1"/>
      <c r="G18" s="1"/>
      <c r="H18" s="1" t="s">
        <v>4</v>
      </c>
      <c r="I18" s="1" t="s">
        <v>13</v>
      </c>
      <c r="J18" s="1" t="s">
        <v>0</v>
      </c>
      <c r="K18" s="1" t="s">
        <v>5</v>
      </c>
      <c r="L18" s="1" t="s">
        <v>1</v>
      </c>
      <c r="M18" s="1"/>
      <c r="N18" s="1"/>
      <c r="O18" s="1"/>
      <c r="P18" s="1" t="s">
        <v>11</v>
      </c>
      <c r="Q18" s="1"/>
      <c r="R18" s="1"/>
      <c r="S18" s="1"/>
      <c r="T18" s="1"/>
    </row>
    <row r="19" spans="1:37" x14ac:dyDescent="0.25">
      <c r="A19" s="1" t="s">
        <v>54</v>
      </c>
      <c r="B19" s="1" t="s">
        <v>16</v>
      </c>
      <c r="C19" s="1" t="s">
        <v>7</v>
      </c>
      <c r="D19" s="1" t="s">
        <v>3</v>
      </c>
      <c r="E19" s="1" t="s">
        <v>14</v>
      </c>
      <c r="F19" s="1"/>
      <c r="G19" s="1"/>
      <c r="H19" s="1" t="s">
        <v>5</v>
      </c>
      <c r="I19" s="1" t="s">
        <v>1</v>
      </c>
      <c r="J19" s="1" t="s">
        <v>12</v>
      </c>
      <c r="K19" s="1" t="s">
        <v>4</v>
      </c>
      <c r="L19" s="1" t="s">
        <v>3</v>
      </c>
      <c r="M19" s="1"/>
      <c r="N19" s="1"/>
      <c r="O19" s="1"/>
      <c r="P19" s="1" t="s">
        <v>7</v>
      </c>
      <c r="Q19" s="1"/>
      <c r="R19" s="1"/>
      <c r="S19" s="1"/>
      <c r="T19" s="1"/>
    </row>
    <row r="20" spans="1:37" x14ac:dyDescent="0.25">
      <c r="A20" s="1" t="s">
        <v>55</v>
      </c>
      <c r="B20" s="1" t="s">
        <v>16</v>
      </c>
      <c r="C20" s="1" t="s">
        <v>6</v>
      </c>
      <c r="D20" s="1" t="s">
        <v>4</v>
      </c>
      <c r="E20" s="1" t="s">
        <v>1</v>
      </c>
      <c r="F20" s="1"/>
      <c r="G20" s="1"/>
      <c r="H20" s="1" t="s">
        <v>6</v>
      </c>
      <c r="I20" s="1" t="s">
        <v>12</v>
      </c>
      <c r="J20" s="1" t="s">
        <v>1</v>
      </c>
      <c r="K20" s="1" t="s">
        <v>13</v>
      </c>
      <c r="L20" s="1" t="s">
        <v>7</v>
      </c>
      <c r="M20" s="1"/>
      <c r="N20" s="1"/>
      <c r="O20" s="1"/>
      <c r="P20" s="1" t="s">
        <v>4</v>
      </c>
      <c r="Q20" s="1"/>
      <c r="R20" s="1"/>
      <c r="S20" s="1"/>
      <c r="T20" s="1"/>
      <c r="U20" t="s">
        <v>231</v>
      </c>
      <c r="V20" s="1" t="s">
        <v>0</v>
      </c>
      <c r="W20" s="1" t="s">
        <v>1</v>
      </c>
      <c r="X20" s="1" t="s">
        <v>2</v>
      </c>
      <c r="Y20" s="1" t="s">
        <v>3</v>
      </c>
      <c r="Z20" s="1" t="s">
        <v>4</v>
      </c>
      <c r="AA20" s="1" t="s">
        <v>5</v>
      </c>
      <c r="AB20" s="1" t="s">
        <v>6</v>
      </c>
      <c r="AC20" s="1" t="s">
        <v>7</v>
      </c>
      <c r="AD20" s="1" t="s">
        <v>8</v>
      </c>
      <c r="AE20" s="1" t="s">
        <v>9</v>
      </c>
      <c r="AF20" s="1" t="s">
        <v>10</v>
      </c>
      <c r="AG20" s="1" t="s">
        <v>11</v>
      </c>
      <c r="AH20" s="1" t="s">
        <v>12</v>
      </c>
      <c r="AI20" s="1" t="s">
        <v>13</v>
      </c>
      <c r="AJ20" s="1" t="s">
        <v>14</v>
      </c>
      <c r="AK20" s="1" t="s">
        <v>15</v>
      </c>
    </row>
    <row r="21" spans="1:37" x14ac:dyDescent="0.25">
      <c r="A21" s="1" t="s">
        <v>56</v>
      </c>
      <c r="B21" s="1" t="s">
        <v>16</v>
      </c>
      <c r="C21" s="1" t="s">
        <v>5</v>
      </c>
      <c r="D21" s="1" t="s">
        <v>5</v>
      </c>
      <c r="E21" s="1" t="s">
        <v>7</v>
      </c>
      <c r="F21" s="1"/>
      <c r="G21" s="1"/>
      <c r="H21" s="1" t="s">
        <v>1</v>
      </c>
      <c r="I21" s="1" t="s">
        <v>2</v>
      </c>
      <c r="J21" s="1" t="s">
        <v>6</v>
      </c>
      <c r="K21" s="1" t="s">
        <v>2</v>
      </c>
      <c r="L21" s="1" t="s">
        <v>5</v>
      </c>
      <c r="M21" s="1"/>
      <c r="N21" s="1"/>
      <c r="O21" s="1"/>
      <c r="P21" s="1" t="s">
        <v>7</v>
      </c>
      <c r="Q21" s="1"/>
      <c r="R21" s="1"/>
      <c r="S21" s="1"/>
      <c r="T21" s="1"/>
      <c r="U21" t="s">
        <v>16</v>
      </c>
      <c r="V21" s="1">
        <f>SUMPRODUCT((t_BDD[[grade]:[grade]]=$U21)*(t_BDD[[ville attribuée]:[ville attribuée]]=V$1)*1)</f>
        <v>1</v>
      </c>
      <c r="W21" s="1">
        <f>SUMPRODUCT((t_BDD[[grade]:[grade]]=$U21)*(t_BDD[[ville attribuée]:[ville attribuée]]=W$1)*1)</f>
        <v>1</v>
      </c>
      <c r="X21" s="1">
        <f>SUMPRODUCT((t_BDD[[grade]:[grade]]=$U21)*(t_BDD[[ville attribuée]:[ville attribuée]]=X$1)*1)</f>
        <v>1</v>
      </c>
      <c r="Y21" s="1">
        <f>SUMPRODUCT((t_BDD[[grade]:[grade]]=$U21)*(t_BDD[[ville attribuée]:[ville attribuée]]=Y$1)*1)</f>
        <v>3</v>
      </c>
      <c r="Z21" s="1">
        <f>SUMPRODUCT((t_BDD[[grade]:[grade]]=$U21)*(t_BDD[[ville attribuée]:[ville attribuée]]=Z$1)*1)</f>
        <v>5</v>
      </c>
      <c r="AA21" s="1">
        <f>SUMPRODUCT((t_BDD[[grade]:[grade]]=$U21)*(t_BDD[[ville attribuée]:[ville attribuée]]=AA$1)*1)</f>
        <v>2</v>
      </c>
      <c r="AB21" s="1">
        <f>SUMPRODUCT((t_BDD[[grade]:[grade]]=$U21)*(t_BDD[[ville attribuée]:[ville attribuée]]=AB$1)*1)</f>
        <v>3</v>
      </c>
      <c r="AC21" s="1">
        <f>SUMPRODUCT((t_BDD[[grade]:[grade]]=$U21)*(t_BDD[[ville attribuée]:[ville attribuée]]=AC$1)*1)</f>
        <v>3</v>
      </c>
      <c r="AD21" s="1">
        <f>SUMPRODUCT((t_BDD[[grade]:[grade]]=$U21)*(t_BDD[[ville attribuée]:[ville attribuée]]=AD$1)*1)</f>
        <v>3</v>
      </c>
      <c r="AE21" s="1">
        <f>SUMPRODUCT((t_BDD[[grade]:[grade]]=$U21)*(t_BDD[[ville attribuée]:[ville attribuée]]=AE$1)*1)</f>
        <v>1</v>
      </c>
      <c r="AF21" s="1">
        <f>SUMPRODUCT((t_BDD[[grade]:[grade]]=$U21)*(t_BDD[[ville attribuée]:[ville attribuée]]=AF$1)*1)</f>
        <v>2</v>
      </c>
      <c r="AG21" s="1">
        <f>SUMPRODUCT((t_BDD[[grade]:[grade]]=$U21)*(t_BDD[[ville attribuée]:[ville attribuée]]=AG$1)*1)</f>
        <v>5</v>
      </c>
      <c r="AH21" s="1">
        <f>SUMPRODUCT((t_BDD[[grade]:[grade]]=$U21)*(t_BDD[[ville attribuée]:[ville attribuée]]=AH$1)*1)</f>
        <v>2</v>
      </c>
      <c r="AI21" s="1">
        <f>SUMPRODUCT((t_BDD[[grade]:[grade]]=$U21)*(t_BDD[[ville attribuée]:[ville attribuée]]=AI$1)*1)</f>
        <v>2</v>
      </c>
      <c r="AJ21" s="1">
        <f>SUMPRODUCT((t_BDD[[grade]:[grade]]=$U21)*(t_BDD[[ville attribuée]:[ville attribuée]]=AJ$1)*1)</f>
        <v>5</v>
      </c>
      <c r="AK21" s="1">
        <f>SUM(Tableau46[[#This Row],[AGEN]:[TOURS]])</f>
        <v>39</v>
      </c>
    </row>
    <row r="22" spans="1:37" x14ac:dyDescent="0.25">
      <c r="A22" s="1" t="s">
        <v>57</v>
      </c>
      <c r="B22" s="1" t="s">
        <v>16</v>
      </c>
      <c r="C22" s="1" t="s">
        <v>12</v>
      </c>
      <c r="D22" s="1" t="s">
        <v>11</v>
      </c>
      <c r="E22" s="1" t="s">
        <v>6</v>
      </c>
      <c r="F22" s="1"/>
      <c r="G22" s="1"/>
      <c r="H22" s="1" t="s">
        <v>12</v>
      </c>
      <c r="I22" s="1" t="s">
        <v>14</v>
      </c>
      <c r="J22" s="1" t="s">
        <v>7</v>
      </c>
      <c r="K22" s="1" t="s">
        <v>0</v>
      </c>
      <c r="L22" s="1" t="s">
        <v>13</v>
      </c>
      <c r="M22" s="1"/>
      <c r="N22" s="1"/>
      <c r="O22" s="1"/>
      <c r="P22" s="1" t="s">
        <v>11</v>
      </c>
      <c r="Q22" s="1"/>
      <c r="R22" s="1"/>
      <c r="S22" s="1"/>
      <c r="T22" s="1"/>
      <c r="U22" t="s">
        <v>34</v>
      </c>
      <c r="V22" s="1">
        <f>SUMPRODUCT((t_BDD[[grade]:[grade]]=$U22)*(t_BDD[[ville attribuée]:[ville attribuée]]=V$1)*1)</f>
        <v>5</v>
      </c>
      <c r="W22" s="1">
        <f>SUMPRODUCT((t_BDD[[grade]:[grade]]=$U22)*(t_BDD[[ville attribuée]:[ville attribuée]]=W$1)*1)</f>
        <v>2</v>
      </c>
      <c r="X22" s="1">
        <f>SUMPRODUCT((t_BDD[[grade]:[grade]]=$U22)*(t_BDD[[ville attribuée]:[ville attribuée]]=X$1)*1)</f>
        <v>2</v>
      </c>
      <c r="Y22" s="1">
        <f>SUMPRODUCT((t_BDD[[grade]:[grade]]=$U22)*(t_BDD[[ville attribuée]:[ville attribuée]]=Y$1)*1)</f>
        <v>3</v>
      </c>
      <c r="Z22" s="1">
        <f>SUMPRODUCT((t_BDD[[grade]:[grade]]=$U22)*(t_BDD[[ville attribuée]:[ville attribuée]]=Z$1)*1)</f>
        <v>2</v>
      </c>
      <c r="AA22" s="1">
        <f>SUMPRODUCT((t_BDD[[grade]:[grade]]=$U22)*(t_BDD[[ville attribuée]:[ville attribuée]]=AA$1)*1)</f>
        <v>0</v>
      </c>
      <c r="AB22" s="1">
        <f>SUMPRODUCT((t_BDD[[grade]:[grade]]=$U22)*(t_BDD[[ville attribuée]:[ville attribuée]]=AB$1)*1)</f>
        <v>5</v>
      </c>
      <c r="AC22" s="1">
        <f>SUMPRODUCT((t_BDD[[grade]:[grade]]=$U22)*(t_BDD[[ville attribuée]:[ville attribuée]]=AC$1)*1)</f>
        <v>1</v>
      </c>
      <c r="AD22" s="1">
        <f>SUMPRODUCT((t_BDD[[grade]:[grade]]=$U22)*(t_BDD[[ville attribuée]:[ville attribuée]]=AD$1)*1)</f>
        <v>4</v>
      </c>
      <c r="AE22" s="1">
        <f>SUMPRODUCT((t_BDD[[grade]:[grade]]=$U22)*(t_BDD[[ville attribuée]:[ville attribuée]]=AE$1)*1)</f>
        <v>5</v>
      </c>
      <c r="AF22" s="1">
        <f>SUMPRODUCT((t_BDD[[grade]:[grade]]=$U22)*(t_BDD[[ville attribuée]:[ville attribuée]]=AF$1)*1)</f>
        <v>5</v>
      </c>
      <c r="AG22" s="1">
        <f>SUMPRODUCT((t_BDD[[grade]:[grade]]=$U22)*(t_BDD[[ville attribuée]:[ville attribuée]]=AG$1)*1)</f>
        <v>5</v>
      </c>
      <c r="AH22" s="1">
        <f>SUMPRODUCT((t_BDD[[grade]:[grade]]=$U22)*(t_BDD[[ville attribuée]:[ville attribuée]]=AH$1)*1)</f>
        <v>0</v>
      </c>
      <c r="AI22" s="1">
        <f>SUMPRODUCT((t_BDD[[grade]:[grade]]=$U22)*(t_BDD[[ville attribuée]:[ville attribuée]]=AI$1)*1)</f>
        <v>2</v>
      </c>
      <c r="AJ22" s="1">
        <f>SUMPRODUCT((t_BDD[[grade]:[grade]]=$U22)*(t_BDD[[ville attribuée]:[ville attribuée]]=AJ$1)*1)</f>
        <v>5</v>
      </c>
      <c r="AK22" s="1">
        <f>SUM(Tableau46[[#This Row],[AGEN]:[TOURS]])</f>
        <v>46</v>
      </c>
    </row>
    <row r="23" spans="1:37" x14ac:dyDescent="0.25">
      <c r="A23" s="1" t="s">
        <v>58</v>
      </c>
      <c r="B23" s="1" t="s">
        <v>16</v>
      </c>
      <c r="C23" s="1" t="s">
        <v>0</v>
      </c>
      <c r="D23" s="1" t="s">
        <v>6</v>
      </c>
      <c r="E23" s="1" t="s">
        <v>5</v>
      </c>
      <c r="F23" s="1"/>
      <c r="G23" s="1"/>
      <c r="H23" s="1" t="s">
        <v>2</v>
      </c>
      <c r="I23" s="1" t="s">
        <v>13</v>
      </c>
      <c r="J23" s="1" t="s">
        <v>5</v>
      </c>
      <c r="K23" s="1" t="s">
        <v>12</v>
      </c>
      <c r="L23" s="1" t="s">
        <v>4</v>
      </c>
      <c r="M23" s="1"/>
      <c r="N23" s="1"/>
      <c r="O23" s="1"/>
      <c r="P23" s="1" t="s">
        <v>0</v>
      </c>
      <c r="Q23" s="1"/>
      <c r="R23" s="1"/>
      <c r="S23" s="1"/>
      <c r="T23" s="1"/>
      <c r="U23" t="s">
        <v>33</v>
      </c>
      <c r="V23" s="1">
        <f>SUMPRODUCT((t_BDD[[grade]:[grade]]=$U23)*(t_BDD[[ville attribuée]:[ville attribuée]]=V$1)*1)</f>
        <v>7</v>
      </c>
      <c r="W23" s="1">
        <f>SUMPRODUCT((t_BDD[[grade]:[grade]]=$U23)*(t_BDD[[ville attribuée]:[ville attribuée]]=W$1)*1)</f>
        <v>2</v>
      </c>
      <c r="X23" s="1">
        <f>SUMPRODUCT((t_BDD[[grade]:[grade]]=$U23)*(t_BDD[[ville attribuée]:[ville attribuée]]=X$1)*1)</f>
        <v>7</v>
      </c>
      <c r="Y23" s="1">
        <f>SUMPRODUCT((t_BDD[[grade]:[grade]]=$U23)*(t_BDD[[ville attribuée]:[ville attribuée]]=Y$1)*1)</f>
        <v>8</v>
      </c>
      <c r="Z23" s="1">
        <f>SUMPRODUCT((t_BDD[[grade]:[grade]]=$U23)*(t_BDD[[ville attribuée]:[ville attribuée]]=Z$1)*1)</f>
        <v>9</v>
      </c>
      <c r="AA23" s="1">
        <f>SUMPRODUCT((t_BDD[[grade]:[grade]]=$U23)*(t_BDD[[ville attribuée]:[ville attribuée]]=AA$1)*1)</f>
        <v>4</v>
      </c>
      <c r="AB23" s="1">
        <f>SUMPRODUCT((t_BDD[[grade]:[grade]]=$U23)*(t_BDD[[ville attribuée]:[ville attribuée]]=AB$1)*1)</f>
        <v>13</v>
      </c>
      <c r="AC23" s="1">
        <f>SUMPRODUCT((t_BDD[[grade]:[grade]]=$U23)*(t_BDD[[ville attribuée]:[ville attribuée]]=AC$1)*1)</f>
        <v>0</v>
      </c>
      <c r="AD23" s="1">
        <f>SUMPRODUCT((t_BDD[[grade]:[grade]]=$U23)*(t_BDD[[ville attribuée]:[ville attribuée]]=AD$1)*1)</f>
        <v>12</v>
      </c>
      <c r="AE23" s="1">
        <f>SUMPRODUCT((t_BDD[[grade]:[grade]]=$U23)*(t_BDD[[ville attribuée]:[ville attribuée]]=AE$1)*1)</f>
        <v>3</v>
      </c>
      <c r="AF23" s="1">
        <f>SUMPRODUCT((t_BDD[[grade]:[grade]]=$U23)*(t_BDD[[ville attribuée]:[ville attribuée]]=AF$1)*1)</f>
        <v>11</v>
      </c>
      <c r="AG23" s="1">
        <f>SUMPRODUCT((t_BDD[[grade]:[grade]]=$U23)*(t_BDD[[ville attribuée]:[ville attribuée]]=AG$1)*1)</f>
        <v>13</v>
      </c>
      <c r="AH23" s="1">
        <f>SUMPRODUCT((t_BDD[[grade]:[grade]]=$U23)*(t_BDD[[ville attribuée]:[ville attribuée]]=AH$1)*1)</f>
        <v>5</v>
      </c>
      <c r="AI23" s="1">
        <f>SUMPRODUCT((t_BDD[[grade]:[grade]]=$U23)*(t_BDD[[ville attribuée]:[ville attribuée]]=AI$1)*1)</f>
        <v>6</v>
      </c>
      <c r="AJ23" s="1">
        <f>SUMPRODUCT((t_BDD[[grade]:[grade]]=$U23)*(t_BDD[[ville attribuée]:[ville attribuée]]=AJ$1)*1)</f>
        <v>5</v>
      </c>
      <c r="AK23" s="1">
        <f>SUM(Tableau46[[#This Row],[AGEN]:[TOURS]])</f>
        <v>105</v>
      </c>
    </row>
    <row r="24" spans="1:37" x14ac:dyDescent="0.25">
      <c r="A24" s="1" t="s">
        <v>59</v>
      </c>
      <c r="B24" s="1" t="s">
        <v>16</v>
      </c>
      <c r="C24" s="1" t="s">
        <v>1</v>
      </c>
      <c r="D24" s="1" t="s">
        <v>8</v>
      </c>
      <c r="E24" s="1" t="s">
        <v>14</v>
      </c>
      <c r="F24" s="1"/>
      <c r="G24" s="1"/>
      <c r="H24" s="1" t="s">
        <v>14</v>
      </c>
      <c r="I24" s="1" t="s">
        <v>7</v>
      </c>
      <c r="J24" s="1" t="s">
        <v>4</v>
      </c>
      <c r="K24" s="1" t="s">
        <v>1</v>
      </c>
      <c r="L24" s="1" t="s">
        <v>5</v>
      </c>
      <c r="M24" s="1"/>
      <c r="N24" s="1"/>
      <c r="O24" s="1"/>
      <c r="P24" s="1" t="s">
        <v>8</v>
      </c>
      <c r="Q24" s="1"/>
      <c r="R24" s="1"/>
      <c r="S24" s="1"/>
      <c r="T24" s="1"/>
      <c r="U24" t="str">
        <f>"Total: "&amp;SUM(Tableau46[[#Totals],[AGEN]:[TOURS]])</f>
        <v>Total: 190</v>
      </c>
      <c r="V24" s="1">
        <f>SUBTOTAL(109,Tableau46[AGEN])</f>
        <v>13</v>
      </c>
      <c r="W24" s="1">
        <f>SUBTOTAL(109,Tableau46[ANGLET])</f>
        <v>5</v>
      </c>
      <c r="X24" s="1">
        <f>SUBTOTAL(109,Tableau46[ANNECY])</f>
        <v>10</v>
      </c>
      <c r="Y24" s="1">
        <f>SUBTOTAL(109,Tableau46[ARRAS])</f>
        <v>14</v>
      </c>
      <c r="Z24" s="1">
        <f>SUBTOTAL(109,Tableau46[BORDEAUX])</f>
        <v>16</v>
      </c>
      <c r="AA24" s="1">
        <f>SUBTOTAL(109,Tableau46[GRENOBLE])</f>
        <v>6</v>
      </c>
      <c r="AB24" s="1">
        <f>SUBTOTAL(109,Tableau46[LIMOGES])</f>
        <v>21</v>
      </c>
      <c r="AC24" s="1">
        <f>SUBTOTAL(109,Tableau46[LYON])</f>
        <v>4</v>
      </c>
      <c r="AD24" s="1">
        <f>SUBTOTAL(109,Tableau46[MARSEILLE])</f>
        <v>19</v>
      </c>
      <c r="AE24" s="1">
        <f>SUBTOTAL(109,Tableau46[NANTES])</f>
        <v>9</v>
      </c>
      <c r="AF24" s="1">
        <f>SUBTOTAL(109,Tableau46[ORLEANS])</f>
        <v>18</v>
      </c>
      <c r="AG24" s="1">
        <f>SUBTOTAL(109,Tableau46[PARIS])</f>
        <v>23</v>
      </c>
      <c r="AH24" s="1">
        <f>SUBTOTAL(109,Tableau46[THOUARS])</f>
        <v>7</v>
      </c>
      <c r="AI24" s="1">
        <f>SUBTOTAL(109,Tableau46[TOULOUSE])</f>
        <v>10</v>
      </c>
      <c r="AJ24" s="1">
        <f>SUBTOTAL(109,Tableau46[TOURS])</f>
        <v>15</v>
      </c>
      <c r="AK24" s="1">
        <f>SUBTOTAL(109,Tableau46[Total])</f>
        <v>190</v>
      </c>
    </row>
    <row r="25" spans="1:37" x14ac:dyDescent="0.25">
      <c r="A25" s="1" t="s">
        <v>60</v>
      </c>
      <c r="B25" s="1" t="s">
        <v>16</v>
      </c>
      <c r="C25" s="1" t="s">
        <v>14</v>
      </c>
      <c r="D25" s="1" t="s">
        <v>0</v>
      </c>
      <c r="E25" s="1" t="s">
        <v>3</v>
      </c>
      <c r="F25" s="1"/>
      <c r="G25" s="1"/>
      <c r="H25" s="1" t="s">
        <v>13</v>
      </c>
      <c r="I25" s="1" t="s">
        <v>3</v>
      </c>
      <c r="J25" s="1" t="s">
        <v>13</v>
      </c>
      <c r="K25" s="1" t="s">
        <v>6</v>
      </c>
      <c r="L25" s="1"/>
      <c r="M25" s="1"/>
      <c r="N25" s="1"/>
      <c r="O25" s="1"/>
      <c r="P25" s="1" t="s">
        <v>14</v>
      </c>
      <c r="Q25" s="1"/>
      <c r="R25" s="1"/>
      <c r="S25" s="1"/>
      <c r="T25" s="1"/>
    </row>
    <row r="26" spans="1:37" x14ac:dyDescent="0.25">
      <c r="A26" s="1" t="s">
        <v>61</v>
      </c>
      <c r="B26" s="1" t="s">
        <v>16</v>
      </c>
      <c r="C26" s="1" t="s">
        <v>3</v>
      </c>
      <c r="D26" s="1" t="s">
        <v>11</v>
      </c>
      <c r="E26" s="1" t="s">
        <v>0</v>
      </c>
      <c r="F26" s="1"/>
      <c r="G26" s="1"/>
      <c r="H26" s="1" t="s">
        <v>7</v>
      </c>
      <c r="I26" s="1" t="s">
        <v>7</v>
      </c>
      <c r="J26" s="1" t="s">
        <v>2</v>
      </c>
      <c r="K26" s="1" t="s">
        <v>7</v>
      </c>
      <c r="L26" s="1"/>
      <c r="M26" s="1"/>
      <c r="N26" s="1"/>
      <c r="O26" s="1"/>
      <c r="P26" s="1" t="s">
        <v>3</v>
      </c>
      <c r="Q26" s="1"/>
      <c r="R26" s="1"/>
      <c r="S26" s="1"/>
      <c r="T26" s="1"/>
    </row>
    <row r="27" spans="1:37" x14ac:dyDescent="0.25">
      <c r="A27" s="1" t="s">
        <v>62</v>
      </c>
      <c r="B27" s="1" t="s">
        <v>16</v>
      </c>
      <c r="C27" s="1" t="s">
        <v>11</v>
      </c>
      <c r="D27" s="1" t="s">
        <v>5</v>
      </c>
      <c r="E27" s="1" t="s">
        <v>12</v>
      </c>
      <c r="F27" s="1"/>
      <c r="G27" s="1"/>
      <c r="H27" s="1" t="s">
        <v>3</v>
      </c>
      <c r="I27" s="1" t="s">
        <v>5</v>
      </c>
      <c r="J27" s="1" t="s">
        <v>2</v>
      </c>
      <c r="K27" s="1" t="s">
        <v>5</v>
      </c>
      <c r="L27" s="1"/>
      <c r="M27" s="1"/>
      <c r="N27" s="1"/>
      <c r="O27" s="1"/>
      <c r="P27" s="1" t="s">
        <v>11</v>
      </c>
      <c r="Q27" s="1"/>
      <c r="R27" s="1"/>
      <c r="S27" s="1"/>
      <c r="T27" s="1"/>
      <c r="U27" s="3" t="s">
        <v>232</v>
      </c>
      <c r="V27" s="4" t="s">
        <v>233</v>
      </c>
    </row>
    <row r="28" spans="1:37" x14ac:dyDescent="0.25">
      <c r="A28" s="1" t="s">
        <v>63</v>
      </c>
      <c r="B28" s="1" t="s">
        <v>16</v>
      </c>
      <c r="C28" s="1" t="s">
        <v>2</v>
      </c>
      <c r="D28" s="1" t="s">
        <v>6</v>
      </c>
      <c r="E28" s="1" t="s">
        <v>3</v>
      </c>
      <c r="F28" s="1"/>
      <c r="G28" s="1"/>
      <c r="H28" s="1" t="s">
        <v>7</v>
      </c>
      <c r="I28" s="1" t="s">
        <v>4</v>
      </c>
      <c r="J28" s="1" t="s">
        <v>2</v>
      </c>
      <c r="K28" s="1" t="s">
        <v>4</v>
      </c>
      <c r="L28" s="1" t="s">
        <v>1</v>
      </c>
      <c r="M28" s="1"/>
      <c r="N28" s="1"/>
      <c r="O28" s="1"/>
      <c r="P28" s="1" t="s">
        <v>6</v>
      </c>
      <c r="Q28" s="1"/>
      <c r="R28" s="1"/>
      <c r="S28" s="1"/>
      <c r="T28" s="1"/>
      <c r="U28" s="5" t="s">
        <v>16</v>
      </c>
      <c r="V28" s="6">
        <f>COUNTIF(t_BDD[grade],U28)</f>
        <v>39</v>
      </c>
    </row>
    <row r="29" spans="1:37" x14ac:dyDescent="0.25">
      <c r="A29" s="1" t="s">
        <v>64</v>
      </c>
      <c r="B29" s="1" t="s">
        <v>16</v>
      </c>
      <c r="C29" s="1" t="s">
        <v>5</v>
      </c>
      <c r="D29" s="1" t="s">
        <v>1</v>
      </c>
      <c r="E29" s="1" t="s">
        <v>7</v>
      </c>
      <c r="F29" s="1"/>
      <c r="G29" s="1"/>
      <c r="H29" s="1" t="s">
        <v>5</v>
      </c>
      <c r="I29" s="1" t="s">
        <v>13</v>
      </c>
      <c r="J29" s="1"/>
      <c r="K29" s="1" t="s">
        <v>13</v>
      </c>
      <c r="L29" s="1"/>
      <c r="M29" s="1"/>
      <c r="N29" s="1"/>
      <c r="O29" s="1"/>
      <c r="P29" s="1" t="s">
        <v>1</v>
      </c>
      <c r="Q29" s="1"/>
      <c r="R29" s="1"/>
      <c r="S29" s="1"/>
      <c r="T29" s="1"/>
      <c r="U29" s="5" t="s">
        <v>34</v>
      </c>
      <c r="V29" s="6">
        <f>COUNTIF(t_BDD[grade],U29)</f>
        <v>46</v>
      </c>
    </row>
    <row r="30" spans="1:37" x14ac:dyDescent="0.25">
      <c r="A30" s="1" t="s">
        <v>65</v>
      </c>
      <c r="B30" s="1" t="s">
        <v>16</v>
      </c>
      <c r="C30" s="1" t="s">
        <v>3</v>
      </c>
      <c r="D30" s="1" t="s">
        <v>4</v>
      </c>
      <c r="E30" s="1" t="s">
        <v>11</v>
      </c>
      <c r="F30" s="1"/>
      <c r="G30" s="1"/>
      <c r="H30" s="1" t="s">
        <v>4</v>
      </c>
      <c r="I30" s="1" t="s">
        <v>2</v>
      </c>
      <c r="J30" s="1" t="s">
        <v>0</v>
      </c>
      <c r="K30" s="1" t="s">
        <v>2</v>
      </c>
      <c r="L30" s="1"/>
      <c r="M30" s="1"/>
      <c r="N30" s="1"/>
      <c r="O30" s="1"/>
      <c r="P30" s="1" t="s">
        <v>3</v>
      </c>
      <c r="Q30" s="1"/>
      <c r="R30" s="1"/>
      <c r="S30" s="1"/>
      <c r="T30" s="1"/>
      <c r="U30" s="7" t="s">
        <v>33</v>
      </c>
      <c r="V30" s="8">
        <f>COUNTIF(t_BDD[grade],U30)</f>
        <v>105</v>
      </c>
    </row>
    <row r="31" spans="1:37" x14ac:dyDescent="0.25">
      <c r="A31" s="1" t="s">
        <v>66</v>
      </c>
      <c r="B31" s="1" t="s">
        <v>16</v>
      </c>
      <c r="C31" s="1" t="s">
        <v>5</v>
      </c>
      <c r="D31" s="1" t="s">
        <v>5</v>
      </c>
      <c r="E31" s="1" t="s">
        <v>0</v>
      </c>
      <c r="F31" s="1"/>
      <c r="G31" s="1"/>
      <c r="H31" s="1" t="s">
        <v>13</v>
      </c>
      <c r="I31" s="1" t="s">
        <v>2</v>
      </c>
      <c r="J31" s="1" t="s">
        <v>12</v>
      </c>
      <c r="K31" s="1" t="s">
        <v>4</v>
      </c>
      <c r="L31" s="1"/>
      <c r="M31" s="1"/>
      <c r="N31" s="1"/>
      <c r="O31" s="1"/>
      <c r="P31" s="1" t="s">
        <v>5</v>
      </c>
      <c r="Q31" s="1"/>
      <c r="R31" s="1"/>
      <c r="S31" s="1"/>
      <c r="T31" s="1"/>
      <c r="U31" s="7" t="s">
        <v>15</v>
      </c>
      <c r="V31" s="8">
        <f>SUBTOTAL(109,Tableau6[Nombre])</f>
        <v>190</v>
      </c>
    </row>
    <row r="32" spans="1:37" x14ac:dyDescent="0.25">
      <c r="A32" s="1" t="s">
        <v>67</v>
      </c>
      <c r="B32" s="1" t="s">
        <v>16</v>
      </c>
      <c r="C32" s="1" t="s">
        <v>8</v>
      </c>
      <c r="D32" s="1" t="s">
        <v>0</v>
      </c>
      <c r="E32" s="1" t="s">
        <v>12</v>
      </c>
      <c r="F32" s="1"/>
      <c r="G32" s="1"/>
      <c r="H32" s="1" t="s">
        <v>2</v>
      </c>
      <c r="I32" s="1"/>
      <c r="J32" s="1" t="s">
        <v>1</v>
      </c>
      <c r="K32" s="1" t="s">
        <v>13</v>
      </c>
      <c r="L32" s="1"/>
      <c r="M32" s="1"/>
      <c r="N32" s="1"/>
      <c r="O32" s="1"/>
      <c r="P32" s="1" t="s">
        <v>8</v>
      </c>
      <c r="Q32" s="1"/>
      <c r="R32" s="1"/>
      <c r="S32" s="1"/>
      <c r="T32" s="1"/>
    </row>
    <row r="33" spans="1:23" x14ac:dyDescent="0.25">
      <c r="A33" s="1" t="s">
        <v>68</v>
      </c>
      <c r="B33" s="1" t="s">
        <v>16</v>
      </c>
      <c r="C33" s="1" t="s">
        <v>11</v>
      </c>
      <c r="D33" s="1" t="s">
        <v>4</v>
      </c>
      <c r="E33" s="1" t="s">
        <v>12</v>
      </c>
      <c r="F33" s="1"/>
      <c r="G33" s="1"/>
      <c r="H33" s="1" t="s">
        <v>2</v>
      </c>
      <c r="I33" s="1" t="s">
        <v>1</v>
      </c>
      <c r="J33" s="1" t="s">
        <v>6</v>
      </c>
      <c r="K33" s="1" t="s">
        <v>2</v>
      </c>
      <c r="L33" s="1"/>
      <c r="M33" s="1"/>
      <c r="N33" s="1"/>
      <c r="O33" s="1"/>
      <c r="P33" s="1" t="s">
        <v>12</v>
      </c>
      <c r="Q33" s="1"/>
      <c r="R33" s="1"/>
      <c r="S33" s="1"/>
      <c r="T33" s="1"/>
    </row>
    <row r="34" spans="1:23" x14ac:dyDescent="0.25">
      <c r="A34" s="1" t="s">
        <v>69</v>
      </c>
      <c r="B34" s="1" t="s">
        <v>16</v>
      </c>
      <c r="C34" s="1" t="s">
        <v>0</v>
      </c>
      <c r="D34" s="1" t="s">
        <v>5</v>
      </c>
      <c r="E34" s="1" t="s">
        <v>3</v>
      </c>
      <c r="F34" s="1"/>
      <c r="G34" s="1"/>
      <c r="H34" s="1" t="s">
        <v>5</v>
      </c>
      <c r="I34" s="1" t="s">
        <v>12</v>
      </c>
      <c r="J34" s="1" t="s">
        <v>7</v>
      </c>
      <c r="K34" s="1" t="s">
        <v>0</v>
      </c>
      <c r="L34" s="1"/>
      <c r="M34" s="1"/>
      <c r="N34" s="1"/>
      <c r="O34" s="1"/>
      <c r="P34" s="1" t="s">
        <v>3</v>
      </c>
      <c r="Q34" s="1"/>
      <c r="R34" s="1"/>
      <c r="S34" s="1"/>
      <c r="T34" s="1"/>
    </row>
    <row r="35" spans="1:23" ht="15.75" thickBot="1" x14ac:dyDescent="0.3">
      <c r="A35" s="1" t="s">
        <v>70</v>
      </c>
      <c r="B35" s="1" t="s">
        <v>16</v>
      </c>
      <c r="C35" s="1" t="s">
        <v>13</v>
      </c>
      <c r="D35" s="1" t="s">
        <v>2</v>
      </c>
      <c r="E35" s="1" t="s">
        <v>7</v>
      </c>
      <c r="F35" s="1"/>
      <c r="G35" s="1"/>
      <c r="H35" s="1" t="s">
        <v>4</v>
      </c>
      <c r="I35" s="1" t="s">
        <v>2</v>
      </c>
      <c r="J35" s="1" t="s">
        <v>5</v>
      </c>
      <c r="K35" s="1" t="s">
        <v>12</v>
      </c>
      <c r="L35" s="1"/>
      <c r="M35" s="1"/>
      <c r="N35" s="1"/>
      <c r="O35" s="1"/>
      <c r="P35" s="1" t="s">
        <v>13</v>
      </c>
      <c r="Q35" s="1"/>
      <c r="R35" s="1"/>
      <c r="S35" s="1"/>
      <c r="T35" s="1"/>
    </row>
    <row r="36" spans="1:23" x14ac:dyDescent="0.25">
      <c r="A36" s="1" t="s">
        <v>71</v>
      </c>
      <c r="B36" s="1" t="s">
        <v>16</v>
      </c>
      <c r="C36" s="1" t="s">
        <v>11</v>
      </c>
      <c r="D36" s="1" t="s">
        <v>8</v>
      </c>
      <c r="E36" s="1" t="s">
        <v>1</v>
      </c>
      <c r="F36" s="1"/>
      <c r="G36" s="1"/>
      <c r="H36" s="1" t="s">
        <v>13</v>
      </c>
      <c r="I36" s="1" t="s">
        <v>14</v>
      </c>
      <c r="J36" s="1" t="s">
        <v>4</v>
      </c>
      <c r="K36" s="1" t="s">
        <v>1</v>
      </c>
      <c r="L36" s="1"/>
      <c r="M36" s="1"/>
      <c r="N36" s="1"/>
      <c r="O36" s="1"/>
      <c r="P36" s="1" t="s">
        <v>8</v>
      </c>
      <c r="Q36" s="1"/>
      <c r="R36" s="1"/>
      <c r="S36" s="1"/>
      <c r="T36" s="1"/>
      <c r="U36" s="37" t="s">
        <v>240</v>
      </c>
      <c r="W36" s="42" t="s">
        <v>234</v>
      </c>
    </row>
    <row r="37" spans="1:23" x14ac:dyDescent="0.25">
      <c r="A37" s="1" t="s">
        <v>72</v>
      </c>
      <c r="B37" s="1" t="s">
        <v>16</v>
      </c>
      <c r="C37" s="1" t="s">
        <v>10</v>
      </c>
      <c r="D37" s="1" t="s">
        <v>9</v>
      </c>
      <c r="E37" s="1" t="s">
        <v>0</v>
      </c>
      <c r="F37" s="1"/>
      <c r="G37" s="1"/>
      <c r="H37" s="1" t="s">
        <v>2</v>
      </c>
      <c r="I37" s="1" t="s">
        <v>13</v>
      </c>
      <c r="J37" s="1" t="s">
        <v>13</v>
      </c>
      <c r="K37" s="1" t="s">
        <v>6</v>
      </c>
      <c r="L37" s="1"/>
      <c r="M37" s="1"/>
      <c r="N37" s="1"/>
      <c r="O37" s="1"/>
      <c r="P37" s="1" t="s">
        <v>10</v>
      </c>
      <c r="Q37" s="1"/>
      <c r="R37" s="1"/>
      <c r="S37" s="1"/>
      <c r="T37" s="1"/>
      <c r="U37" s="38" t="s">
        <v>241</v>
      </c>
      <c r="W37" s="42" t="s">
        <v>235</v>
      </c>
    </row>
    <row r="38" spans="1:23" ht="24.75" x14ac:dyDescent="0.25">
      <c r="A38" s="1" t="s">
        <v>73</v>
      </c>
      <c r="B38" s="1" t="s">
        <v>16</v>
      </c>
      <c r="C38" s="1" t="s">
        <v>6</v>
      </c>
      <c r="D38" s="1" t="s">
        <v>4</v>
      </c>
      <c r="E38" s="1" t="s">
        <v>13</v>
      </c>
      <c r="F38" s="1"/>
      <c r="G38" s="1"/>
      <c r="H38" s="1" t="s">
        <v>7</v>
      </c>
      <c r="I38" s="1" t="s">
        <v>7</v>
      </c>
      <c r="J38" s="1" t="s">
        <v>0</v>
      </c>
      <c r="K38" s="1" t="s">
        <v>7</v>
      </c>
      <c r="L38" s="1"/>
      <c r="M38" s="1"/>
      <c r="N38" s="1"/>
      <c r="O38" s="1"/>
      <c r="P38" s="1" t="s">
        <v>6</v>
      </c>
      <c r="Q38" s="1"/>
      <c r="R38" s="1"/>
      <c r="S38" s="1"/>
      <c r="T38" s="1"/>
      <c r="U38" s="39" t="s">
        <v>245</v>
      </c>
      <c r="W38" s="42" t="s">
        <v>236</v>
      </c>
    </row>
    <row r="39" spans="1:23" x14ac:dyDescent="0.25">
      <c r="A39" s="1" t="s">
        <v>74</v>
      </c>
      <c r="B39" s="1" t="s">
        <v>16</v>
      </c>
      <c r="C39" s="1" t="s">
        <v>2</v>
      </c>
      <c r="D39" s="1" t="s">
        <v>0</v>
      </c>
      <c r="E39" s="1" t="s">
        <v>13</v>
      </c>
      <c r="F39" s="1"/>
      <c r="G39" s="1"/>
      <c r="H39" s="1" t="s">
        <v>5</v>
      </c>
      <c r="I39" s="1" t="s">
        <v>3</v>
      </c>
      <c r="J39" s="1" t="s">
        <v>12</v>
      </c>
      <c r="K39" s="1" t="s">
        <v>5</v>
      </c>
      <c r="L39" s="1"/>
      <c r="M39" s="1"/>
      <c r="N39" s="1"/>
      <c r="O39" s="1"/>
      <c r="P39" s="1" t="s">
        <v>2</v>
      </c>
      <c r="Q39" s="1"/>
      <c r="R39" s="1"/>
      <c r="S39" s="1"/>
      <c r="T39" s="1"/>
      <c r="U39" s="40" t="s">
        <v>242</v>
      </c>
      <c r="W39" s="42" t="s">
        <v>237</v>
      </c>
    </row>
    <row r="40" spans="1:23" x14ac:dyDescent="0.25">
      <c r="A40" s="1" t="s">
        <v>75</v>
      </c>
      <c r="B40" s="1" t="s">
        <v>16</v>
      </c>
      <c r="C40" s="1" t="s">
        <v>14</v>
      </c>
      <c r="D40" s="1" t="s">
        <v>10</v>
      </c>
      <c r="E40" s="1" t="s">
        <v>13</v>
      </c>
      <c r="F40" s="1"/>
      <c r="G40" s="1"/>
      <c r="H40" s="1" t="s">
        <v>6</v>
      </c>
      <c r="I40" s="1" t="s">
        <v>7</v>
      </c>
      <c r="J40" s="1" t="s">
        <v>1</v>
      </c>
      <c r="K40" s="1" t="s">
        <v>4</v>
      </c>
      <c r="L40" s="1"/>
      <c r="M40" s="1"/>
      <c r="N40" s="1"/>
      <c r="O40" s="1"/>
      <c r="P40" s="1" t="s">
        <v>10</v>
      </c>
      <c r="Q40" s="1"/>
      <c r="R40" s="1"/>
      <c r="S40" s="1"/>
      <c r="T40" s="1"/>
      <c r="U40" s="39" t="s">
        <v>243</v>
      </c>
      <c r="W40" s="43"/>
    </row>
    <row r="41" spans="1:23" x14ac:dyDescent="0.25">
      <c r="A41" s="1" t="s">
        <v>76</v>
      </c>
      <c r="B41" s="1" t="s">
        <v>34</v>
      </c>
      <c r="C41" s="1" t="s">
        <v>13</v>
      </c>
      <c r="D41" s="1" t="s">
        <v>11</v>
      </c>
      <c r="E41" s="1" t="s">
        <v>8</v>
      </c>
      <c r="F41" s="1"/>
      <c r="G41" s="1"/>
      <c r="H41" s="1" t="s">
        <v>0</v>
      </c>
      <c r="I41" s="1" t="s">
        <v>5</v>
      </c>
      <c r="J41" s="1" t="s">
        <v>6</v>
      </c>
      <c r="K41" s="1" t="s">
        <v>13</v>
      </c>
      <c r="L41" s="1"/>
      <c r="M41" s="1"/>
      <c r="N41" s="1"/>
      <c r="O41" s="1"/>
      <c r="P41" s="1" t="s">
        <v>11</v>
      </c>
      <c r="Q41" s="1"/>
      <c r="R41" s="1"/>
      <c r="S41" s="1"/>
      <c r="T41" s="1"/>
      <c r="U41" s="39" t="s">
        <v>244</v>
      </c>
    </row>
    <row r="42" spans="1:23" ht="15.75" thickBot="1" x14ac:dyDescent="0.3">
      <c r="A42" s="1" t="s">
        <v>77</v>
      </c>
      <c r="B42" s="1" t="s">
        <v>34</v>
      </c>
      <c r="C42" s="1" t="s">
        <v>1</v>
      </c>
      <c r="D42" s="1" t="s">
        <v>4</v>
      </c>
      <c r="E42" s="1" t="s">
        <v>8</v>
      </c>
      <c r="F42" s="1"/>
      <c r="G42" s="1"/>
      <c r="H42" s="1" t="s">
        <v>12</v>
      </c>
      <c r="I42" s="1" t="s">
        <v>4</v>
      </c>
      <c r="J42" s="1" t="s">
        <v>7</v>
      </c>
      <c r="K42" s="1" t="s">
        <v>2</v>
      </c>
      <c r="L42" s="1"/>
      <c r="M42" s="1"/>
      <c r="N42" s="1"/>
      <c r="O42" s="1"/>
      <c r="P42" s="1" t="s">
        <v>1</v>
      </c>
      <c r="Q42" s="1"/>
      <c r="R42" s="1"/>
      <c r="S42" s="1"/>
      <c r="T42" s="1"/>
      <c r="U42" s="41" t="s">
        <v>247</v>
      </c>
    </row>
    <row r="43" spans="1:23" x14ac:dyDescent="0.25">
      <c r="A43" s="1" t="s">
        <v>78</v>
      </c>
      <c r="B43" s="1" t="s">
        <v>34</v>
      </c>
      <c r="C43" s="1" t="s">
        <v>14</v>
      </c>
      <c r="D43" s="1" t="s">
        <v>8</v>
      </c>
      <c r="E43" s="1" t="s">
        <v>2</v>
      </c>
      <c r="F43" s="1"/>
      <c r="G43" s="1"/>
      <c r="H43" s="1" t="s">
        <v>1</v>
      </c>
      <c r="I43" s="1" t="s">
        <v>13</v>
      </c>
      <c r="J43" s="1" t="s">
        <v>5</v>
      </c>
      <c r="K43" s="1" t="s">
        <v>13</v>
      </c>
      <c r="L43" s="1"/>
      <c r="M43" s="1"/>
      <c r="N43" s="1"/>
      <c r="O43" s="1"/>
      <c r="P43" s="1" t="s">
        <v>14</v>
      </c>
      <c r="Q43" s="1"/>
      <c r="R43" s="1"/>
      <c r="S43" s="1"/>
      <c r="T43" s="1"/>
    </row>
    <row r="44" spans="1:23" x14ac:dyDescent="0.25">
      <c r="A44" s="1" t="s">
        <v>79</v>
      </c>
      <c r="B44" s="1" t="s">
        <v>34</v>
      </c>
      <c r="C44" s="1" t="s">
        <v>8</v>
      </c>
      <c r="D44" s="1" t="s">
        <v>11</v>
      </c>
      <c r="E44" s="1" t="s">
        <v>11</v>
      </c>
      <c r="F44" s="1"/>
      <c r="G44" s="1"/>
      <c r="H44" s="1" t="s">
        <v>6</v>
      </c>
      <c r="I44" s="1" t="s">
        <v>2</v>
      </c>
      <c r="J44" s="1" t="s">
        <v>4</v>
      </c>
      <c r="K44" s="1" t="s">
        <v>2</v>
      </c>
      <c r="L44" s="1"/>
      <c r="M44" s="1"/>
      <c r="N44" s="1"/>
      <c r="O44" s="1"/>
      <c r="P44" s="1" t="s">
        <v>8</v>
      </c>
      <c r="Q44" s="1"/>
      <c r="R44" s="1"/>
      <c r="S44" s="1"/>
      <c r="T44" s="1"/>
    </row>
    <row r="45" spans="1:23" x14ac:dyDescent="0.25">
      <c r="A45" s="1" t="s">
        <v>80</v>
      </c>
      <c r="B45" s="1" t="s">
        <v>34</v>
      </c>
      <c r="C45" s="1" t="s">
        <v>10</v>
      </c>
      <c r="D45" s="1" t="s">
        <v>13</v>
      </c>
      <c r="E45" s="1" t="s">
        <v>5</v>
      </c>
      <c r="F45" s="1"/>
      <c r="G45" s="1"/>
      <c r="H45" s="1" t="s">
        <v>7</v>
      </c>
      <c r="I45" s="1" t="s">
        <v>0</v>
      </c>
      <c r="J45" s="1" t="s">
        <v>13</v>
      </c>
      <c r="K45" s="1" t="s">
        <v>2</v>
      </c>
      <c r="L45" s="1"/>
      <c r="M45" s="1"/>
      <c r="N45" s="1"/>
      <c r="O45" s="1"/>
      <c r="P45" s="1" t="s">
        <v>10</v>
      </c>
      <c r="Q45" s="1"/>
      <c r="R45" s="1"/>
      <c r="S45" s="1"/>
      <c r="T45" s="1"/>
    </row>
    <row r="46" spans="1:23" x14ac:dyDescent="0.25">
      <c r="A46" s="1" t="s">
        <v>81</v>
      </c>
      <c r="B46" s="1" t="s">
        <v>34</v>
      </c>
      <c r="C46" s="1" t="s">
        <v>6</v>
      </c>
      <c r="D46" s="1" t="s">
        <v>5</v>
      </c>
      <c r="E46" s="1" t="s">
        <v>9</v>
      </c>
      <c r="F46" s="1"/>
      <c r="G46" s="1"/>
      <c r="H46" s="1" t="s">
        <v>5</v>
      </c>
      <c r="I46" s="1" t="s">
        <v>12</v>
      </c>
      <c r="J46" s="1" t="s">
        <v>2</v>
      </c>
      <c r="K46" s="1" t="s">
        <v>5</v>
      </c>
      <c r="L46" s="1"/>
      <c r="M46" s="1"/>
      <c r="N46" s="1"/>
      <c r="O46" s="1"/>
      <c r="P46" s="1" t="s">
        <v>6</v>
      </c>
      <c r="Q46" s="1"/>
      <c r="R46" s="1"/>
      <c r="S46" s="1"/>
      <c r="T46" s="1"/>
    </row>
    <row r="47" spans="1:23" x14ac:dyDescent="0.25">
      <c r="A47" s="1" t="s">
        <v>82</v>
      </c>
      <c r="B47" s="1" t="s">
        <v>34</v>
      </c>
      <c r="C47" s="1" t="s">
        <v>2</v>
      </c>
      <c r="D47" s="1" t="s">
        <v>3</v>
      </c>
      <c r="E47" s="1" t="s">
        <v>5</v>
      </c>
      <c r="F47" s="1"/>
      <c r="G47" s="1"/>
      <c r="H47" s="1" t="s">
        <v>4</v>
      </c>
      <c r="I47" s="1" t="s">
        <v>1</v>
      </c>
      <c r="J47" s="1" t="s">
        <v>13</v>
      </c>
      <c r="K47" s="1" t="s">
        <v>2</v>
      </c>
      <c r="L47" s="1" t="s">
        <v>1</v>
      </c>
      <c r="M47" s="1"/>
      <c r="N47" s="1"/>
      <c r="O47" s="1"/>
      <c r="P47" s="1" t="s">
        <v>3</v>
      </c>
      <c r="Q47" s="1"/>
      <c r="R47" s="1"/>
      <c r="S47" s="1"/>
      <c r="T47" s="1"/>
    </row>
    <row r="48" spans="1:23" x14ac:dyDescent="0.25">
      <c r="A48" s="1" t="s">
        <v>83</v>
      </c>
      <c r="B48" s="1" t="s">
        <v>34</v>
      </c>
      <c r="C48" s="1" t="s">
        <v>0</v>
      </c>
      <c r="D48" s="1" t="s">
        <v>2</v>
      </c>
      <c r="E48" s="1" t="s">
        <v>6</v>
      </c>
      <c r="F48" s="1"/>
      <c r="G48" s="1"/>
      <c r="H48" s="1" t="s">
        <v>13</v>
      </c>
      <c r="I48" s="1" t="s">
        <v>6</v>
      </c>
      <c r="J48" s="1" t="s">
        <v>2</v>
      </c>
      <c r="K48" s="1" t="s">
        <v>5</v>
      </c>
      <c r="L48" s="1"/>
      <c r="M48" s="1"/>
      <c r="N48" s="1"/>
      <c r="O48" s="1"/>
      <c r="P48" s="1" t="s">
        <v>0</v>
      </c>
      <c r="Q48" s="1"/>
      <c r="R48" s="1"/>
      <c r="S48" s="1"/>
      <c r="T48" s="1"/>
    </row>
    <row r="49" spans="1:20" x14ac:dyDescent="0.25">
      <c r="A49" s="1" t="s">
        <v>84</v>
      </c>
      <c r="B49" s="1" t="s">
        <v>34</v>
      </c>
      <c r="C49" s="1" t="s">
        <v>10</v>
      </c>
      <c r="D49" s="1" t="s">
        <v>8</v>
      </c>
      <c r="E49" s="1" t="s">
        <v>13</v>
      </c>
      <c r="F49" s="1"/>
      <c r="G49" s="1"/>
      <c r="H49" s="1" t="s">
        <v>2</v>
      </c>
      <c r="I49" s="1" t="s">
        <v>7</v>
      </c>
      <c r="J49" s="1" t="s">
        <v>0</v>
      </c>
      <c r="K49" s="1" t="s">
        <v>7</v>
      </c>
      <c r="L49" s="1"/>
      <c r="M49" s="1"/>
      <c r="N49" s="1"/>
      <c r="O49" s="1"/>
      <c r="P49" s="1" t="s">
        <v>10</v>
      </c>
      <c r="Q49" s="1"/>
      <c r="R49" s="1"/>
      <c r="S49" s="1"/>
      <c r="T49" s="1"/>
    </row>
    <row r="50" spans="1:20" x14ac:dyDescent="0.25">
      <c r="A50" s="1" t="s">
        <v>85</v>
      </c>
      <c r="B50" s="1" t="s">
        <v>34</v>
      </c>
      <c r="C50" s="1" t="s">
        <v>5</v>
      </c>
      <c r="D50" s="1" t="s">
        <v>5</v>
      </c>
      <c r="E50" s="1" t="s">
        <v>7</v>
      </c>
      <c r="F50" s="1"/>
      <c r="G50" s="1"/>
      <c r="H50" s="1" t="s">
        <v>0</v>
      </c>
      <c r="I50" s="1" t="s">
        <v>5</v>
      </c>
      <c r="J50" s="1" t="s">
        <v>12</v>
      </c>
      <c r="K50" s="1" t="s">
        <v>0</v>
      </c>
      <c r="L50" s="1"/>
      <c r="M50" s="1"/>
      <c r="N50" s="1"/>
      <c r="O50" s="1"/>
      <c r="P50" s="1" t="s">
        <v>7</v>
      </c>
      <c r="Q50" s="1"/>
      <c r="R50" s="1"/>
      <c r="S50" s="1"/>
      <c r="T50" s="1"/>
    </row>
    <row r="51" spans="1:20" x14ac:dyDescent="0.25">
      <c r="A51" s="1" t="s">
        <v>86</v>
      </c>
      <c r="B51" s="1" t="s">
        <v>34</v>
      </c>
      <c r="C51" s="1" t="s">
        <v>12</v>
      </c>
      <c r="D51" s="1" t="s">
        <v>11</v>
      </c>
      <c r="E51" s="1" t="s">
        <v>6</v>
      </c>
      <c r="F51" s="1"/>
      <c r="G51" s="1"/>
      <c r="H51" s="1" t="s">
        <v>12</v>
      </c>
      <c r="I51" s="1" t="s">
        <v>4</v>
      </c>
      <c r="J51" s="1" t="s">
        <v>1</v>
      </c>
      <c r="K51" s="1" t="s">
        <v>1</v>
      </c>
      <c r="L51" s="1"/>
      <c r="M51" s="1"/>
      <c r="N51" s="1"/>
      <c r="O51" s="1"/>
      <c r="P51" s="1" t="s">
        <v>11</v>
      </c>
      <c r="Q51" s="1"/>
      <c r="R51" s="1"/>
      <c r="S51" s="1"/>
      <c r="T51" s="1"/>
    </row>
    <row r="52" spans="1:20" x14ac:dyDescent="0.25">
      <c r="A52" s="1" t="s">
        <v>87</v>
      </c>
      <c r="B52" s="1" t="s">
        <v>34</v>
      </c>
      <c r="C52" s="1" t="s">
        <v>0</v>
      </c>
      <c r="D52" s="1" t="s">
        <v>6</v>
      </c>
      <c r="E52" s="1" t="s">
        <v>5</v>
      </c>
      <c r="F52" s="1"/>
      <c r="G52" s="1"/>
      <c r="H52" s="1" t="s">
        <v>1</v>
      </c>
      <c r="I52" s="1" t="s">
        <v>13</v>
      </c>
      <c r="J52" s="1" t="s">
        <v>6</v>
      </c>
      <c r="K52" s="1" t="s">
        <v>3</v>
      </c>
      <c r="L52" s="1"/>
      <c r="M52" s="1"/>
      <c r="N52" s="1"/>
      <c r="O52" s="1"/>
      <c r="P52" s="1" t="s">
        <v>0</v>
      </c>
      <c r="Q52" s="1"/>
      <c r="R52" s="1"/>
      <c r="S52" s="1"/>
      <c r="T52" s="1"/>
    </row>
    <row r="53" spans="1:20" x14ac:dyDescent="0.25">
      <c r="A53" s="1" t="s">
        <v>88</v>
      </c>
      <c r="B53" s="1" t="s">
        <v>34</v>
      </c>
      <c r="C53" s="1" t="s">
        <v>13</v>
      </c>
      <c r="D53" s="1" t="s">
        <v>8</v>
      </c>
      <c r="E53" s="1" t="s">
        <v>14</v>
      </c>
      <c r="F53" s="1"/>
      <c r="G53" s="1"/>
      <c r="H53" s="1" t="s">
        <v>6</v>
      </c>
      <c r="I53" s="1" t="s">
        <v>2</v>
      </c>
      <c r="J53" s="1" t="s">
        <v>7</v>
      </c>
      <c r="K53" s="1" t="s">
        <v>7</v>
      </c>
      <c r="L53" s="1"/>
      <c r="M53" s="1"/>
      <c r="N53" s="1"/>
      <c r="O53" s="1"/>
      <c r="P53" s="1" t="s">
        <v>13</v>
      </c>
      <c r="Q53" s="1"/>
      <c r="R53" s="1"/>
      <c r="S53" s="1"/>
      <c r="T53" s="1"/>
    </row>
    <row r="54" spans="1:20" x14ac:dyDescent="0.25">
      <c r="A54" s="1" t="s">
        <v>89</v>
      </c>
      <c r="B54" s="1" t="s">
        <v>34</v>
      </c>
      <c r="C54" s="1" t="s">
        <v>14</v>
      </c>
      <c r="D54" s="1" t="s">
        <v>11</v>
      </c>
      <c r="E54" s="1" t="s">
        <v>3</v>
      </c>
      <c r="F54" s="1"/>
      <c r="G54" s="1"/>
      <c r="H54" s="1" t="s">
        <v>7</v>
      </c>
      <c r="I54" s="1" t="s">
        <v>7</v>
      </c>
      <c r="J54" s="1" t="s">
        <v>5</v>
      </c>
      <c r="K54" s="1" t="s">
        <v>5</v>
      </c>
      <c r="L54" s="1"/>
      <c r="M54" s="1"/>
      <c r="N54" s="1"/>
      <c r="O54" s="1"/>
      <c r="P54" s="1" t="s">
        <v>14</v>
      </c>
      <c r="Q54" s="1"/>
      <c r="R54" s="1"/>
      <c r="S54" s="1"/>
      <c r="T54" s="1"/>
    </row>
    <row r="55" spans="1:20" x14ac:dyDescent="0.25">
      <c r="A55" s="1" t="s">
        <v>90</v>
      </c>
      <c r="B55" s="1" t="s">
        <v>34</v>
      </c>
      <c r="C55" s="1" t="s">
        <v>3</v>
      </c>
      <c r="D55" s="1" t="s">
        <v>11</v>
      </c>
      <c r="E55" s="1" t="s">
        <v>9</v>
      </c>
      <c r="F55" s="1"/>
      <c r="G55" s="1"/>
      <c r="H55" s="1" t="s">
        <v>5</v>
      </c>
      <c r="I55" s="1" t="s">
        <v>3</v>
      </c>
      <c r="J55" s="1" t="s">
        <v>4</v>
      </c>
      <c r="K55" s="1" t="s">
        <v>13</v>
      </c>
      <c r="L55" s="1"/>
      <c r="M55" s="1"/>
      <c r="N55" s="1"/>
      <c r="O55" s="1"/>
      <c r="P55" s="1" t="s">
        <v>11</v>
      </c>
      <c r="Q55" s="1"/>
      <c r="R55" s="1"/>
      <c r="S55" s="1"/>
      <c r="T55" s="1"/>
    </row>
    <row r="56" spans="1:20" x14ac:dyDescent="0.25">
      <c r="A56" s="1" t="s">
        <v>91</v>
      </c>
      <c r="B56" s="1" t="s">
        <v>34</v>
      </c>
      <c r="C56" s="1" t="s">
        <v>11</v>
      </c>
      <c r="D56" s="1" t="s">
        <v>5</v>
      </c>
      <c r="E56" s="1" t="s">
        <v>12</v>
      </c>
      <c r="F56" s="1"/>
      <c r="G56" s="1"/>
      <c r="H56" s="1" t="s">
        <v>4</v>
      </c>
      <c r="I56" s="1" t="s">
        <v>7</v>
      </c>
      <c r="J56" s="1" t="s">
        <v>13</v>
      </c>
      <c r="K56" s="1" t="s">
        <v>4</v>
      </c>
      <c r="L56" s="1"/>
      <c r="M56" s="1"/>
      <c r="N56" s="1"/>
      <c r="O56" s="1"/>
      <c r="P56" s="1" t="s">
        <v>11</v>
      </c>
      <c r="Q56" s="1"/>
      <c r="R56" s="1"/>
      <c r="S56" s="1"/>
      <c r="T56" s="1"/>
    </row>
    <row r="57" spans="1:20" x14ac:dyDescent="0.25">
      <c r="A57" s="1" t="s">
        <v>92</v>
      </c>
      <c r="B57" s="1" t="s">
        <v>34</v>
      </c>
      <c r="C57" s="1" t="s">
        <v>1</v>
      </c>
      <c r="D57" s="1" t="s">
        <v>8</v>
      </c>
      <c r="E57" s="1" t="s">
        <v>14</v>
      </c>
      <c r="F57" s="1"/>
      <c r="G57" s="1"/>
      <c r="H57" s="1" t="s">
        <v>13</v>
      </c>
      <c r="I57" s="1" t="s">
        <v>5</v>
      </c>
      <c r="J57" s="1" t="s">
        <v>2</v>
      </c>
      <c r="K57" s="1" t="s">
        <v>5</v>
      </c>
      <c r="L57" s="1"/>
      <c r="M57" s="1"/>
      <c r="N57" s="1"/>
      <c r="O57" s="1"/>
      <c r="P57" s="1" t="s">
        <v>1</v>
      </c>
      <c r="Q57" s="1"/>
      <c r="R57" s="1"/>
      <c r="S57" s="1"/>
      <c r="T57" s="1"/>
    </row>
    <row r="58" spans="1:20" x14ac:dyDescent="0.25">
      <c r="A58" s="1" t="s">
        <v>93</v>
      </c>
      <c r="B58" s="1" t="s">
        <v>34</v>
      </c>
      <c r="C58" s="1" t="s">
        <v>14</v>
      </c>
      <c r="D58" s="1" t="s">
        <v>0</v>
      </c>
      <c r="E58" s="1" t="s">
        <v>3</v>
      </c>
      <c r="F58" s="1"/>
      <c r="G58" s="1"/>
      <c r="H58" s="1" t="s">
        <v>2</v>
      </c>
      <c r="I58" s="1" t="s">
        <v>4</v>
      </c>
      <c r="J58" s="1" t="s">
        <v>13</v>
      </c>
      <c r="K58" s="1"/>
      <c r="L58" s="1"/>
      <c r="M58" s="1"/>
      <c r="N58" s="1"/>
      <c r="O58" s="1"/>
      <c r="P58" s="1" t="s">
        <v>14</v>
      </c>
      <c r="Q58" s="1"/>
      <c r="R58" s="1"/>
      <c r="S58" s="1"/>
      <c r="T58" s="1"/>
    </row>
    <row r="59" spans="1:20" x14ac:dyDescent="0.25">
      <c r="A59" s="1" t="s">
        <v>94</v>
      </c>
      <c r="B59" s="1" t="s">
        <v>34</v>
      </c>
      <c r="C59" s="1" t="s">
        <v>0</v>
      </c>
      <c r="D59" s="1" t="s">
        <v>4</v>
      </c>
      <c r="E59" s="1" t="s">
        <v>1</v>
      </c>
      <c r="F59" s="1"/>
      <c r="G59" s="1"/>
      <c r="H59" s="1" t="s">
        <v>4</v>
      </c>
      <c r="I59" s="1" t="s">
        <v>13</v>
      </c>
      <c r="J59" s="1" t="s">
        <v>2</v>
      </c>
      <c r="K59" s="1"/>
      <c r="L59" s="1"/>
      <c r="M59" s="1"/>
      <c r="N59" s="1"/>
      <c r="O59" s="1"/>
      <c r="P59" s="1" t="s">
        <v>0</v>
      </c>
      <c r="Q59" s="1"/>
      <c r="R59" s="1"/>
      <c r="S59" s="1"/>
      <c r="T59" s="1"/>
    </row>
    <row r="60" spans="1:20" x14ac:dyDescent="0.25">
      <c r="A60" s="1" t="s">
        <v>95</v>
      </c>
      <c r="B60" s="1" t="s">
        <v>34</v>
      </c>
      <c r="C60" s="1" t="s">
        <v>14</v>
      </c>
      <c r="D60" s="1" t="s">
        <v>11</v>
      </c>
      <c r="E60" s="1" t="s">
        <v>5</v>
      </c>
      <c r="F60" s="1"/>
      <c r="G60" s="1"/>
      <c r="H60" s="1" t="s">
        <v>13</v>
      </c>
      <c r="I60" s="1" t="s">
        <v>2</v>
      </c>
      <c r="J60" s="1" t="s">
        <v>0</v>
      </c>
      <c r="K60" s="1"/>
      <c r="L60" s="1"/>
      <c r="M60" s="1"/>
      <c r="N60" s="1"/>
      <c r="O60" s="1"/>
      <c r="P60" s="1" t="s">
        <v>14</v>
      </c>
      <c r="Q60" s="1"/>
      <c r="R60" s="1"/>
      <c r="S60" s="1"/>
      <c r="T60" s="1"/>
    </row>
    <row r="61" spans="1:20" x14ac:dyDescent="0.25">
      <c r="A61" s="1" t="s">
        <v>96</v>
      </c>
      <c r="B61" s="1" t="s">
        <v>34</v>
      </c>
      <c r="C61" s="1" t="s">
        <v>9</v>
      </c>
      <c r="D61" s="1" t="s">
        <v>0</v>
      </c>
      <c r="E61" s="1" t="s">
        <v>7</v>
      </c>
      <c r="F61" s="1"/>
      <c r="G61" s="1"/>
      <c r="H61" s="1" t="s">
        <v>2</v>
      </c>
      <c r="I61" s="1" t="s">
        <v>0</v>
      </c>
      <c r="J61" s="1" t="s">
        <v>12</v>
      </c>
      <c r="K61" s="1"/>
      <c r="L61" s="1"/>
      <c r="M61" s="1"/>
      <c r="N61" s="1"/>
      <c r="O61" s="1"/>
      <c r="P61" s="1" t="s">
        <v>9</v>
      </c>
      <c r="Q61" s="1"/>
      <c r="R61" s="1"/>
      <c r="S61" s="1"/>
      <c r="T61" s="1"/>
    </row>
    <row r="62" spans="1:20" x14ac:dyDescent="0.25">
      <c r="A62" s="1" t="s">
        <v>97</v>
      </c>
      <c r="B62" s="1" t="s">
        <v>34</v>
      </c>
      <c r="C62" s="1" t="s">
        <v>1</v>
      </c>
      <c r="D62" s="1" t="s">
        <v>8</v>
      </c>
      <c r="E62" s="1" t="s">
        <v>8</v>
      </c>
      <c r="F62" s="1"/>
      <c r="G62" s="1"/>
      <c r="H62" s="1" t="s">
        <v>7</v>
      </c>
      <c r="I62" s="1" t="s">
        <v>12</v>
      </c>
      <c r="J62" s="1" t="s">
        <v>1</v>
      </c>
      <c r="K62" s="1"/>
      <c r="L62" s="1"/>
      <c r="M62" s="1"/>
      <c r="N62" s="1"/>
      <c r="O62" s="1"/>
      <c r="P62" s="1" t="s">
        <v>8</v>
      </c>
      <c r="Q62" s="1"/>
      <c r="R62" s="1"/>
      <c r="S62" s="1"/>
      <c r="T62" s="1"/>
    </row>
    <row r="63" spans="1:20" x14ac:dyDescent="0.25">
      <c r="A63" s="1" t="s">
        <v>98</v>
      </c>
      <c r="B63" s="1" t="s">
        <v>34</v>
      </c>
      <c r="C63" s="1" t="s">
        <v>9</v>
      </c>
      <c r="D63" s="1" t="s">
        <v>3</v>
      </c>
      <c r="E63" s="1" t="s">
        <v>11</v>
      </c>
      <c r="F63" s="1"/>
      <c r="G63" s="1"/>
      <c r="H63" s="1" t="s">
        <v>5</v>
      </c>
      <c r="I63" s="1" t="s">
        <v>1</v>
      </c>
      <c r="J63" s="1" t="s">
        <v>6</v>
      </c>
      <c r="K63" s="1"/>
      <c r="L63" s="1"/>
      <c r="M63" s="1"/>
      <c r="N63" s="1"/>
      <c r="O63" s="1"/>
      <c r="P63" s="1" t="s">
        <v>9</v>
      </c>
      <c r="Q63" s="1"/>
      <c r="R63" s="1"/>
      <c r="S63" s="1"/>
      <c r="T63" s="1"/>
    </row>
    <row r="64" spans="1:20" x14ac:dyDescent="0.25">
      <c r="A64" s="1" t="s">
        <v>99</v>
      </c>
      <c r="B64" s="1" t="s">
        <v>34</v>
      </c>
      <c r="C64" s="1" t="s">
        <v>3</v>
      </c>
      <c r="D64" s="1" t="s">
        <v>7</v>
      </c>
      <c r="E64" s="1" t="s">
        <v>2</v>
      </c>
      <c r="F64" s="1"/>
      <c r="G64" s="1"/>
      <c r="H64" s="1" t="s">
        <v>4</v>
      </c>
      <c r="I64" s="1" t="s">
        <v>6</v>
      </c>
      <c r="J64" s="1" t="s">
        <v>7</v>
      </c>
      <c r="K64" s="1"/>
      <c r="L64" s="1"/>
      <c r="M64" s="1"/>
      <c r="N64" s="1"/>
      <c r="O64" s="1"/>
      <c r="P64" s="1" t="s">
        <v>3</v>
      </c>
      <c r="Q64" s="1"/>
      <c r="R64" s="1"/>
      <c r="S64" s="1"/>
      <c r="T64" s="1"/>
    </row>
    <row r="65" spans="1:20" x14ac:dyDescent="0.25">
      <c r="A65" s="1" t="s">
        <v>100</v>
      </c>
      <c r="B65" s="1" t="s">
        <v>34</v>
      </c>
      <c r="C65" s="1" t="s">
        <v>11</v>
      </c>
      <c r="D65" s="1" t="s">
        <v>10</v>
      </c>
      <c r="E65" s="1" t="s">
        <v>1</v>
      </c>
      <c r="F65" s="1"/>
      <c r="G65" s="1"/>
      <c r="H65" s="1" t="s">
        <v>13</v>
      </c>
      <c r="I65" s="1" t="s">
        <v>7</v>
      </c>
      <c r="J65" s="1" t="s">
        <v>5</v>
      </c>
      <c r="K65" s="1"/>
      <c r="L65" s="1"/>
      <c r="M65" s="1"/>
      <c r="N65" s="1"/>
      <c r="O65" s="1"/>
      <c r="P65" s="1" t="s">
        <v>11</v>
      </c>
      <c r="Q65" s="1"/>
      <c r="R65" s="1"/>
      <c r="S65" s="1"/>
      <c r="T65" s="1"/>
    </row>
    <row r="66" spans="1:20" x14ac:dyDescent="0.25">
      <c r="A66" s="1" t="s">
        <v>101</v>
      </c>
      <c r="B66" s="1" t="s">
        <v>34</v>
      </c>
      <c r="C66" s="1" t="s">
        <v>4</v>
      </c>
      <c r="D66" s="1" t="s">
        <v>9</v>
      </c>
      <c r="E66" s="1" t="s">
        <v>5</v>
      </c>
      <c r="F66" s="1"/>
      <c r="G66" s="1"/>
      <c r="H66" s="1" t="s">
        <v>2</v>
      </c>
      <c r="I66" s="1" t="s">
        <v>5</v>
      </c>
      <c r="J66" s="1" t="s">
        <v>4</v>
      </c>
      <c r="K66" s="1"/>
      <c r="L66" s="1"/>
      <c r="M66" s="1"/>
      <c r="N66" s="1"/>
      <c r="O66" s="1"/>
      <c r="P66" s="1" t="s">
        <v>9</v>
      </c>
      <c r="Q66" s="1"/>
      <c r="R66" s="1"/>
      <c r="S66" s="1"/>
      <c r="T66" s="1"/>
    </row>
    <row r="67" spans="1:20" x14ac:dyDescent="0.25">
      <c r="A67" s="1" t="s">
        <v>102</v>
      </c>
      <c r="B67" s="1" t="s">
        <v>34</v>
      </c>
      <c r="C67" s="1" t="s">
        <v>6</v>
      </c>
      <c r="D67" s="1" t="s">
        <v>12</v>
      </c>
      <c r="E67" s="1" t="s">
        <v>5</v>
      </c>
      <c r="F67" s="1"/>
      <c r="G67" s="1"/>
      <c r="H67" s="1" t="s">
        <v>7</v>
      </c>
      <c r="I67" s="1" t="s">
        <v>4</v>
      </c>
      <c r="J67" s="1" t="s">
        <v>13</v>
      </c>
      <c r="K67" s="1"/>
      <c r="L67" s="1"/>
      <c r="M67" s="1"/>
      <c r="N67" s="1"/>
      <c r="O67" s="1"/>
      <c r="P67" s="1" t="s">
        <v>6</v>
      </c>
      <c r="Q67" s="1"/>
      <c r="R67" s="1"/>
      <c r="S67" s="1"/>
      <c r="T67" s="1"/>
    </row>
    <row r="68" spans="1:20" x14ac:dyDescent="0.25">
      <c r="A68" s="1" t="s">
        <v>103</v>
      </c>
      <c r="B68" s="1" t="s">
        <v>34</v>
      </c>
      <c r="C68" s="1" t="s">
        <v>13</v>
      </c>
      <c r="D68" s="1" t="s">
        <v>4</v>
      </c>
      <c r="E68" s="1" t="s">
        <v>1</v>
      </c>
      <c r="F68" s="1"/>
      <c r="G68" s="1"/>
      <c r="H68" s="1" t="s">
        <v>0</v>
      </c>
      <c r="I68" s="1" t="s">
        <v>13</v>
      </c>
      <c r="J68" s="1" t="s">
        <v>2</v>
      </c>
      <c r="K68" s="1"/>
      <c r="L68" s="1"/>
      <c r="M68" s="1"/>
      <c r="N68" s="1"/>
      <c r="O68" s="1"/>
      <c r="P68" s="1" t="s">
        <v>4</v>
      </c>
      <c r="Q68" s="1"/>
      <c r="R68" s="1"/>
      <c r="S68" s="1"/>
      <c r="T68" s="1"/>
    </row>
    <row r="69" spans="1:20" x14ac:dyDescent="0.25">
      <c r="A69" s="1" t="s">
        <v>104</v>
      </c>
      <c r="B69" s="1" t="s">
        <v>34</v>
      </c>
      <c r="C69" s="1" t="s">
        <v>0</v>
      </c>
      <c r="D69" s="1" t="s">
        <v>2</v>
      </c>
      <c r="E69" s="1" t="s">
        <v>13</v>
      </c>
      <c r="F69" s="1"/>
      <c r="G69" s="1"/>
      <c r="H69" s="1" t="s">
        <v>12</v>
      </c>
      <c r="I69" s="1" t="s">
        <v>2</v>
      </c>
      <c r="J69" s="1" t="s">
        <v>14</v>
      </c>
      <c r="K69" s="1"/>
      <c r="L69" s="1"/>
      <c r="M69" s="1"/>
      <c r="N69" s="1"/>
      <c r="O69" s="1"/>
      <c r="P69" s="1" t="s">
        <v>0</v>
      </c>
      <c r="Q69" s="1"/>
      <c r="R69" s="1"/>
      <c r="S69" s="1"/>
      <c r="T69" s="1"/>
    </row>
    <row r="70" spans="1:20" x14ac:dyDescent="0.25">
      <c r="A70" s="1" t="s">
        <v>105</v>
      </c>
      <c r="B70" s="1" t="s">
        <v>34</v>
      </c>
      <c r="C70" s="1" t="s">
        <v>6</v>
      </c>
      <c r="D70" s="1" t="s">
        <v>10</v>
      </c>
      <c r="E70" s="1" t="s">
        <v>0</v>
      </c>
      <c r="F70" s="1"/>
      <c r="G70" s="1"/>
      <c r="H70" s="1" t="s">
        <v>1</v>
      </c>
      <c r="I70" s="1" t="s">
        <v>5</v>
      </c>
      <c r="J70" s="1" t="s">
        <v>13</v>
      </c>
      <c r="K70" s="1"/>
      <c r="L70" s="1"/>
      <c r="M70" s="1"/>
      <c r="N70" s="1"/>
      <c r="O70" s="1"/>
      <c r="P70" s="1" t="s">
        <v>6</v>
      </c>
      <c r="Q70" s="1"/>
      <c r="R70" s="1"/>
      <c r="S70" s="1"/>
      <c r="T70" s="1"/>
    </row>
    <row r="71" spans="1:20" x14ac:dyDescent="0.25">
      <c r="A71" s="1" t="s">
        <v>106</v>
      </c>
      <c r="B71" s="1" t="s">
        <v>34</v>
      </c>
      <c r="C71" s="1" t="s">
        <v>6</v>
      </c>
      <c r="D71" s="1" t="s">
        <v>10</v>
      </c>
      <c r="E71" s="1" t="s">
        <v>3</v>
      </c>
      <c r="F71" s="1"/>
      <c r="G71" s="1"/>
      <c r="H71" s="1" t="s">
        <v>6</v>
      </c>
      <c r="I71" s="1" t="s">
        <v>4</v>
      </c>
      <c r="J71" s="1" t="s">
        <v>7</v>
      </c>
      <c r="K71" s="1"/>
      <c r="L71" s="1"/>
      <c r="M71" s="1"/>
      <c r="N71" s="1"/>
      <c r="O71" s="1"/>
      <c r="P71" s="1" t="s">
        <v>10</v>
      </c>
      <c r="Q71" s="1"/>
      <c r="R71" s="1"/>
      <c r="S71" s="1"/>
      <c r="T71" s="1"/>
    </row>
    <row r="72" spans="1:20" x14ac:dyDescent="0.25">
      <c r="A72" s="1" t="s">
        <v>107</v>
      </c>
      <c r="B72" s="1" t="s">
        <v>34</v>
      </c>
      <c r="C72" s="1" t="s">
        <v>9</v>
      </c>
      <c r="D72" s="1" t="s">
        <v>3</v>
      </c>
      <c r="E72" s="1" t="s">
        <v>11</v>
      </c>
      <c r="F72" s="1"/>
      <c r="G72" s="1"/>
      <c r="H72" s="1" t="s">
        <v>7</v>
      </c>
      <c r="I72" s="1" t="s">
        <v>13</v>
      </c>
      <c r="J72" s="1" t="s">
        <v>3</v>
      </c>
      <c r="K72" s="1"/>
      <c r="L72" s="1"/>
      <c r="M72" s="1"/>
      <c r="N72" s="1"/>
      <c r="O72" s="1"/>
      <c r="P72" s="1" t="s">
        <v>9</v>
      </c>
      <c r="Q72" s="1"/>
      <c r="R72" s="1"/>
      <c r="S72" s="1"/>
      <c r="T72" s="1"/>
    </row>
    <row r="73" spans="1:20" x14ac:dyDescent="0.25">
      <c r="A73" s="1" t="s">
        <v>108</v>
      </c>
      <c r="B73" s="1" t="s">
        <v>34</v>
      </c>
      <c r="C73" s="1" t="s">
        <v>3</v>
      </c>
      <c r="D73" s="1" t="s">
        <v>7</v>
      </c>
      <c r="E73" s="1" t="s">
        <v>2</v>
      </c>
      <c r="F73" s="1"/>
      <c r="G73" s="1"/>
      <c r="H73" s="1" t="s">
        <v>5</v>
      </c>
      <c r="I73" s="1" t="s">
        <v>2</v>
      </c>
      <c r="J73" s="1" t="s">
        <v>7</v>
      </c>
      <c r="K73" s="1"/>
      <c r="L73" s="1"/>
      <c r="M73" s="1"/>
      <c r="N73" s="1"/>
      <c r="O73" s="1"/>
      <c r="P73" s="1" t="s">
        <v>3</v>
      </c>
      <c r="Q73" s="1"/>
      <c r="R73" s="1"/>
      <c r="S73" s="1"/>
      <c r="T73" s="1"/>
    </row>
    <row r="74" spans="1:20" x14ac:dyDescent="0.25">
      <c r="A74" s="1" t="s">
        <v>109</v>
      </c>
      <c r="B74" s="1" t="s">
        <v>34</v>
      </c>
      <c r="C74" s="1" t="s">
        <v>11</v>
      </c>
      <c r="D74" s="1" t="s">
        <v>10</v>
      </c>
      <c r="E74" s="1" t="s">
        <v>1</v>
      </c>
      <c r="F74" s="1"/>
      <c r="G74" s="1"/>
      <c r="H74" s="1" t="s">
        <v>4</v>
      </c>
      <c r="I74" s="1" t="s">
        <v>2</v>
      </c>
      <c r="J74" s="1" t="s">
        <v>5</v>
      </c>
      <c r="K74" s="1"/>
      <c r="L74" s="1"/>
      <c r="M74" s="1"/>
      <c r="N74" s="1"/>
      <c r="O74" s="1"/>
      <c r="P74" s="1" t="s">
        <v>10</v>
      </c>
      <c r="Q74" s="1"/>
      <c r="R74" s="1"/>
      <c r="S74" s="1"/>
      <c r="T74" s="1"/>
    </row>
    <row r="75" spans="1:20" x14ac:dyDescent="0.25">
      <c r="A75" s="1" t="s">
        <v>110</v>
      </c>
      <c r="B75" s="1" t="s">
        <v>34</v>
      </c>
      <c r="C75" s="1" t="s">
        <v>4</v>
      </c>
      <c r="D75" s="1" t="s">
        <v>9</v>
      </c>
      <c r="E75" s="1" t="s">
        <v>5</v>
      </c>
      <c r="F75" s="1"/>
      <c r="G75" s="1"/>
      <c r="H75" s="1" t="s">
        <v>13</v>
      </c>
      <c r="I75" s="1" t="s">
        <v>14</v>
      </c>
      <c r="J75" s="1" t="s">
        <v>4</v>
      </c>
      <c r="K75" s="1"/>
      <c r="L75" s="1"/>
      <c r="M75" s="1"/>
      <c r="N75" s="1"/>
      <c r="O75" s="1"/>
      <c r="P75" s="1" t="s">
        <v>9</v>
      </c>
      <c r="Q75" s="1"/>
      <c r="R75" s="1"/>
      <c r="S75" s="1"/>
      <c r="T75" s="1"/>
    </row>
    <row r="76" spans="1:20" x14ac:dyDescent="0.25">
      <c r="A76" s="1" t="s">
        <v>111</v>
      </c>
      <c r="B76" s="1" t="s">
        <v>34</v>
      </c>
      <c r="C76" s="1" t="s">
        <v>6</v>
      </c>
      <c r="D76" s="1" t="s">
        <v>12</v>
      </c>
      <c r="E76" s="1" t="s">
        <v>5</v>
      </c>
      <c r="F76" s="1"/>
      <c r="G76" s="1"/>
      <c r="H76" s="1" t="s">
        <v>2</v>
      </c>
      <c r="I76" s="1" t="s">
        <v>13</v>
      </c>
      <c r="J76" s="1" t="s">
        <v>13</v>
      </c>
      <c r="K76" s="1"/>
      <c r="L76" s="1"/>
      <c r="M76" s="1"/>
      <c r="N76" s="1"/>
      <c r="O76" s="1"/>
      <c r="P76" s="1" t="s">
        <v>6</v>
      </c>
      <c r="Q76" s="1"/>
      <c r="R76" s="1"/>
      <c r="S76" s="1"/>
      <c r="T76" s="1"/>
    </row>
    <row r="77" spans="1:20" x14ac:dyDescent="0.25">
      <c r="A77" s="1" t="s">
        <v>112</v>
      </c>
      <c r="B77" s="1" t="s">
        <v>34</v>
      </c>
      <c r="C77" s="1" t="s">
        <v>8</v>
      </c>
      <c r="D77" s="1" t="s">
        <v>0</v>
      </c>
      <c r="E77" s="1" t="s">
        <v>12</v>
      </c>
      <c r="F77" s="1"/>
      <c r="G77" s="1"/>
      <c r="H77" s="1" t="s">
        <v>3</v>
      </c>
      <c r="I77" s="1" t="s">
        <v>7</v>
      </c>
      <c r="J77" s="1" t="s">
        <v>2</v>
      </c>
      <c r="K77" s="1"/>
      <c r="L77" s="1"/>
      <c r="M77" s="1"/>
      <c r="N77" s="1"/>
      <c r="O77" s="1"/>
      <c r="P77" s="1" t="s">
        <v>8</v>
      </c>
      <c r="Q77" s="1"/>
      <c r="R77" s="1"/>
      <c r="S77" s="1"/>
      <c r="T77" s="1"/>
    </row>
    <row r="78" spans="1:20" x14ac:dyDescent="0.25">
      <c r="A78" s="1" t="s">
        <v>113</v>
      </c>
      <c r="B78" s="1" t="s">
        <v>34</v>
      </c>
      <c r="C78" s="1" t="s">
        <v>11</v>
      </c>
      <c r="D78" s="1" t="s">
        <v>4</v>
      </c>
      <c r="E78" s="1" t="s">
        <v>12</v>
      </c>
      <c r="F78" s="1"/>
      <c r="G78" s="1"/>
      <c r="H78" s="1" t="s">
        <v>7</v>
      </c>
      <c r="I78" s="1" t="s">
        <v>3</v>
      </c>
      <c r="J78" s="1"/>
      <c r="K78" s="1"/>
      <c r="L78" s="1"/>
      <c r="M78" s="1"/>
      <c r="N78" s="1"/>
      <c r="O78" s="1"/>
      <c r="P78" s="1" t="s">
        <v>4</v>
      </c>
      <c r="Q78" s="1"/>
      <c r="R78" s="1"/>
      <c r="S78" s="1"/>
      <c r="T78" s="1"/>
    </row>
    <row r="79" spans="1:20" x14ac:dyDescent="0.25">
      <c r="A79" s="1" t="s">
        <v>114</v>
      </c>
      <c r="B79" s="1" t="s">
        <v>34</v>
      </c>
      <c r="C79" s="1" t="s">
        <v>0</v>
      </c>
      <c r="D79" s="1" t="s">
        <v>5</v>
      </c>
      <c r="E79" s="1" t="s">
        <v>3</v>
      </c>
      <c r="F79" s="1"/>
      <c r="G79" s="1"/>
      <c r="H79" s="1" t="s">
        <v>5</v>
      </c>
      <c r="I79" s="1" t="s">
        <v>7</v>
      </c>
      <c r="J79" s="1" t="s">
        <v>2</v>
      </c>
      <c r="K79" s="1"/>
      <c r="L79" s="1"/>
      <c r="M79" s="1"/>
      <c r="N79" s="1"/>
      <c r="O79" s="1"/>
      <c r="P79" s="1" t="s">
        <v>0</v>
      </c>
      <c r="Q79" s="1"/>
      <c r="R79" s="1"/>
      <c r="S79" s="1"/>
      <c r="T79" s="1"/>
    </row>
    <row r="80" spans="1:20" x14ac:dyDescent="0.25">
      <c r="A80" s="1" t="s">
        <v>115</v>
      </c>
      <c r="B80" s="1" t="s">
        <v>34</v>
      </c>
      <c r="C80" s="1" t="s">
        <v>13</v>
      </c>
      <c r="D80" s="1" t="s">
        <v>2</v>
      </c>
      <c r="E80" s="1" t="s">
        <v>7</v>
      </c>
      <c r="F80" s="1"/>
      <c r="G80" s="1"/>
      <c r="H80" s="1" t="s">
        <v>4</v>
      </c>
      <c r="I80" s="1" t="s">
        <v>5</v>
      </c>
      <c r="J80" s="1" t="s">
        <v>5</v>
      </c>
      <c r="K80" s="1"/>
      <c r="L80" s="1"/>
      <c r="M80" s="1"/>
      <c r="N80" s="1"/>
      <c r="O80" s="1"/>
      <c r="P80" s="1" t="s">
        <v>13</v>
      </c>
      <c r="Q80" s="1"/>
      <c r="R80" s="1"/>
      <c r="S80" s="1"/>
      <c r="T80" s="1"/>
    </row>
    <row r="81" spans="1:20" x14ac:dyDescent="0.25">
      <c r="A81" s="1" t="s">
        <v>116</v>
      </c>
      <c r="B81" s="1" t="s">
        <v>34</v>
      </c>
      <c r="C81" s="1" t="s">
        <v>11</v>
      </c>
      <c r="D81" s="1" t="s">
        <v>8</v>
      </c>
      <c r="E81" s="1" t="s">
        <v>1</v>
      </c>
      <c r="F81" s="1"/>
      <c r="G81" s="1"/>
      <c r="H81" s="1" t="s">
        <v>13</v>
      </c>
      <c r="I81" s="1" t="s">
        <v>4</v>
      </c>
      <c r="J81" s="1" t="s">
        <v>2</v>
      </c>
      <c r="K81" s="1"/>
      <c r="L81" s="1"/>
      <c r="M81" s="1"/>
      <c r="N81" s="1"/>
      <c r="O81" s="1"/>
      <c r="P81" s="1" t="s">
        <v>8</v>
      </c>
      <c r="Q81" s="1"/>
      <c r="R81" s="1"/>
      <c r="S81" s="1"/>
      <c r="T81" s="1"/>
    </row>
    <row r="82" spans="1:20" x14ac:dyDescent="0.25">
      <c r="A82" s="1" t="s">
        <v>117</v>
      </c>
      <c r="B82" s="1" t="s">
        <v>34</v>
      </c>
      <c r="C82" s="1" t="s">
        <v>10</v>
      </c>
      <c r="D82" s="1" t="s">
        <v>9</v>
      </c>
      <c r="E82" s="1" t="s">
        <v>0</v>
      </c>
      <c r="F82" s="1"/>
      <c r="G82" s="1"/>
      <c r="H82" s="1" t="s">
        <v>2</v>
      </c>
      <c r="I82" s="1" t="s">
        <v>13</v>
      </c>
      <c r="J82" s="1" t="s">
        <v>5</v>
      </c>
      <c r="K82" s="1"/>
      <c r="L82" s="1"/>
      <c r="M82" s="1"/>
      <c r="N82" s="1"/>
      <c r="O82" s="1"/>
      <c r="P82" s="1" t="s">
        <v>10</v>
      </c>
      <c r="Q82" s="1"/>
      <c r="R82" s="1"/>
      <c r="S82" s="1"/>
      <c r="T82" s="1"/>
    </row>
    <row r="83" spans="1:20" x14ac:dyDescent="0.25">
      <c r="A83" s="1" t="s">
        <v>118</v>
      </c>
      <c r="B83" s="1" t="s">
        <v>34</v>
      </c>
      <c r="C83" s="1" t="s">
        <v>6</v>
      </c>
      <c r="D83" s="1" t="s">
        <v>4</v>
      </c>
      <c r="E83" s="1" t="s">
        <v>13</v>
      </c>
      <c r="F83" s="1"/>
      <c r="G83" s="1"/>
      <c r="H83" s="1" t="s">
        <v>9</v>
      </c>
      <c r="I83" s="1" t="s">
        <v>2</v>
      </c>
      <c r="J83" s="1" t="s">
        <v>7</v>
      </c>
      <c r="K83" s="1"/>
      <c r="L83" s="1"/>
      <c r="M83" s="1"/>
      <c r="N83" s="1"/>
      <c r="O83" s="1"/>
      <c r="P83" s="1" t="s">
        <v>6</v>
      </c>
      <c r="Q83" s="1"/>
      <c r="R83" s="1"/>
      <c r="S83" s="1"/>
      <c r="T83" s="1"/>
    </row>
    <row r="84" spans="1:20" x14ac:dyDescent="0.25">
      <c r="A84" s="1" t="s">
        <v>119</v>
      </c>
      <c r="B84" s="1" t="s">
        <v>34</v>
      </c>
      <c r="C84" s="1" t="s">
        <v>2</v>
      </c>
      <c r="D84" s="1" t="s">
        <v>0</v>
      </c>
      <c r="E84" s="1" t="s">
        <v>13</v>
      </c>
      <c r="F84" s="1"/>
      <c r="G84" s="1"/>
      <c r="H84" s="1" t="s">
        <v>4</v>
      </c>
      <c r="I84" s="1" t="s">
        <v>6</v>
      </c>
      <c r="J84" s="1" t="s">
        <v>0</v>
      </c>
      <c r="K84" s="1"/>
      <c r="L84" s="1"/>
      <c r="M84" s="1"/>
      <c r="N84" s="1"/>
      <c r="O84" s="1"/>
      <c r="P84" s="1" t="s">
        <v>2</v>
      </c>
      <c r="Q84" s="1"/>
      <c r="R84" s="1"/>
      <c r="S84" s="1"/>
      <c r="T84" s="1"/>
    </row>
    <row r="85" spans="1:20" x14ac:dyDescent="0.25">
      <c r="A85" s="1" t="s">
        <v>120</v>
      </c>
      <c r="B85" s="1" t="s">
        <v>34</v>
      </c>
      <c r="C85" s="1" t="s">
        <v>14</v>
      </c>
      <c r="D85" s="1" t="s">
        <v>10</v>
      </c>
      <c r="E85" s="1" t="s">
        <v>13</v>
      </c>
      <c r="F85" s="1"/>
      <c r="G85" s="1"/>
      <c r="H85" s="1" t="s">
        <v>5</v>
      </c>
      <c r="I85" s="1" t="s">
        <v>5</v>
      </c>
      <c r="J85" s="1" t="s">
        <v>1</v>
      </c>
      <c r="K85" s="1"/>
      <c r="L85" s="1"/>
      <c r="M85" s="1"/>
      <c r="N85" s="1"/>
      <c r="O85" s="1"/>
      <c r="P85" s="1" t="s">
        <v>14</v>
      </c>
      <c r="Q85" s="1"/>
      <c r="R85" s="1"/>
      <c r="S85" s="1"/>
      <c r="T85" s="1"/>
    </row>
    <row r="86" spans="1:20" x14ac:dyDescent="0.25">
      <c r="A86" s="1" t="s">
        <v>121</v>
      </c>
      <c r="B86" s="1" t="s">
        <v>34</v>
      </c>
      <c r="C86" s="1" t="s">
        <v>0</v>
      </c>
      <c r="D86" s="1" t="s">
        <v>2</v>
      </c>
      <c r="E86" s="1" t="s">
        <v>6</v>
      </c>
      <c r="F86" s="1"/>
      <c r="G86" s="1"/>
      <c r="H86" s="1" t="s">
        <v>4</v>
      </c>
      <c r="I86" s="1" t="s">
        <v>5</v>
      </c>
      <c r="J86" s="1" t="s">
        <v>3</v>
      </c>
      <c r="K86" s="1"/>
      <c r="L86" s="1"/>
      <c r="M86" s="1"/>
      <c r="N86" s="1"/>
      <c r="O86" s="1"/>
      <c r="P86" s="1" t="s">
        <v>2</v>
      </c>
      <c r="Q86" s="1"/>
      <c r="R86" s="1"/>
      <c r="S86" s="1"/>
      <c r="T86" s="1"/>
    </row>
    <row r="87" spans="1:20" x14ac:dyDescent="0.25">
      <c r="A87" s="1" t="s">
        <v>122</v>
      </c>
      <c r="B87" s="1" t="s">
        <v>33</v>
      </c>
      <c r="C87" s="1" t="s">
        <v>10</v>
      </c>
      <c r="D87" s="1" t="s">
        <v>8</v>
      </c>
      <c r="E87" s="1" t="s">
        <v>13</v>
      </c>
      <c r="F87" s="1"/>
      <c r="G87" s="1"/>
      <c r="H87" s="1" t="s">
        <v>5</v>
      </c>
      <c r="I87" s="1" t="s">
        <v>5</v>
      </c>
      <c r="J87" s="1" t="s">
        <v>7</v>
      </c>
      <c r="K87" s="1"/>
      <c r="L87" s="1"/>
      <c r="M87" s="1"/>
      <c r="N87" s="1"/>
      <c r="O87" s="1"/>
      <c r="P87" s="1" t="s">
        <v>10</v>
      </c>
      <c r="Q87" s="1"/>
      <c r="R87" s="1"/>
      <c r="S87" s="1"/>
      <c r="T87" s="1"/>
    </row>
    <row r="88" spans="1:20" x14ac:dyDescent="0.25">
      <c r="A88" s="1" t="s">
        <v>123</v>
      </c>
      <c r="B88" s="1" t="s">
        <v>33</v>
      </c>
      <c r="C88" s="1" t="s">
        <v>5</v>
      </c>
      <c r="D88" s="1" t="s">
        <v>5</v>
      </c>
      <c r="E88" s="1" t="s">
        <v>7</v>
      </c>
      <c r="F88" s="1"/>
      <c r="G88" s="1"/>
      <c r="H88" s="1" t="s">
        <v>10</v>
      </c>
      <c r="I88" s="1" t="s">
        <v>9</v>
      </c>
      <c r="J88" s="1" t="s">
        <v>12</v>
      </c>
      <c r="K88" s="1"/>
      <c r="L88" s="1"/>
      <c r="M88" s="1"/>
      <c r="N88" s="1"/>
      <c r="O88" s="1"/>
      <c r="P88" s="1" t="s">
        <v>5</v>
      </c>
      <c r="Q88" s="1"/>
      <c r="R88" s="1"/>
      <c r="S88" s="1"/>
      <c r="T88" s="1"/>
    </row>
    <row r="89" spans="1:20" x14ac:dyDescent="0.25">
      <c r="A89" s="1" t="s">
        <v>124</v>
      </c>
      <c r="B89" s="1" t="s">
        <v>33</v>
      </c>
      <c r="C89" s="1" t="s">
        <v>12</v>
      </c>
      <c r="D89" s="1" t="s">
        <v>11</v>
      </c>
      <c r="E89" s="1" t="s">
        <v>6</v>
      </c>
      <c r="F89" s="1"/>
      <c r="G89" s="1"/>
      <c r="H89" s="1" t="s">
        <v>0</v>
      </c>
      <c r="I89" s="1" t="s">
        <v>0</v>
      </c>
      <c r="J89" s="1" t="s">
        <v>13</v>
      </c>
      <c r="K89" s="1"/>
      <c r="L89" s="1"/>
      <c r="M89" s="1"/>
      <c r="N89" s="1"/>
      <c r="O89" s="1"/>
      <c r="P89" s="1" t="s">
        <v>12</v>
      </c>
      <c r="Q89" s="1"/>
      <c r="R89" s="1"/>
      <c r="S89" s="1"/>
      <c r="T89" s="1"/>
    </row>
    <row r="90" spans="1:20" x14ac:dyDescent="0.25">
      <c r="A90" s="1" t="s">
        <v>125</v>
      </c>
      <c r="B90" s="1" t="s">
        <v>33</v>
      </c>
      <c r="C90" s="1" t="s">
        <v>0</v>
      </c>
      <c r="D90" s="1" t="s">
        <v>6</v>
      </c>
      <c r="E90" s="1" t="s">
        <v>5</v>
      </c>
      <c r="F90" s="1"/>
      <c r="G90" s="1"/>
      <c r="H90" s="1" t="s">
        <v>1</v>
      </c>
      <c r="I90" s="1" t="s">
        <v>1</v>
      </c>
      <c r="J90" s="1" t="s">
        <v>4</v>
      </c>
      <c r="K90" s="1"/>
      <c r="L90" s="1"/>
      <c r="M90" s="1"/>
      <c r="N90" s="1"/>
      <c r="O90" s="1"/>
      <c r="P90" s="1" t="s">
        <v>0</v>
      </c>
      <c r="Q90" s="1"/>
      <c r="R90" s="1"/>
      <c r="S90" s="1"/>
      <c r="T90" s="1"/>
    </row>
    <row r="91" spans="1:20" x14ac:dyDescent="0.25">
      <c r="A91" s="1" t="s">
        <v>126</v>
      </c>
      <c r="B91" s="1" t="s">
        <v>33</v>
      </c>
      <c r="C91" s="1" t="s">
        <v>13</v>
      </c>
      <c r="D91" s="1" t="s">
        <v>8</v>
      </c>
      <c r="E91" s="1" t="s">
        <v>14</v>
      </c>
      <c r="F91" s="1"/>
      <c r="G91" s="1"/>
      <c r="H91" s="1" t="s">
        <v>3</v>
      </c>
      <c r="I91" s="1" t="s">
        <v>3</v>
      </c>
      <c r="J91" s="1" t="s">
        <v>5</v>
      </c>
      <c r="K91" s="1"/>
      <c r="L91" s="1"/>
      <c r="M91" s="1"/>
      <c r="N91" s="1"/>
      <c r="O91" s="1"/>
      <c r="P91" s="1" t="s">
        <v>13</v>
      </c>
      <c r="Q91" s="1"/>
      <c r="R91" s="1"/>
      <c r="S91" s="1"/>
      <c r="T91" s="1"/>
    </row>
    <row r="92" spans="1:20" x14ac:dyDescent="0.25">
      <c r="A92" s="1" t="s">
        <v>127</v>
      </c>
      <c r="B92" s="1" t="s">
        <v>33</v>
      </c>
      <c r="C92" s="1" t="s">
        <v>14</v>
      </c>
      <c r="D92" s="1" t="s">
        <v>11</v>
      </c>
      <c r="E92" s="1" t="s">
        <v>3</v>
      </c>
      <c r="F92" s="1"/>
      <c r="G92" s="1"/>
      <c r="H92" s="1" t="s">
        <v>7</v>
      </c>
      <c r="I92" s="1" t="s">
        <v>7</v>
      </c>
      <c r="J92" s="1" t="s">
        <v>2</v>
      </c>
      <c r="K92" s="1"/>
      <c r="L92" s="1"/>
      <c r="M92" s="1"/>
      <c r="N92" s="1"/>
      <c r="O92" s="1"/>
      <c r="P92" s="1" t="s">
        <v>14</v>
      </c>
      <c r="Q92" s="1"/>
      <c r="R92" s="1"/>
      <c r="S92" s="1"/>
      <c r="T92" s="1"/>
    </row>
    <row r="93" spans="1:20" x14ac:dyDescent="0.25">
      <c r="A93" s="1" t="s">
        <v>128</v>
      </c>
      <c r="B93" s="1" t="s">
        <v>33</v>
      </c>
      <c r="C93" s="1" t="s">
        <v>3</v>
      </c>
      <c r="D93" s="1" t="s">
        <v>11</v>
      </c>
      <c r="E93" s="1" t="s">
        <v>9</v>
      </c>
      <c r="F93" s="1"/>
      <c r="G93" s="1"/>
      <c r="H93" s="1" t="s">
        <v>5</v>
      </c>
      <c r="I93" s="1" t="s">
        <v>5</v>
      </c>
      <c r="J93" s="1" t="s">
        <v>5</v>
      </c>
      <c r="K93" s="1"/>
      <c r="L93" s="1"/>
      <c r="M93" s="1"/>
      <c r="N93" s="1"/>
      <c r="O93" s="1"/>
      <c r="P93" s="1" t="s">
        <v>3</v>
      </c>
      <c r="Q93" s="1"/>
      <c r="R93" s="1"/>
      <c r="S93" s="1"/>
      <c r="T93" s="1"/>
    </row>
    <row r="94" spans="1:20" x14ac:dyDescent="0.25">
      <c r="A94" s="1" t="s">
        <v>129</v>
      </c>
      <c r="B94" s="1" t="s">
        <v>33</v>
      </c>
      <c r="C94" s="1" t="s">
        <v>11</v>
      </c>
      <c r="D94" s="1" t="s">
        <v>5</v>
      </c>
      <c r="E94" s="1" t="s">
        <v>12</v>
      </c>
      <c r="F94" s="1"/>
      <c r="G94" s="1"/>
      <c r="H94" s="1" t="s">
        <v>13</v>
      </c>
      <c r="I94" s="1" t="s">
        <v>13</v>
      </c>
      <c r="J94" s="1" t="s">
        <v>2</v>
      </c>
      <c r="K94" s="1"/>
      <c r="L94" s="1"/>
      <c r="M94" s="1"/>
      <c r="N94" s="1"/>
      <c r="O94" s="1"/>
      <c r="P94" s="1" t="s">
        <v>11</v>
      </c>
      <c r="Q94" s="1"/>
      <c r="R94" s="1"/>
      <c r="S94" s="1"/>
      <c r="T94" s="1"/>
    </row>
    <row r="95" spans="1:20" x14ac:dyDescent="0.25">
      <c r="A95" s="1" t="s">
        <v>130</v>
      </c>
      <c r="B95" s="1" t="s">
        <v>33</v>
      </c>
      <c r="C95" s="1" t="s">
        <v>8</v>
      </c>
      <c r="D95" s="1" t="s">
        <v>11</v>
      </c>
      <c r="E95" s="1" t="s">
        <v>11</v>
      </c>
      <c r="F95" s="1"/>
      <c r="G95" s="1"/>
      <c r="H95" s="1" t="s">
        <v>4</v>
      </c>
      <c r="I95" s="1" t="s">
        <v>4</v>
      </c>
      <c r="J95" s="1" t="s">
        <v>5</v>
      </c>
      <c r="K95" s="1"/>
      <c r="L95" s="1"/>
      <c r="M95" s="1"/>
      <c r="N95" s="1"/>
      <c r="O95" s="1"/>
      <c r="P95" s="1" t="s">
        <v>8</v>
      </c>
      <c r="Q95" s="1"/>
      <c r="R95" s="1"/>
      <c r="S95" s="1"/>
      <c r="T95" s="1"/>
    </row>
    <row r="96" spans="1:20" x14ac:dyDescent="0.25">
      <c r="A96" s="1" t="s">
        <v>131</v>
      </c>
      <c r="B96" s="1" t="s">
        <v>33</v>
      </c>
      <c r="C96" s="1" t="s">
        <v>10</v>
      </c>
      <c r="D96" s="1" t="s">
        <v>13</v>
      </c>
      <c r="E96" s="1" t="s">
        <v>5</v>
      </c>
      <c r="F96" s="1"/>
      <c r="G96" s="1"/>
      <c r="H96" s="1" t="s">
        <v>5</v>
      </c>
      <c r="I96" s="1" t="s">
        <v>5</v>
      </c>
      <c r="J96" s="1" t="s">
        <v>7</v>
      </c>
      <c r="K96" s="1"/>
      <c r="L96" s="1"/>
      <c r="M96" s="1"/>
      <c r="N96" s="1"/>
      <c r="O96" s="1"/>
      <c r="P96" s="1" t="s">
        <v>10</v>
      </c>
      <c r="Q96" s="1"/>
      <c r="R96" s="1"/>
      <c r="S96" s="1"/>
      <c r="T96" s="1"/>
    </row>
    <row r="97" spans="1:20" x14ac:dyDescent="0.25">
      <c r="A97" s="1" t="s">
        <v>132</v>
      </c>
      <c r="B97" s="1" t="s">
        <v>33</v>
      </c>
      <c r="C97" s="1" t="s">
        <v>6</v>
      </c>
      <c r="D97" s="1" t="s">
        <v>5</v>
      </c>
      <c r="E97" s="1" t="s">
        <v>9</v>
      </c>
      <c r="F97" s="1"/>
      <c r="G97" s="1"/>
      <c r="H97" s="1" t="s">
        <v>14</v>
      </c>
      <c r="I97" s="1" t="s">
        <v>5</v>
      </c>
      <c r="J97" s="1" t="s">
        <v>0</v>
      </c>
      <c r="K97" s="1"/>
      <c r="L97" s="1"/>
      <c r="M97" s="1"/>
      <c r="N97" s="1"/>
      <c r="O97" s="1"/>
      <c r="P97" s="1" t="s">
        <v>6</v>
      </c>
      <c r="Q97" s="1"/>
      <c r="R97" s="1"/>
      <c r="S97" s="1"/>
      <c r="T97" s="1"/>
    </row>
    <row r="98" spans="1:20" x14ac:dyDescent="0.25">
      <c r="A98" s="1" t="s">
        <v>133</v>
      </c>
      <c r="B98" s="1" t="s">
        <v>33</v>
      </c>
      <c r="C98" s="1" t="s">
        <v>2</v>
      </c>
      <c r="D98" s="1" t="s">
        <v>3</v>
      </c>
      <c r="E98" s="1" t="s">
        <v>5</v>
      </c>
      <c r="F98" s="1"/>
      <c r="G98" s="1"/>
      <c r="H98" s="1" t="s">
        <v>13</v>
      </c>
      <c r="I98" s="1" t="s">
        <v>13</v>
      </c>
      <c r="J98" s="1" t="s">
        <v>1</v>
      </c>
      <c r="K98" s="1"/>
      <c r="L98" s="1"/>
      <c r="M98" s="1"/>
      <c r="N98" s="1"/>
      <c r="O98" s="1"/>
      <c r="P98" s="1" t="s">
        <v>2</v>
      </c>
      <c r="Q98" s="1"/>
      <c r="R98" s="1"/>
      <c r="S98" s="1"/>
      <c r="T98" s="1"/>
    </row>
    <row r="99" spans="1:20" x14ac:dyDescent="0.25">
      <c r="A99" s="1" t="s">
        <v>134</v>
      </c>
      <c r="B99" s="1" t="s">
        <v>33</v>
      </c>
      <c r="C99" s="1" t="s">
        <v>1</v>
      </c>
      <c r="D99" s="1" t="s">
        <v>8</v>
      </c>
      <c r="E99" s="1" t="s">
        <v>14</v>
      </c>
      <c r="F99" s="1"/>
      <c r="G99" s="1"/>
      <c r="H99" s="1" t="s">
        <v>7</v>
      </c>
      <c r="I99" s="1" t="s">
        <v>4</v>
      </c>
      <c r="J99" s="1" t="s">
        <v>3</v>
      </c>
      <c r="K99" s="1"/>
      <c r="L99" s="1"/>
      <c r="M99" s="1"/>
      <c r="N99" s="1"/>
      <c r="O99" s="1"/>
      <c r="P99" s="1" t="s">
        <v>1</v>
      </c>
      <c r="Q99" s="1"/>
      <c r="R99" s="1"/>
      <c r="S99" s="1"/>
      <c r="T99" s="1"/>
    </row>
    <row r="100" spans="1:20" x14ac:dyDescent="0.25">
      <c r="A100" s="1" t="s">
        <v>135</v>
      </c>
      <c r="B100" s="1" t="s">
        <v>33</v>
      </c>
      <c r="C100" s="1" t="s">
        <v>14</v>
      </c>
      <c r="D100" s="1" t="s">
        <v>0</v>
      </c>
      <c r="E100" s="1" t="s">
        <v>3</v>
      </c>
      <c r="F100" s="1"/>
      <c r="G100" s="1"/>
      <c r="H100" s="1" t="s">
        <v>3</v>
      </c>
      <c r="I100" s="1" t="s">
        <v>5</v>
      </c>
      <c r="J100" s="1" t="s">
        <v>7</v>
      </c>
      <c r="K100" s="1"/>
      <c r="L100" s="1"/>
      <c r="M100" s="1"/>
      <c r="N100" s="1"/>
      <c r="O100" s="1"/>
      <c r="P100" s="1" t="s">
        <v>14</v>
      </c>
      <c r="Q100" s="1"/>
      <c r="R100" s="1"/>
      <c r="S100" s="1"/>
      <c r="T100" s="1"/>
    </row>
    <row r="101" spans="1:20" x14ac:dyDescent="0.25">
      <c r="A101" s="1" t="s">
        <v>136</v>
      </c>
      <c r="B101" s="1" t="s">
        <v>33</v>
      </c>
      <c r="C101" s="1" t="s">
        <v>3</v>
      </c>
      <c r="D101" s="1" t="s">
        <v>11</v>
      </c>
      <c r="E101" s="1" t="s">
        <v>0</v>
      </c>
      <c r="F101" s="1"/>
      <c r="G101" s="1"/>
      <c r="H101" s="1" t="s">
        <v>7</v>
      </c>
      <c r="I101" s="1" t="s">
        <v>2</v>
      </c>
      <c r="J101" s="1" t="s">
        <v>5</v>
      </c>
      <c r="K101" s="1"/>
      <c r="L101" s="1"/>
      <c r="M101" s="1"/>
      <c r="N101" s="1"/>
      <c r="O101" s="1"/>
      <c r="P101" s="1" t="s">
        <v>3</v>
      </c>
      <c r="Q101" s="1"/>
      <c r="R101" s="1"/>
      <c r="S101" s="1"/>
      <c r="T101" s="1"/>
    </row>
    <row r="102" spans="1:20" x14ac:dyDescent="0.25">
      <c r="A102" s="1" t="s">
        <v>137</v>
      </c>
      <c r="B102" s="1" t="s">
        <v>33</v>
      </c>
      <c r="C102" s="1" t="s">
        <v>11</v>
      </c>
      <c r="D102" s="1" t="s">
        <v>5</v>
      </c>
      <c r="E102" s="1" t="s">
        <v>12</v>
      </c>
      <c r="F102" s="1"/>
      <c r="G102" s="1"/>
      <c r="H102" s="1" t="s">
        <v>5</v>
      </c>
      <c r="I102" s="1" t="s">
        <v>5</v>
      </c>
      <c r="J102" s="1" t="s">
        <v>13</v>
      </c>
      <c r="K102" s="1"/>
      <c r="L102" s="1"/>
      <c r="M102" s="1"/>
      <c r="N102" s="1"/>
      <c r="O102" s="1"/>
      <c r="P102" s="1" t="s">
        <v>11</v>
      </c>
      <c r="Q102" s="1"/>
      <c r="R102" s="1"/>
      <c r="S102" s="1"/>
      <c r="T102" s="1"/>
    </row>
    <row r="103" spans="1:20" x14ac:dyDescent="0.25">
      <c r="A103" s="1" t="s">
        <v>138</v>
      </c>
      <c r="B103" s="1" t="s">
        <v>33</v>
      </c>
      <c r="C103" s="1" t="s">
        <v>2</v>
      </c>
      <c r="D103" s="1" t="s">
        <v>6</v>
      </c>
      <c r="E103" s="1" t="s">
        <v>3</v>
      </c>
      <c r="F103" s="1"/>
      <c r="G103" s="1"/>
      <c r="H103" s="1" t="s">
        <v>4</v>
      </c>
      <c r="I103" s="1" t="s">
        <v>2</v>
      </c>
      <c r="J103" s="1" t="s">
        <v>4</v>
      </c>
      <c r="K103" s="1"/>
      <c r="L103" s="1"/>
      <c r="M103" s="1"/>
      <c r="N103" s="1"/>
      <c r="O103" s="1"/>
      <c r="P103" s="1" t="s">
        <v>6</v>
      </c>
      <c r="Q103" s="1"/>
      <c r="R103" s="1"/>
      <c r="S103" s="1"/>
      <c r="T103" s="1"/>
    </row>
    <row r="104" spans="1:20" x14ac:dyDescent="0.25">
      <c r="A104" s="1" t="s">
        <v>139</v>
      </c>
      <c r="B104" s="1" t="s">
        <v>33</v>
      </c>
      <c r="C104" s="1" t="s">
        <v>5</v>
      </c>
      <c r="D104" s="1" t="s">
        <v>1</v>
      </c>
      <c r="E104" s="1" t="s">
        <v>7</v>
      </c>
      <c r="F104" s="1"/>
      <c r="G104" s="1"/>
      <c r="H104" s="1" t="s">
        <v>13</v>
      </c>
      <c r="I104" s="1" t="s">
        <v>5</v>
      </c>
      <c r="J104" s="1" t="s">
        <v>5</v>
      </c>
      <c r="K104" s="1"/>
      <c r="L104" s="1"/>
      <c r="M104" s="1"/>
      <c r="N104" s="1"/>
      <c r="O104" s="1"/>
      <c r="P104" s="1" t="s">
        <v>1</v>
      </c>
      <c r="Q104" s="1"/>
      <c r="R104" s="1"/>
      <c r="S104" s="1"/>
      <c r="T104" s="1"/>
    </row>
    <row r="105" spans="1:20" x14ac:dyDescent="0.25">
      <c r="A105" s="1" t="s">
        <v>140</v>
      </c>
      <c r="B105" s="1" t="s">
        <v>33</v>
      </c>
      <c r="C105" s="1" t="s">
        <v>3</v>
      </c>
      <c r="D105" s="1" t="s">
        <v>4</v>
      </c>
      <c r="E105" s="1" t="s">
        <v>11</v>
      </c>
      <c r="F105" s="1"/>
      <c r="G105" s="1"/>
      <c r="H105" s="1" t="s">
        <v>2</v>
      </c>
      <c r="I105" s="1" t="s">
        <v>7</v>
      </c>
      <c r="J105" s="1"/>
      <c r="K105" s="1"/>
      <c r="L105" s="1"/>
      <c r="M105" s="1"/>
      <c r="N105" s="1"/>
      <c r="O105" s="1"/>
      <c r="P105" s="1" t="s">
        <v>3</v>
      </c>
      <c r="Q105" s="1"/>
      <c r="R105" s="1"/>
      <c r="S105" s="1"/>
      <c r="T105" s="1"/>
    </row>
    <row r="106" spans="1:20" x14ac:dyDescent="0.25">
      <c r="A106" s="1" t="s">
        <v>141</v>
      </c>
      <c r="B106" s="1" t="s">
        <v>33</v>
      </c>
      <c r="C106" s="1" t="s">
        <v>5</v>
      </c>
      <c r="D106" s="1" t="s">
        <v>5</v>
      </c>
      <c r="E106" s="1" t="s">
        <v>0</v>
      </c>
      <c r="F106" s="1"/>
      <c r="G106" s="1"/>
      <c r="H106" s="1" t="s">
        <v>7</v>
      </c>
      <c r="I106" s="1" t="s">
        <v>0</v>
      </c>
      <c r="J106" s="1"/>
      <c r="K106" s="1"/>
      <c r="L106" s="1"/>
      <c r="M106" s="1"/>
      <c r="N106" s="1"/>
      <c r="O106" s="1"/>
      <c r="P106" s="1" t="s">
        <v>5</v>
      </c>
      <c r="Q106" s="1"/>
      <c r="R106" s="1"/>
      <c r="S106" s="1"/>
      <c r="T106" s="1"/>
    </row>
    <row r="107" spans="1:20" x14ac:dyDescent="0.25">
      <c r="A107" s="1" t="s">
        <v>142</v>
      </c>
      <c r="B107" s="1" t="s">
        <v>33</v>
      </c>
      <c r="C107" s="1" t="s">
        <v>8</v>
      </c>
      <c r="D107" s="1" t="s">
        <v>0</v>
      </c>
      <c r="E107" s="1" t="s">
        <v>12</v>
      </c>
      <c r="F107" s="1"/>
      <c r="G107" s="1"/>
      <c r="H107" s="1" t="s">
        <v>5</v>
      </c>
      <c r="I107" s="1" t="s">
        <v>1</v>
      </c>
      <c r="J107" s="1"/>
      <c r="K107" s="1"/>
      <c r="L107" s="1"/>
      <c r="M107" s="1"/>
      <c r="N107" s="1"/>
      <c r="O107" s="1"/>
      <c r="P107" s="1" t="s">
        <v>8</v>
      </c>
      <c r="Q107" s="1"/>
      <c r="R107" s="1"/>
      <c r="S107" s="1"/>
      <c r="T107" s="1"/>
    </row>
    <row r="108" spans="1:20" x14ac:dyDescent="0.25">
      <c r="A108" s="1" t="s">
        <v>143</v>
      </c>
      <c r="B108" s="1" t="s">
        <v>33</v>
      </c>
      <c r="C108" s="1" t="s">
        <v>11</v>
      </c>
      <c r="D108" s="1" t="s">
        <v>4</v>
      </c>
      <c r="E108" s="1" t="s">
        <v>12</v>
      </c>
      <c r="F108" s="1"/>
      <c r="G108" s="1"/>
      <c r="H108" s="1" t="s">
        <v>4</v>
      </c>
      <c r="I108" s="1" t="s">
        <v>3</v>
      </c>
      <c r="J108" s="1"/>
      <c r="K108" s="1"/>
      <c r="L108" s="1"/>
      <c r="M108" s="1"/>
      <c r="N108" s="1"/>
      <c r="O108" s="1"/>
      <c r="P108" s="1" t="s">
        <v>11</v>
      </c>
      <c r="Q108" s="1"/>
      <c r="R108" s="1"/>
      <c r="S108" s="1"/>
      <c r="T108" s="1"/>
    </row>
    <row r="109" spans="1:20" x14ac:dyDescent="0.25">
      <c r="A109" s="1" t="s">
        <v>144</v>
      </c>
      <c r="B109" s="1" t="s">
        <v>33</v>
      </c>
      <c r="C109" s="1" t="s">
        <v>0</v>
      </c>
      <c r="D109" s="1" t="s">
        <v>5</v>
      </c>
      <c r="E109" s="1" t="s">
        <v>3</v>
      </c>
      <c r="F109" s="1"/>
      <c r="G109" s="1"/>
      <c r="H109" s="1" t="s">
        <v>13</v>
      </c>
      <c r="I109" s="1" t="s">
        <v>7</v>
      </c>
      <c r="J109" s="1"/>
      <c r="K109" s="1"/>
      <c r="L109" s="1"/>
      <c r="M109" s="1"/>
      <c r="N109" s="1"/>
      <c r="O109" s="1"/>
      <c r="P109" s="1" t="s">
        <v>0</v>
      </c>
      <c r="Q109" s="1"/>
      <c r="R109" s="1"/>
      <c r="S109" s="1"/>
      <c r="T109" s="1"/>
    </row>
    <row r="110" spans="1:20" x14ac:dyDescent="0.25">
      <c r="A110" s="1" t="s">
        <v>145</v>
      </c>
      <c r="B110" s="1" t="s">
        <v>33</v>
      </c>
      <c r="C110" s="1" t="s">
        <v>6</v>
      </c>
      <c r="D110" s="1" t="s">
        <v>10</v>
      </c>
      <c r="E110" s="1" t="s">
        <v>0</v>
      </c>
      <c r="F110" s="1"/>
      <c r="G110" s="1"/>
      <c r="H110" s="1" t="s">
        <v>2</v>
      </c>
      <c r="I110" s="1" t="s">
        <v>5</v>
      </c>
      <c r="J110" s="1"/>
      <c r="K110" s="1"/>
      <c r="L110" s="1"/>
      <c r="M110" s="1"/>
      <c r="N110" s="1"/>
      <c r="O110" s="1"/>
      <c r="P110" s="1" t="s">
        <v>6</v>
      </c>
      <c r="Q110" s="1"/>
      <c r="R110" s="1"/>
      <c r="S110" s="1"/>
      <c r="T110" s="1"/>
    </row>
    <row r="111" spans="1:20" x14ac:dyDescent="0.25">
      <c r="A111" s="1" t="s">
        <v>146</v>
      </c>
      <c r="B111" s="1" t="s">
        <v>33</v>
      </c>
      <c r="C111" s="1" t="s">
        <v>6</v>
      </c>
      <c r="D111" s="1" t="s">
        <v>10</v>
      </c>
      <c r="E111" s="1" t="s">
        <v>3</v>
      </c>
      <c r="F111" s="1"/>
      <c r="G111" s="1"/>
      <c r="H111" s="1" t="s">
        <v>2</v>
      </c>
      <c r="I111" s="1" t="s">
        <v>13</v>
      </c>
      <c r="J111" s="1"/>
      <c r="K111" s="1"/>
      <c r="L111" s="1"/>
      <c r="M111" s="1"/>
      <c r="N111" s="1"/>
      <c r="O111" s="1"/>
      <c r="P111" s="1" t="s">
        <v>6</v>
      </c>
      <c r="Q111" s="1"/>
      <c r="R111" s="1"/>
      <c r="S111" s="1"/>
      <c r="T111" s="1"/>
    </row>
    <row r="112" spans="1:20" x14ac:dyDescent="0.25">
      <c r="A112" s="1" t="s">
        <v>147</v>
      </c>
      <c r="B112" s="1" t="s">
        <v>33</v>
      </c>
      <c r="C112" s="1" t="s">
        <v>9</v>
      </c>
      <c r="D112" s="1" t="s">
        <v>3</v>
      </c>
      <c r="E112" s="1" t="s">
        <v>11</v>
      </c>
      <c r="F112" s="1"/>
      <c r="G112" s="1"/>
      <c r="H112" s="1" t="s">
        <v>5</v>
      </c>
      <c r="I112" s="1" t="s">
        <v>4</v>
      </c>
      <c r="J112" s="1"/>
      <c r="K112" s="1"/>
      <c r="L112" s="1"/>
      <c r="M112" s="1"/>
      <c r="N112" s="1"/>
      <c r="O112" s="1"/>
      <c r="P112" s="1" t="s">
        <v>9</v>
      </c>
      <c r="Q112" s="1"/>
      <c r="R112" s="1"/>
      <c r="S112" s="1"/>
      <c r="T112" s="1"/>
    </row>
    <row r="113" spans="1:20" x14ac:dyDescent="0.25">
      <c r="A113" s="1" t="s">
        <v>148</v>
      </c>
      <c r="B113" s="1" t="s">
        <v>33</v>
      </c>
      <c r="C113" s="1" t="s">
        <v>3</v>
      </c>
      <c r="D113" s="1" t="s">
        <v>7</v>
      </c>
      <c r="E113" s="1" t="s">
        <v>2</v>
      </c>
      <c r="F113" s="1"/>
      <c r="G113" s="1"/>
      <c r="H113" s="1" t="s">
        <v>2</v>
      </c>
      <c r="I113" s="1" t="s">
        <v>5</v>
      </c>
      <c r="J113" s="1"/>
      <c r="K113" s="1"/>
      <c r="L113" s="1"/>
      <c r="M113" s="1"/>
      <c r="N113" s="1"/>
      <c r="O113" s="1"/>
      <c r="P113" s="1" t="s">
        <v>3</v>
      </c>
      <c r="Q113" s="1"/>
      <c r="R113" s="1"/>
      <c r="S113" s="1"/>
      <c r="T113" s="1"/>
    </row>
    <row r="114" spans="1:20" x14ac:dyDescent="0.25">
      <c r="A114" s="1" t="s">
        <v>149</v>
      </c>
      <c r="B114" s="1" t="s">
        <v>33</v>
      </c>
      <c r="C114" s="1" t="s">
        <v>11</v>
      </c>
      <c r="D114" s="1" t="s">
        <v>10</v>
      </c>
      <c r="E114" s="1" t="s">
        <v>1</v>
      </c>
      <c r="F114" s="1"/>
      <c r="G114" s="1"/>
      <c r="H114" s="1" t="s">
        <v>5</v>
      </c>
      <c r="I114" s="1" t="s">
        <v>2</v>
      </c>
      <c r="J114" s="1"/>
      <c r="K114" s="1"/>
      <c r="L114" s="1"/>
      <c r="M114" s="1"/>
      <c r="N114" s="1"/>
      <c r="O114" s="1"/>
      <c r="P114" s="1" t="s">
        <v>11</v>
      </c>
      <c r="Q114" s="1"/>
      <c r="R114" s="1"/>
      <c r="S114" s="1"/>
      <c r="T114" s="1"/>
    </row>
    <row r="115" spans="1:20" x14ac:dyDescent="0.25">
      <c r="A115" s="1" t="s">
        <v>150</v>
      </c>
      <c r="B115" s="1" t="s">
        <v>33</v>
      </c>
      <c r="C115" s="1" t="s">
        <v>6</v>
      </c>
      <c r="D115" s="1" t="s">
        <v>10</v>
      </c>
      <c r="E115" s="1" t="s">
        <v>0</v>
      </c>
      <c r="F115" s="1"/>
      <c r="G115" s="1"/>
      <c r="H115" s="1" t="s">
        <v>7</v>
      </c>
      <c r="I115" s="1" t="s">
        <v>5</v>
      </c>
      <c r="J115" s="1"/>
      <c r="K115" s="1"/>
      <c r="L115" s="1"/>
      <c r="M115" s="1"/>
      <c r="N115" s="1"/>
      <c r="O115" s="1"/>
      <c r="P115" s="1" t="s">
        <v>6</v>
      </c>
      <c r="Q115" s="1"/>
      <c r="R115" s="1"/>
      <c r="S115" s="1"/>
      <c r="T115" s="1"/>
    </row>
    <row r="116" spans="1:20" x14ac:dyDescent="0.25">
      <c r="A116" s="1" t="s">
        <v>151</v>
      </c>
      <c r="B116" s="1" t="s">
        <v>33</v>
      </c>
      <c r="C116" s="1" t="s">
        <v>6</v>
      </c>
      <c r="D116" s="1" t="s">
        <v>10</v>
      </c>
      <c r="E116" s="1" t="s">
        <v>3</v>
      </c>
      <c r="F116" s="1"/>
      <c r="G116" s="1"/>
      <c r="H116" s="1" t="s">
        <v>0</v>
      </c>
      <c r="I116" s="1" t="s">
        <v>2</v>
      </c>
      <c r="J116" s="1"/>
      <c r="K116" s="1"/>
      <c r="L116" s="1"/>
      <c r="M116" s="1"/>
      <c r="N116" s="1"/>
      <c r="O116" s="1"/>
      <c r="P116" s="1" t="s">
        <v>6</v>
      </c>
      <c r="Q116" s="1"/>
      <c r="R116" s="1"/>
      <c r="S116" s="1"/>
      <c r="T116" s="1"/>
    </row>
    <row r="117" spans="1:20" x14ac:dyDescent="0.25">
      <c r="A117" s="1" t="s">
        <v>152</v>
      </c>
      <c r="B117" s="1" t="s">
        <v>33</v>
      </c>
      <c r="C117" s="1" t="s">
        <v>9</v>
      </c>
      <c r="D117" s="1" t="s">
        <v>3</v>
      </c>
      <c r="E117" s="1" t="s">
        <v>11</v>
      </c>
      <c r="F117" s="1"/>
      <c r="G117" s="1"/>
      <c r="H117" s="1" t="s">
        <v>1</v>
      </c>
      <c r="I117" s="1" t="s">
        <v>5</v>
      </c>
      <c r="J117" s="1"/>
      <c r="K117" s="1"/>
      <c r="L117" s="1"/>
      <c r="M117" s="1"/>
      <c r="N117" s="1"/>
      <c r="O117" s="1"/>
      <c r="P117" s="1" t="s">
        <v>9</v>
      </c>
      <c r="Q117" s="1"/>
      <c r="R117" s="1"/>
      <c r="S117" s="1"/>
      <c r="T117" s="1"/>
    </row>
    <row r="118" spans="1:20" x14ac:dyDescent="0.25">
      <c r="A118" s="1" t="s">
        <v>153</v>
      </c>
      <c r="B118" s="1" t="s">
        <v>33</v>
      </c>
      <c r="C118" s="1" t="s">
        <v>3</v>
      </c>
      <c r="D118" s="1" t="s">
        <v>7</v>
      </c>
      <c r="E118" s="1" t="s">
        <v>2</v>
      </c>
      <c r="F118" s="1"/>
      <c r="G118" s="1"/>
      <c r="H118" s="1" t="s">
        <v>3</v>
      </c>
      <c r="I118" s="1" t="s">
        <v>7</v>
      </c>
      <c r="J118" s="1"/>
      <c r="K118" s="1"/>
      <c r="L118" s="1"/>
      <c r="M118" s="1"/>
      <c r="N118" s="1"/>
      <c r="O118" s="1"/>
      <c r="P118" s="1" t="s">
        <v>2</v>
      </c>
      <c r="Q118" s="1"/>
      <c r="R118" s="1"/>
      <c r="S118" s="1"/>
      <c r="T118" s="1"/>
    </row>
    <row r="119" spans="1:20" x14ac:dyDescent="0.25">
      <c r="A119" s="1" t="s">
        <v>154</v>
      </c>
      <c r="B119" s="1" t="s">
        <v>33</v>
      </c>
      <c r="C119" s="1" t="s">
        <v>11</v>
      </c>
      <c r="D119" s="1" t="s">
        <v>10</v>
      </c>
      <c r="E119" s="1" t="s">
        <v>1</v>
      </c>
      <c r="F119" s="1"/>
      <c r="G119" s="1"/>
      <c r="H119" s="1" t="s">
        <v>7</v>
      </c>
      <c r="I119" s="1" t="s">
        <v>0</v>
      </c>
      <c r="J119" s="1"/>
      <c r="K119" s="1"/>
      <c r="L119" s="1"/>
      <c r="M119" s="1"/>
      <c r="N119" s="1"/>
      <c r="O119" s="1"/>
      <c r="P119" s="1" t="s">
        <v>11</v>
      </c>
      <c r="Q119" s="1"/>
      <c r="R119" s="1"/>
      <c r="S119" s="1"/>
      <c r="T119" s="1"/>
    </row>
    <row r="120" spans="1:20" x14ac:dyDescent="0.25">
      <c r="A120" s="1" t="s">
        <v>155</v>
      </c>
      <c r="B120" s="1" t="s">
        <v>33</v>
      </c>
      <c r="C120" s="1" t="s">
        <v>4</v>
      </c>
      <c r="D120" s="1" t="s">
        <v>9</v>
      </c>
      <c r="E120" s="1" t="s">
        <v>5</v>
      </c>
      <c r="F120" s="1"/>
      <c r="G120" s="1"/>
      <c r="H120" s="1" t="s">
        <v>5</v>
      </c>
      <c r="I120" s="1" t="s">
        <v>1</v>
      </c>
      <c r="J120" s="1"/>
      <c r="K120" s="1"/>
      <c r="L120" s="1"/>
      <c r="M120" s="1"/>
      <c r="N120" s="1"/>
      <c r="O120" s="1"/>
      <c r="P120" s="1" t="s">
        <v>4</v>
      </c>
      <c r="Q120" s="1"/>
      <c r="R120" s="1"/>
      <c r="S120" s="1"/>
      <c r="T120" s="1"/>
    </row>
    <row r="121" spans="1:20" x14ac:dyDescent="0.25">
      <c r="A121" s="1" t="s">
        <v>156</v>
      </c>
      <c r="B121" s="1" t="s">
        <v>33</v>
      </c>
      <c r="C121" s="1" t="s">
        <v>6</v>
      </c>
      <c r="D121" s="1" t="s">
        <v>12</v>
      </c>
      <c r="E121" s="1" t="s">
        <v>5</v>
      </c>
      <c r="F121" s="1"/>
      <c r="G121" s="1"/>
      <c r="H121" s="1" t="s">
        <v>13</v>
      </c>
      <c r="I121" s="1" t="s">
        <v>3</v>
      </c>
      <c r="J121" s="1"/>
      <c r="K121" s="1"/>
      <c r="L121" s="1"/>
      <c r="M121" s="1"/>
      <c r="N121" s="1"/>
      <c r="O121" s="1"/>
      <c r="P121" s="1" t="s">
        <v>6</v>
      </c>
      <c r="Q121" s="1"/>
      <c r="R121" s="1"/>
      <c r="S121" s="1"/>
      <c r="T121" s="1"/>
    </row>
    <row r="122" spans="1:20" x14ac:dyDescent="0.25">
      <c r="A122" s="1" t="s">
        <v>157</v>
      </c>
      <c r="B122" s="1" t="s">
        <v>33</v>
      </c>
      <c r="C122" s="1" t="s">
        <v>8</v>
      </c>
      <c r="D122" s="1" t="s">
        <v>0</v>
      </c>
      <c r="E122" s="1" t="s">
        <v>12</v>
      </c>
      <c r="F122" s="1"/>
      <c r="G122" s="1"/>
      <c r="H122" s="1" t="s">
        <v>4</v>
      </c>
      <c r="I122" s="1" t="s">
        <v>7</v>
      </c>
      <c r="J122" s="1"/>
      <c r="K122" s="1"/>
      <c r="L122" s="1"/>
      <c r="M122" s="1"/>
      <c r="N122" s="1"/>
      <c r="O122" s="1"/>
      <c r="P122" s="1" t="s">
        <v>8</v>
      </c>
      <c r="Q122" s="1"/>
      <c r="R122" s="1"/>
      <c r="S122" s="1"/>
      <c r="T122" s="1"/>
    </row>
    <row r="123" spans="1:20" x14ac:dyDescent="0.25">
      <c r="A123" s="1" t="s">
        <v>158</v>
      </c>
      <c r="B123" s="1" t="s">
        <v>33</v>
      </c>
      <c r="C123" s="1" t="s">
        <v>11</v>
      </c>
      <c r="D123" s="1" t="s">
        <v>4</v>
      </c>
      <c r="E123" s="1" t="s">
        <v>12</v>
      </c>
      <c r="F123" s="1"/>
      <c r="G123" s="1"/>
      <c r="H123" s="1" t="s">
        <v>5</v>
      </c>
      <c r="I123" s="1" t="s">
        <v>5</v>
      </c>
      <c r="J123" s="1"/>
      <c r="K123" s="1"/>
      <c r="L123" s="1"/>
      <c r="M123" s="1"/>
      <c r="N123" s="1"/>
      <c r="O123" s="1"/>
      <c r="P123" s="1" t="s">
        <v>11</v>
      </c>
      <c r="Q123" s="1"/>
      <c r="R123" s="1"/>
      <c r="S123" s="1"/>
      <c r="T123" s="1"/>
    </row>
    <row r="124" spans="1:20" x14ac:dyDescent="0.25">
      <c r="A124" s="1" t="s">
        <v>159</v>
      </c>
      <c r="B124" s="1" t="s">
        <v>33</v>
      </c>
      <c r="C124" s="1" t="s">
        <v>0</v>
      </c>
      <c r="D124" s="1" t="s">
        <v>5</v>
      </c>
      <c r="E124" s="1" t="s">
        <v>3</v>
      </c>
      <c r="F124" s="1"/>
      <c r="G124" s="1"/>
      <c r="H124" s="1" t="s">
        <v>2</v>
      </c>
      <c r="I124" s="1" t="s">
        <v>13</v>
      </c>
      <c r="J124" s="1"/>
      <c r="K124" s="1"/>
      <c r="L124" s="1"/>
      <c r="M124" s="1"/>
      <c r="N124" s="1"/>
      <c r="O124" s="1"/>
      <c r="P124" s="1" t="s">
        <v>0</v>
      </c>
      <c r="Q124" s="1"/>
      <c r="R124" s="1"/>
      <c r="S124" s="1"/>
      <c r="T124" s="1"/>
    </row>
    <row r="125" spans="1:20" x14ac:dyDescent="0.25">
      <c r="A125" s="1" t="s">
        <v>160</v>
      </c>
      <c r="B125" s="1" t="s">
        <v>33</v>
      </c>
      <c r="C125" s="1" t="s">
        <v>13</v>
      </c>
      <c r="D125" s="1" t="s">
        <v>2</v>
      </c>
      <c r="E125" s="1" t="s">
        <v>7</v>
      </c>
      <c r="F125" s="1"/>
      <c r="G125" s="1"/>
      <c r="H125" s="1" t="s">
        <v>3</v>
      </c>
      <c r="I125" s="1" t="s">
        <v>4</v>
      </c>
      <c r="J125" s="1"/>
      <c r="K125" s="1"/>
      <c r="L125" s="1"/>
      <c r="M125" s="1"/>
      <c r="N125" s="1"/>
      <c r="O125" s="1"/>
      <c r="P125" s="1" t="s">
        <v>13</v>
      </c>
      <c r="Q125" s="1"/>
      <c r="R125" s="1"/>
      <c r="S125" s="1"/>
      <c r="T125" s="1"/>
    </row>
    <row r="126" spans="1:20" x14ac:dyDescent="0.25">
      <c r="A126" s="1" t="s">
        <v>161</v>
      </c>
      <c r="B126" s="1" t="s">
        <v>33</v>
      </c>
      <c r="C126" s="1" t="s">
        <v>11</v>
      </c>
      <c r="D126" s="1" t="s">
        <v>8</v>
      </c>
      <c r="E126" s="1" t="s">
        <v>1</v>
      </c>
      <c r="F126" s="1"/>
      <c r="G126" s="1"/>
      <c r="H126" s="1" t="s">
        <v>7</v>
      </c>
      <c r="I126" s="1" t="s">
        <v>5</v>
      </c>
      <c r="J126" s="1"/>
      <c r="K126" s="1"/>
      <c r="L126" s="1"/>
      <c r="M126" s="1"/>
      <c r="N126" s="1"/>
      <c r="O126" s="1"/>
      <c r="P126" s="1" t="s">
        <v>11</v>
      </c>
      <c r="Q126" s="1"/>
      <c r="R126" s="1"/>
      <c r="S126" s="1"/>
      <c r="T126" s="1"/>
    </row>
    <row r="127" spans="1:20" x14ac:dyDescent="0.25">
      <c r="A127" s="1" t="s">
        <v>162</v>
      </c>
      <c r="B127" s="1" t="s">
        <v>33</v>
      </c>
      <c r="C127" s="1" t="s">
        <v>10</v>
      </c>
      <c r="D127" s="1" t="s">
        <v>9</v>
      </c>
      <c r="E127" s="1" t="s">
        <v>0</v>
      </c>
      <c r="F127" s="1"/>
      <c r="G127" s="1"/>
      <c r="H127" s="1" t="s">
        <v>5</v>
      </c>
      <c r="I127" s="1"/>
      <c r="J127" s="1"/>
      <c r="K127" s="1"/>
      <c r="L127" s="1"/>
      <c r="M127" s="1"/>
      <c r="N127" s="1"/>
      <c r="O127" s="1"/>
      <c r="P127" s="1" t="s">
        <v>10</v>
      </c>
      <c r="Q127" s="1"/>
      <c r="R127" s="1"/>
      <c r="S127" s="1"/>
      <c r="T127" s="1"/>
    </row>
    <row r="128" spans="1:20" x14ac:dyDescent="0.25">
      <c r="A128" s="1" t="s">
        <v>163</v>
      </c>
      <c r="B128" s="1" t="s">
        <v>33</v>
      </c>
      <c r="C128" s="1" t="s">
        <v>6</v>
      </c>
      <c r="D128" s="1" t="s">
        <v>4</v>
      </c>
      <c r="E128" s="1" t="s">
        <v>13</v>
      </c>
      <c r="F128" s="1"/>
      <c r="G128" s="1"/>
      <c r="H128" s="1" t="s">
        <v>4</v>
      </c>
      <c r="I128" s="1"/>
      <c r="J128" s="1"/>
      <c r="K128" s="1"/>
      <c r="L128" s="1"/>
      <c r="M128" s="1"/>
      <c r="N128" s="1"/>
      <c r="O128" s="1"/>
      <c r="P128" s="1" t="s">
        <v>6</v>
      </c>
      <c r="Q128" s="1"/>
      <c r="R128" s="1"/>
      <c r="S128" s="1"/>
      <c r="T128" s="1"/>
    </row>
    <row r="129" spans="1:20" x14ac:dyDescent="0.25">
      <c r="A129" s="1" t="s">
        <v>164</v>
      </c>
      <c r="B129" s="1" t="s">
        <v>33</v>
      </c>
      <c r="C129" s="1" t="s">
        <v>2</v>
      </c>
      <c r="D129" s="1" t="s">
        <v>0</v>
      </c>
      <c r="E129" s="1" t="s">
        <v>13</v>
      </c>
      <c r="F129" s="1"/>
      <c r="G129" s="1"/>
      <c r="H129" s="1" t="s">
        <v>13</v>
      </c>
      <c r="I129" s="1"/>
      <c r="J129" s="1"/>
      <c r="K129" s="1"/>
      <c r="L129" s="1"/>
      <c r="M129" s="1"/>
      <c r="N129" s="1"/>
      <c r="O129" s="1"/>
      <c r="P129" s="1" t="s">
        <v>2</v>
      </c>
      <c r="Q129" s="1"/>
      <c r="R129" s="1"/>
      <c r="S129" s="1"/>
      <c r="T129" s="1"/>
    </row>
    <row r="130" spans="1:20" x14ac:dyDescent="0.25">
      <c r="A130" s="1" t="s">
        <v>165</v>
      </c>
      <c r="B130" s="1" t="s">
        <v>33</v>
      </c>
      <c r="C130" s="1" t="s">
        <v>14</v>
      </c>
      <c r="D130" s="1" t="s">
        <v>10</v>
      </c>
      <c r="E130" s="1" t="s">
        <v>13</v>
      </c>
      <c r="F130" s="1"/>
      <c r="G130" s="1"/>
      <c r="H130" s="1" t="s">
        <v>1</v>
      </c>
      <c r="I130" s="1"/>
      <c r="J130" s="1"/>
      <c r="K130" s="1"/>
      <c r="L130" s="1"/>
      <c r="M130" s="1"/>
      <c r="N130" s="1"/>
      <c r="O130" s="1"/>
      <c r="P130" s="1" t="s">
        <v>14</v>
      </c>
      <c r="Q130" s="1"/>
      <c r="R130" s="1"/>
      <c r="S130" s="1"/>
      <c r="T130" s="1"/>
    </row>
    <row r="131" spans="1:20" x14ac:dyDescent="0.25">
      <c r="A131" s="1" t="s">
        <v>166</v>
      </c>
      <c r="B131" s="1" t="s">
        <v>33</v>
      </c>
      <c r="C131" s="1" t="s">
        <v>11</v>
      </c>
      <c r="D131" s="1" t="s">
        <v>8</v>
      </c>
      <c r="E131" s="1" t="s">
        <v>1</v>
      </c>
      <c r="F131" s="1"/>
      <c r="G131" s="1"/>
      <c r="H131" s="1" t="s">
        <v>12</v>
      </c>
      <c r="I131" s="1"/>
      <c r="J131" s="1"/>
      <c r="K131" s="1"/>
      <c r="L131" s="1"/>
      <c r="M131" s="1"/>
      <c r="N131" s="1"/>
      <c r="O131" s="1"/>
      <c r="P131" s="1" t="s">
        <v>11</v>
      </c>
      <c r="Q131" s="1"/>
      <c r="R131" s="1"/>
      <c r="S131" s="1"/>
      <c r="T131" s="1"/>
    </row>
    <row r="132" spans="1:20" x14ac:dyDescent="0.25">
      <c r="A132" s="1" t="s">
        <v>167</v>
      </c>
      <c r="B132" s="1" t="s">
        <v>33</v>
      </c>
      <c r="C132" s="1" t="s">
        <v>6</v>
      </c>
      <c r="D132" s="1" t="s">
        <v>10</v>
      </c>
      <c r="E132" s="1" t="s">
        <v>0</v>
      </c>
      <c r="F132" s="1"/>
      <c r="G132" s="1"/>
      <c r="H132" s="1" t="s">
        <v>2</v>
      </c>
      <c r="I132" s="1"/>
      <c r="J132" s="1"/>
      <c r="K132" s="1"/>
      <c r="L132" s="1"/>
      <c r="M132" s="1"/>
      <c r="N132" s="1"/>
      <c r="O132" s="1"/>
      <c r="P132" s="1" t="s">
        <v>6</v>
      </c>
      <c r="Q132" s="1"/>
      <c r="R132" s="1"/>
      <c r="S132" s="1"/>
      <c r="T132" s="1"/>
    </row>
    <row r="133" spans="1:20" x14ac:dyDescent="0.25">
      <c r="A133" s="1" t="s">
        <v>168</v>
      </c>
      <c r="B133" s="1" t="s">
        <v>33</v>
      </c>
      <c r="C133" s="1" t="s">
        <v>6</v>
      </c>
      <c r="D133" s="1" t="s">
        <v>10</v>
      </c>
      <c r="E133" s="1" t="s">
        <v>3</v>
      </c>
      <c r="F133" s="1"/>
      <c r="G133" s="1"/>
      <c r="H133" s="1" t="s">
        <v>14</v>
      </c>
      <c r="I133" s="1"/>
      <c r="J133" s="1"/>
      <c r="K133" s="1"/>
      <c r="L133" s="1"/>
      <c r="M133" s="1"/>
      <c r="N133" s="1"/>
      <c r="O133" s="1"/>
      <c r="P133" s="1" t="s">
        <v>6</v>
      </c>
      <c r="Q133" s="1"/>
      <c r="R133" s="1"/>
      <c r="S133" s="1"/>
      <c r="T133" s="1"/>
    </row>
    <row r="134" spans="1:20" x14ac:dyDescent="0.25">
      <c r="A134" s="1" t="s">
        <v>169</v>
      </c>
      <c r="B134" s="1" t="s">
        <v>33</v>
      </c>
      <c r="C134" s="1" t="s">
        <v>9</v>
      </c>
      <c r="D134" s="1" t="s">
        <v>3</v>
      </c>
      <c r="E134" s="1" t="s">
        <v>11</v>
      </c>
      <c r="F134" s="1"/>
      <c r="G134" s="1"/>
      <c r="H134" s="1" t="s">
        <v>13</v>
      </c>
      <c r="I134" s="1"/>
      <c r="J134" s="1"/>
      <c r="K134" s="1"/>
      <c r="L134" s="1"/>
      <c r="M134" s="1"/>
      <c r="N134" s="1"/>
      <c r="O134" s="1"/>
      <c r="P134" s="1" t="s">
        <v>9</v>
      </c>
      <c r="Q134" s="1"/>
      <c r="R134" s="1"/>
      <c r="S134" s="1"/>
      <c r="T134" s="1"/>
    </row>
    <row r="135" spans="1:20" x14ac:dyDescent="0.25">
      <c r="A135" s="1" t="s">
        <v>170</v>
      </c>
      <c r="B135" s="1" t="s">
        <v>33</v>
      </c>
      <c r="C135" s="1" t="s">
        <v>8</v>
      </c>
      <c r="D135" s="1" t="s">
        <v>11</v>
      </c>
      <c r="E135" s="1" t="s">
        <v>11</v>
      </c>
      <c r="F135" s="1"/>
      <c r="G135" s="1"/>
      <c r="H135" s="1" t="s">
        <v>7</v>
      </c>
      <c r="I135" s="1"/>
      <c r="J135" s="1"/>
      <c r="K135" s="1"/>
      <c r="L135" s="1"/>
      <c r="M135" s="1"/>
      <c r="N135" s="1"/>
      <c r="O135" s="1"/>
      <c r="P135" s="1" t="s">
        <v>8</v>
      </c>
      <c r="Q135" s="1"/>
      <c r="R135" s="1"/>
      <c r="S135" s="1"/>
      <c r="T135" s="1"/>
    </row>
    <row r="136" spans="1:20" x14ac:dyDescent="0.25">
      <c r="A136" s="1" t="s">
        <v>171</v>
      </c>
      <c r="B136" s="1" t="s">
        <v>33</v>
      </c>
      <c r="C136" s="1" t="s">
        <v>10</v>
      </c>
      <c r="D136" s="1" t="s">
        <v>13</v>
      </c>
      <c r="E136" s="1" t="s">
        <v>5</v>
      </c>
      <c r="F136" s="1"/>
      <c r="G136" s="1"/>
      <c r="H136" s="1" t="s">
        <v>3</v>
      </c>
      <c r="I136" s="1"/>
      <c r="J136" s="1"/>
      <c r="K136" s="1"/>
      <c r="L136" s="1"/>
      <c r="M136" s="1"/>
      <c r="N136" s="1"/>
      <c r="O136" s="1"/>
      <c r="P136" s="1" t="s">
        <v>10</v>
      </c>
      <c r="Q136" s="1"/>
      <c r="R136" s="1"/>
      <c r="S136" s="1"/>
      <c r="T136" s="1"/>
    </row>
    <row r="137" spans="1:20" x14ac:dyDescent="0.25">
      <c r="A137" s="1" t="s">
        <v>172</v>
      </c>
      <c r="B137" s="1" t="s">
        <v>33</v>
      </c>
      <c r="C137" s="1" t="s">
        <v>6</v>
      </c>
      <c r="D137" s="1" t="s">
        <v>5</v>
      </c>
      <c r="E137" s="1" t="s">
        <v>9</v>
      </c>
      <c r="F137" s="1"/>
      <c r="G137" s="1"/>
      <c r="H137" s="1" t="s">
        <v>7</v>
      </c>
      <c r="I137" s="1"/>
      <c r="J137" s="1"/>
      <c r="K137" s="1"/>
      <c r="L137" s="1"/>
      <c r="M137" s="1"/>
      <c r="N137" s="1"/>
      <c r="O137" s="1"/>
      <c r="P137" s="1" t="s">
        <v>6</v>
      </c>
      <c r="Q137" s="1"/>
      <c r="R137" s="1"/>
      <c r="S137" s="1"/>
      <c r="T137" s="1"/>
    </row>
    <row r="138" spans="1:20" x14ac:dyDescent="0.25">
      <c r="A138" s="1" t="s">
        <v>173</v>
      </c>
      <c r="B138" s="1" t="s">
        <v>33</v>
      </c>
      <c r="C138" s="1" t="s">
        <v>2</v>
      </c>
      <c r="D138" s="1" t="s">
        <v>3</v>
      </c>
      <c r="E138" s="1" t="s">
        <v>5</v>
      </c>
      <c r="F138" s="1"/>
      <c r="G138" s="1"/>
      <c r="H138" s="1" t="s">
        <v>5</v>
      </c>
      <c r="I138" s="1"/>
      <c r="J138" s="1"/>
      <c r="K138" s="1"/>
      <c r="L138" s="1"/>
      <c r="M138" s="1"/>
      <c r="N138" s="1"/>
      <c r="O138" s="1"/>
      <c r="P138" s="1" t="s">
        <v>2</v>
      </c>
      <c r="Q138" s="1"/>
      <c r="R138" s="1"/>
      <c r="S138" s="1"/>
      <c r="T138" s="1"/>
    </row>
    <row r="139" spans="1:20" x14ac:dyDescent="0.25">
      <c r="A139" s="1" t="s">
        <v>174</v>
      </c>
      <c r="B139" s="1" t="s">
        <v>33</v>
      </c>
      <c r="C139" s="1" t="s">
        <v>8</v>
      </c>
      <c r="D139" s="1" t="s">
        <v>0</v>
      </c>
      <c r="E139" s="1" t="s">
        <v>12</v>
      </c>
      <c r="F139" s="1"/>
      <c r="G139" s="1"/>
      <c r="H139" s="1" t="s">
        <v>4</v>
      </c>
      <c r="I139" s="1"/>
      <c r="J139" s="1"/>
      <c r="K139" s="1"/>
      <c r="L139" s="1"/>
      <c r="M139" s="1"/>
      <c r="N139" s="1"/>
      <c r="O139" s="1"/>
      <c r="P139" s="1" t="s">
        <v>8</v>
      </c>
      <c r="Q139" s="1"/>
      <c r="R139" s="1"/>
      <c r="S139" s="1"/>
      <c r="T139" s="1"/>
    </row>
    <row r="140" spans="1:20" x14ac:dyDescent="0.25">
      <c r="A140" s="1" t="s">
        <v>175</v>
      </c>
      <c r="B140" s="1" t="s">
        <v>33</v>
      </c>
      <c r="C140" s="1" t="s">
        <v>11</v>
      </c>
      <c r="D140" s="1" t="s">
        <v>4</v>
      </c>
      <c r="E140" s="1" t="s">
        <v>12</v>
      </c>
      <c r="F140" s="1"/>
      <c r="G140" s="1"/>
      <c r="H140" s="1" t="s">
        <v>13</v>
      </c>
      <c r="I140" s="1"/>
      <c r="J140" s="1"/>
      <c r="K140" s="1"/>
      <c r="L140" s="1"/>
      <c r="M140" s="1"/>
      <c r="N140" s="1"/>
      <c r="O140" s="1"/>
      <c r="P140" s="1" t="s">
        <v>11</v>
      </c>
      <c r="Q140" s="1"/>
      <c r="R140" s="1"/>
      <c r="S140" s="1"/>
      <c r="T140" s="1"/>
    </row>
    <row r="141" spans="1:20" x14ac:dyDescent="0.25">
      <c r="A141" s="1" t="s">
        <v>176</v>
      </c>
      <c r="B141" s="1" t="s">
        <v>33</v>
      </c>
      <c r="C141" s="1" t="s">
        <v>0</v>
      </c>
      <c r="D141" s="1" t="s">
        <v>5</v>
      </c>
      <c r="E141" s="1" t="s">
        <v>3</v>
      </c>
      <c r="F141" s="1"/>
      <c r="G141" s="1"/>
      <c r="H141" s="1" t="s">
        <v>2</v>
      </c>
      <c r="I141" s="1"/>
      <c r="J141" s="1"/>
      <c r="K141" s="1"/>
      <c r="L141" s="1"/>
      <c r="M141" s="1"/>
      <c r="N141" s="1"/>
      <c r="O141" s="1"/>
      <c r="P141" s="1" t="s">
        <v>0</v>
      </c>
      <c r="Q141" s="1"/>
      <c r="R141" s="1"/>
      <c r="S141" s="1"/>
      <c r="T141" s="1"/>
    </row>
    <row r="142" spans="1:20" x14ac:dyDescent="0.25">
      <c r="A142" s="1" t="s">
        <v>177</v>
      </c>
      <c r="B142" s="1" t="s">
        <v>33</v>
      </c>
      <c r="C142" s="1" t="s">
        <v>13</v>
      </c>
      <c r="D142" s="1" t="s">
        <v>2</v>
      </c>
      <c r="E142" s="1" t="s">
        <v>7</v>
      </c>
      <c r="F142" s="1"/>
      <c r="G142" s="1"/>
      <c r="H142" s="1" t="s">
        <v>7</v>
      </c>
      <c r="I142" s="1"/>
      <c r="J142" s="1"/>
      <c r="K142" s="1"/>
      <c r="L142" s="1"/>
      <c r="M142" s="1"/>
      <c r="N142" s="1"/>
      <c r="O142" s="1"/>
      <c r="P142" s="1" t="s">
        <v>13</v>
      </c>
      <c r="Q142" s="1"/>
      <c r="R142" s="1"/>
      <c r="S142" s="1"/>
      <c r="T142" s="1"/>
    </row>
    <row r="143" spans="1:20" x14ac:dyDescent="0.25">
      <c r="A143" s="1" t="s">
        <v>178</v>
      </c>
      <c r="B143" s="1" t="s">
        <v>33</v>
      </c>
      <c r="C143" s="1" t="s">
        <v>11</v>
      </c>
      <c r="D143" s="1" t="s">
        <v>8</v>
      </c>
      <c r="E143" s="1" t="s">
        <v>1</v>
      </c>
      <c r="F143" s="1"/>
      <c r="G143" s="1"/>
      <c r="H143" s="1" t="s">
        <v>5</v>
      </c>
      <c r="I143" s="1"/>
      <c r="J143" s="1"/>
      <c r="K143" s="1"/>
      <c r="L143" s="1"/>
      <c r="M143" s="1"/>
      <c r="N143" s="1"/>
      <c r="O143" s="1"/>
      <c r="P143" s="1" t="s">
        <v>11</v>
      </c>
      <c r="Q143" s="1"/>
      <c r="R143" s="1"/>
      <c r="S143" s="1"/>
      <c r="T143" s="1"/>
    </row>
    <row r="144" spans="1:20" x14ac:dyDescent="0.25">
      <c r="A144" s="1" t="s">
        <v>179</v>
      </c>
      <c r="B144" s="1" t="s">
        <v>33</v>
      </c>
      <c r="C144" s="1" t="s">
        <v>10</v>
      </c>
      <c r="D144" s="1" t="s">
        <v>9</v>
      </c>
      <c r="E144" s="1" t="s">
        <v>0</v>
      </c>
      <c r="F144" s="1"/>
      <c r="G144" s="1"/>
      <c r="H144" s="1" t="s">
        <v>4</v>
      </c>
      <c r="I144" s="1"/>
      <c r="J144" s="1"/>
      <c r="K144" s="1"/>
      <c r="L144" s="1"/>
      <c r="M144" s="1"/>
      <c r="N144" s="1"/>
      <c r="O144" s="1"/>
      <c r="P144" s="1" t="s">
        <v>10</v>
      </c>
      <c r="Q144" s="1"/>
      <c r="R144" s="1"/>
      <c r="S144" s="1"/>
      <c r="T144" s="1"/>
    </row>
    <row r="145" spans="1:20" x14ac:dyDescent="0.25">
      <c r="A145" s="1" t="s">
        <v>180</v>
      </c>
      <c r="B145" s="1" t="s">
        <v>33</v>
      </c>
      <c r="C145" s="1" t="s">
        <v>6</v>
      </c>
      <c r="D145" s="1" t="s">
        <v>4</v>
      </c>
      <c r="E145" s="1" t="s">
        <v>13</v>
      </c>
      <c r="F145" s="1"/>
      <c r="G145" s="1"/>
      <c r="H145" s="1" t="s">
        <v>13</v>
      </c>
      <c r="I145" s="1"/>
      <c r="J145" s="1"/>
      <c r="K145" s="1"/>
      <c r="L145" s="1"/>
      <c r="M145" s="1"/>
      <c r="N145" s="1"/>
      <c r="O145" s="1"/>
      <c r="P145" s="1" t="s">
        <v>6</v>
      </c>
      <c r="Q145" s="1"/>
      <c r="R145" s="1"/>
      <c r="S145" s="1"/>
      <c r="T145" s="1"/>
    </row>
    <row r="146" spans="1:20" x14ac:dyDescent="0.25">
      <c r="A146" s="1" t="s">
        <v>181</v>
      </c>
      <c r="B146" s="1" t="s">
        <v>33</v>
      </c>
      <c r="C146" s="1" t="s">
        <v>2</v>
      </c>
      <c r="D146" s="1" t="s">
        <v>0</v>
      </c>
      <c r="E146" s="1" t="s">
        <v>13</v>
      </c>
      <c r="F146" s="1"/>
      <c r="G146" s="1"/>
      <c r="H146" s="1" t="s">
        <v>2</v>
      </c>
      <c r="I146" s="1"/>
      <c r="J146" s="1"/>
      <c r="K146" s="1"/>
      <c r="L146" s="1"/>
      <c r="M146" s="1"/>
      <c r="N146" s="1"/>
      <c r="O146" s="1"/>
      <c r="P146" s="1" t="s">
        <v>0</v>
      </c>
      <c r="Q146" s="1"/>
      <c r="R146" s="1"/>
      <c r="S146" s="1"/>
      <c r="T146" s="1"/>
    </row>
    <row r="147" spans="1:20" x14ac:dyDescent="0.25">
      <c r="A147" s="1" t="s">
        <v>182</v>
      </c>
      <c r="B147" s="1" t="s">
        <v>33</v>
      </c>
      <c r="C147" s="1" t="s">
        <v>14</v>
      </c>
      <c r="D147" s="1" t="s">
        <v>10</v>
      </c>
      <c r="E147" s="1" t="s">
        <v>13</v>
      </c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 t="s">
        <v>14</v>
      </c>
      <c r="Q147" s="1"/>
      <c r="R147" s="1"/>
      <c r="S147" s="1"/>
      <c r="T147" s="1"/>
    </row>
    <row r="148" spans="1:20" x14ac:dyDescent="0.25">
      <c r="A148" s="1" t="s">
        <v>183</v>
      </c>
      <c r="B148" s="1" t="s">
        <v>33</v>
      </c>
      <c r="C148" s="1" t="s">
        <v>3</v>
      </c>
      <c r="D148" s="1" t="s">
        <v>7</v>
      </c>
      <c r="E148" s="1" t="s">
        <v>2</v>
      </c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 t="s">
        <v>3</v>
      </c>
      <c r="Q148" s="1"/>
      <c r="R148" s="1"/>
      <c r="S148" s="1"/>
      <c r="T148" s="1"/>
    </row>
    <row r="149" spans="1:20" x14ac:dyDescent="0.25">
      <c r="A149" s="1" t="s">
        <v>184</v>
      </c>
      <c r="B149" s="1" t="s">
        <v>33</v>
      </c>
      <c r="C149" s="1" t="s">
        <v>11</v>
      </c>
      <c r="D149" s="1" t="s">
        <v>10</v>
      </c>
      <c r="E149" s="1" t="s">
        <v>1</v>
      </c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 t="s">
        <v>11</v>
      </c>
      <c r="Q149" s="1"/>
      <c r="R149" s="1"/>
      <c r="S149" s="1"/>
      <c r="T149" s="1"/>
    </row>
    <row r="150" spans="1:20" x14ac:dyDescent="0.25">
      <c r="A150" s="1" t="s">
        <v>185</v>
      </c>
      <c r="B150" s="1" t="s">
        <v>33</v>
      </c>
      <c r="C150" s="1" t="s">
        <v>4</v>
      </c>
      <c r="D150" s="1" t="s">
        <v>9</v>
      </c>
      <c r="E150" s="1" t="s">
        <v>5</v>
      </c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 t="s">
        <v>4</v>
      </c>
      <c r="Q150" s="1"/>
      <c r="R150" s="1"/>
      <c r="S150" s="1"/>
      <c r="T150" s="1"/>
    </row>
    <row r="151" spans="1:20" x14ac:dyDescent="0.25">
      <c r="A151" s="1" t="s">
        <v>186</v>
      </c>
      <c r="B151" s="1" t="s">
        <v>33</v>
      </c>
      <c r="C151" s="1" t="s">
        <v>6</v>
      </c>
      <c r="D151" s="1" t="s">
        <v>12</v>
      </c>
      <c r="E151" s="1" t="s">
        <v>5</v>
      </c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 t="s">
        <v>6</v>
      </c>
      <c r="Q151" s="1"/>
      <c r="R151" s="1"/>
      <c r="S151" s="1"/>
      <c r="T151" s="1"/>
    </row>
    <row r="152" spans="1:20" x14ac:dyDescent="0.25">
      <c r="A152" s="1" t="s">
        <v>187</v>
      </c>
      <c r="B152" s="1" t="s">
        <v>33</v>
      </c>
      <c r="C152" s="1" t="s">
        <v>8</v>
      </c>
      <c r="D152" s="1" t="s">
        <v>0</v>
      </c>
      <c r="E152" s="1" t="s">
        <v>12</v>
      </c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 t="s">
        <v>8</v>
      </c>
      <c r="Q152" s="1"/>
      <c r="R152" s="1"/>
      <c r="S152" s="1"/>
      <c r="T152" s="1"/>
    </row>
    <row r="153" spans="1:20" x14ac:dyDescent="0.25">
      <c r="A153" s="1" t="s">
        <v>188</v>
      </c>
      <c r="B153" s="1" t="s">
        <v>33</v>
      </c>
      <c r="C153" s="1" t="s">
        <v>3</v>
      </c>
      <c r="D153" s="1" t="s">
        <v>7</v>
      </c>
      <c r="E153" s="1" t="s">
        <v>2</v>
      </c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 t="s">
        <v>3</v>
      </c>
      <c r="Q153" s="1"/>
      <c r="R153" s="1"/>
      <c r="S153" s="1"/>
      <c r="T153" s="1"/>
    </row>
    <row r="154" spans="1:20" x14ac:dyDescent="0.25">
      <c r="A154" s="1" t="s">
        <v>189</v>
      </c>
      <c r="B154" s="1" t="s">
        <v>33</v>
      </c>
      <c r="C154" s="1" t="s">
        <v>11</v>
      </c>
      <c r="D154" s="1" t="s">
        <v>10</v>
      </c>
      <c r="E154" s="1" t="s">
        <v>1</v>
      </c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 t="s">
        <v>11</v>
      </c>
      <c r="Q154" s="1"/>
      <c r="R154" s="1"/>
      <c r="S154" s="1"/>
      <c r="T154" s="1"/>
    </row>
    <row r="155" spans="1:20" x14ac:dyDescent="0.25">
      <c r="A155" s="1" t="s">
        <v>190</v>
      </c>
      <c r="B155" s="1" t="s">
        <v>33</v>
      </c>
      <c r="C155" s="1" t="s">
        <v>4</v>
      </c>
      <c r="D155" s="1" t="s">
        <v>9</v>
      </c>
      <c r="E155" s="1" t="s">
        <v>5</v>
      </c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 t="s">
        <v>4</v>
      </c>
      <c r="Q155" s="1"/>
      <c r="R155" s="1"/>
      <c r="S155" s="1"/>
      <c r="T155" s="1"/>
    </row>
    <row r="156" spans="1:20" x14ac:dyDescent="0.25">
      <c r="A156" s="1" t="s">
        <v>191</v>
      </c>
      <c r="B156" s="1" t="s">
        <v>33</v>
      </c>
      <c r="C156" s="1" t="s">
        <v>6</v>
      </c>
      <c r="D156" s="1" t="s">
        <v>12</v>
      </c>
      <c r="E156" s="1" t="s">
        <v>5</v>
      </c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 t="s">
        <v>12</v>
      </c>
      <c r="Q156" s="1"/>
      <c r="R156" s="1"/>
      <c r="S156" s="1"/>
      <c r="T156" s="1"/>
    </row>
    <row r="157" spans="1:20" x14ac:dyDescent="0.25">
      <c r="A157" s="1" t="s">
        <v>192</v>
      </c>
      <c r="B157" s="1" t="s">
        <v>33</v>
      </c>
      <c r="C157" s="1" t="s">
        <v>8</v>
      </c>
      <c r="D157" s="1" t="s">
        <v>0</v>
      </c>
      <c r="E157" s="1" t="s">
        <v>12</v>
      </c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 t="s">
        <v>8</v>
      </c>
      <c r="Q157" s="1"/>
      <c r="R157" s="1"/>
      <c r="S157" s="1"/>
      <c r="T157" s="1"/>
    </row>
    <row r="158" spans="1:20" x14ac:dyDescent="0.25">
      <c r="A158" s="1" t="s">
        <v>193</v>
      </c>
      <c r="B158" s="1" t="s">
        <v>33</v>
      </c>
      <c r="C158" s="1" t="s">
        <v>6</v>
      </c>
      <c r="D158" s="1" t="s">
        <v>5</v>
      </c>
      <c r="E158" s="1" t="s">
        <v>9</v>
      </c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 t="s">
        <v>5</v>
      </c>
      <c r="Q158" s="1"/>
      <c r="R158" s="1"/>
      <c r="S158" s="1"/>
      <c r="T158" s="1"/>
    </row>
    <row r="159" spans="1:20" x14ac:dyDescent="0.25">
      <c r="A159" s="1" t="s">
        <v>194</v>
      </c>
      <c r="B159" s="1" t="s">
        <v>33</v>
      </c>
      <c r="C159" s="1" t="s">
        <v>2</v>
      </c>
      <c r="D159" s="1" t="s">
        <v>3</v>
      </c>
      <c r="E159" s="1" t="s">
        <v>5</v>
      </c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 t="s">
        <v>2</v>
      </c>
      <c r="Q159" s="1"/>
      <c r="R159" s="1"/>
      <c r="S159" s="1"/>
      <c r="T159" s="1"/>
    </row>
    <row r="160" spans="1:20" x14ac:dyDescent="0.25">
      <c r="A160" s="1" t="s">
        <v>195</v>
      </c>
      <c r="B160" s="1" t="s">
        <v>33</v>
      </c>
      <c r="C160" s="1" t="s">
        <v>3</v>
      </c>
      <c r="D160" s="1" t="s">
        <v>7</v>
      </c>
      <c r="E160" s="1" t="s">
        <v>2</v>
      </c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 t="s">
        <v>3</v>
      </c>
      <c r="Q160" s="1"/>
      <c r="R160" s="1"/>
      <c r="S160" s="1"/>
      <c r="T160" s="1"/>
    </row>
    <row r="161" spans="1:20" x14ac:dyDescent="0.25">
      <c r="A161" s="1" t="s">
        <v>196</v>
      </c>
      <c r="B161" s="1" t="s">
        <v>33</v>
      </c>
      <c r="C161" s="1" t="s">
        <v>11</v>
      </c>
      <c r="D161" s="1" t="s">
        <v>10</v>
      </c>
      <c r="E161" s="1" t="s">
        <v>1</v>
      </c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 t="s">
        <v>11</v>
      </c>
      <c r="Q161" s="1"/>
      <c r="R161" s="1"/>
      <c r="S161" s="1"/>
      <c r="T161" s="1"/>
    </row>
    <row r="162" spans="1:20" x14ac:dyDescent="0.25">
      <c r="A162" s="1" t="s">
        <v>197</v>
      </c>
      <c r="B162" s="1" t="s">
        <v>33</v>
      </c>
      <c r="C162" s="1" t="s">
        <v>4</v>
      </c>
      <c r="D162" s="1" t="s">
        <v>9</v>
      </c>
      <c r="E162" s="1" t="s">
        <v>5</v>
      </c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 t="s">
        <v>4</v>
      </c>
      <c r="Q162" s="1"/>
      <c r="R162" s="1"/>
      <c r="S162" s="1"/>
      <c r="T162" s="1"/>
    </row>
    <row r="163" spans="1:20" x14ac:dyDescent="0.25">
      <c r="A163" s="1" t="s">
        <v>198</v>
      </c>
      <c r="B163" s="1" t="s">
        <v>33</v>
      </c>
      <c r="C163" s="1" t="s">
        <v>6</v>
      </c>
      <c r="D163" s="1" t="s">
        <v>12</v>
      </c>
      <c r="E163" s="1" t="s">
        <v>5</v>
      </c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 t="s">
        <v>12</v>
      </c>
      <c r="Q163" s="1"/>
      <c r="R163" s="1"/>
      <c r="S163" s="1"/>
      <c r="T163" s="1"/>
    </row>
    <row r="164" spans="1:20" x14ac:dyDescent="0.25">
      <c r="A164" s="1" t="s">
        <v>199</v>
      </c>
      <c r="B164" s="1" t="s">
        <v>33</v>
      </c>
      <c r="C164" s="1" t="s">
        <v>11</v>
      </c>
      <c r="D164" s="1" t="s">
        <v>4</v>
      </c>
      <c r="E164" s="1" t="s">
        <v>12</v>
      </c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 t="s">
        <v>4</v>
      </c>
      <c r="Q164" s="1"/>
      <c r="R164" s="1"/>
      <c r="S164" s="1"/>
      <c r="T164" s="1"/>
    </row>
    <row r="165" spans="1:20" x14ac:dyDescent="0.25">
      <c r="A165" s="1" t="s">
        <v>200</v>
      </c>
      <c r="B165" s="1" t="s">
        <v>33</v>
      </c>
      <c r="C165" s="1" t="s">
        <v>0</v>
      </c>
      <c r="D165" s="1" t="s">
        <v>5</v>
      </c>
      <c r="E165" s="1" t="s">
        <v>3</v>
      </c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 t="s">
        <v>0</v>
      </c>
      <c r="Q165" s="1"/>
      <c r="R165" s="1"/>
      <c r="S165" s="1"/>
      <c r="T165" s="1"/>
    </row>
    <row r="166" spans="1:20" x14ac:dyDescent="0.25">
      <c r="A166" s="1" t="s">
        <v>201</v>
      </c>
      <c r="B166" s="1" t="s">
        <v>33</v>
      </c>
      <c r="C166" s="1" t="s">
        <v>13</v>
      </c>
      <c r="D166" s="1" t="s">
        <v>2</v>
      </c>
      <c r="E166" s="1" t="s">
        <v>7</v>
      </c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 t="s">
        <v>13</v>
      </c>
      <c r="Q166" s="1"/>
      <c r="R166" s="1"/>
      <c r="S166" s="1"/>
      <c r="T166" s="1"/>
    </row>
    <row r="167" spans="1:20" x14ac:dyDescent="0.25">
      <c r="A167" s="1" t="s">
        <v>202</v>
      </c>
      <c r="B167" s="1" t="s">
        <v>33</v>
      </c>
      <c r="C167" s="1" t="s">
        <v>11</v>
      </c>
      <c r="D167" s="1" t="s">
        <v>8</v>
      </c>
      <c r="E167" s="1" t="s">
        <v>1</v>
      </c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 t="s">
        <v>8</v>
      </c>
      <c r="Q167" s="1"/>
      <c r="R167" s="1"/>
      <c r="S167" s="1"/>
      <c r="T167" s="1"/>
    </row>
    <row r="168" spans="1:20" x14ac:dyDescent="0.25">
      <c r="A168" s="1" t="s">
        <v>203</v>
      </c>
      <c r="B168" s="1" t="s">
        <v>33</v>
      </c>
      <c r="C168" s="1" t="s">
        <v>10</v>
      </c>
      <c r="D168" s="1" t="s">
        <v>9</v>
      </c>
      <c r="E168" s="1" t="s">
        <v>0</v>
      </c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 t="s">
        <v>10</v>
      </c>
      <c r="Q168" s="1"/>
      <c r="R168" s="1"/>
      <c r="S168" s="1"/>
      <c r="T168" s="1"/>
    </row>
    <row r="169" spans="1:20" x14ac:dyDescent="0.25">
      <c r="A169" s="1" t="s">
        <v>204</v>
      </c>
      <c r="B169" s="1" t="s">
        <v>33</v>
      </c>
      <c r="C169" s="1" t="s">
        <v>6</v>
      </c>
      <c r="D169" s="1" t="s">
        <v>4</v>
      </c>
      <c r="E169" s="1" t="s">
        <v>13</v>
      </c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 t="s">
        <v>4</v>
      </c>
      <c r="Q169" s="1"/>
      <c r="R169" s="1"/>
      <c r="S169" s="1"/>
      <c r="T169" s="1"/>
    </row>
    <row r="170" spans="1:20" x14ac:dyDescent="0.25">
      <c r="A170" s="1" t="s">
        <v>205</v>
      </c>
      <c r="B170" s="1" t="s">
        <v>33</v>
      </c>
      <c r="C170" s="1" t="s">
        <v>2</v>
      </c>
      <c r="D170" s="1" t="s">
        <v>0</v>
      </c>
      <c r="E170" s="1" t="s">
        <v>13</v>
      </c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 t="s">
        <v>2</v>
      </c>
      <c r="Q170" s="1"/>
      <c r="R170" s="1"/>
      <c r="S170" s="1"/>
      <c r="T170" s="1"/>
    </row>
    <row r="171" spans="1:20" x14ac:dyDescent="0.25">
      <c r="A171" s="1" t="s">
        <v>206</v>
      </c>
      <c r="B171" s="1" t="s">
        <v>33</v>
      </c>
      <c r="C171" s="1" t="s">
        <v>14</v>
      </c>
      <c r="D171" s="1" t="s">
        <v>10</v>
      </c>
      <c r="E171" s="1" t="s">
        <v>13</v>
      </c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 t="s">
        <v>14</v>
      </c>
      <c r="Q171" s="1"/>
      <c r="R171" s="1"/>
      <c r="S171" s="1"/>
      <c r="T171" s="1"/>
    </row>
    <row r="172" spans="1:20" x14ac:dyDescent="0.25">
      <c r="A172" s="1" t="s">
        <v>207</v>
      </c>
      <c r="B172" s="1" t="s">
        <v>33</v>
      </c>
      <c r="C172" s="1" t="s">
        <v>3</v>
      </c>
      <c r="D172" s="1" t="s">
        <v>7</v>
      </c>
      <c r="E172" s="1" t="s">
        <v>2</v>
      </c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 t="s">
        <v>3</v>
      </c>
      <c r="Q172" s="1"/>
      <c r="R172" s="1"/>
      <c r="S172" s="1"/>
      <c r="T172" s="1"/>
    </row>
    <row r="173" spans="1:20" x14ac:dyDescent="0.25">
      <c r="A173" s="1" t="s">
        <v>208</v>
      </c>
      <c r="B173" s="1" t="s">
        <v>33</v>
      </c>
      <c r="C173" s="1" t="s">
        <v>11</v>
      </c>
      <c r="D173" s="1" t="s">
        <v>10</v>
      </c>
      <c r="E173" s="1" t="s">
        <v>1</v>
      </c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 t="s">
        <v>10</v>
      </c>
      <c r="Q173" s="1"/>
      <c r="R173" s="1"/>
      <c r="S173" s="1"/>
      <c r="T173" s="1"/>
    </row>
    <row r="174" spans="1:20" x14ac:dyDescent="0.25">
      <c r="A174" s="1" t="s">
        <v>209</v>
      </c>
      <c r="B174" s="1" t="s">
        <v>33</v>
      </c>
      <c r="C174" s="1" t="s">
        <v>4</v>
      </c>
      <c r="D174" s="1" t="s">
        <v>9</v>
      </c>
      <c r="E174" s="1" t="s">
        <v>5</v>
      </c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 t="s">
        <v>4</v>
      </c>
      <c r="Q174" s="1"/>
      <c r="R174" s="1"/>
      <c r="S174" s="1"/>
      <c r="T174" s="1"/>
    </row>
    <row r="175" spans="1:20" x14ac:dyDescent="0.25">
      <c r="A175" s="1" t="s">
        <v>210</v>
      </c>
      <c r="B175" s="1" t="s">
        <v>33</v>
      </c>
      <c r="C175" s="1" t="s">
        <v>6</v>
      </c>
      <c r="D175" s="1" t="s">
        <v>12</v>
      </c>
      <c r="E175" s="1" t="s">
        <v>5</v>
      </c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 t="s">
        <v>12</v>
      </c>
      <c r="Q175" s="1"/>
      <c r="R175" s="1"/>
      <c r="S175" s="1"/>
      <c r="T175" s="1"/>
    </row>
    <row r="176" spans="1:20" x14ac:dyDescent="0.25">
      <c r="A176" s="1" t="s">
        <v>211</v>
      </c>
      <c r="B176" s="1" t="s">
        <v>33</v>
      </c>
      <c r="C176" s="1" t="s">
        <v>11</v>
      </c>
      <c r="D176" s="1" t="s">
        <v>10</v>
      </c>
      <c r="E176" s="1" t="s">
        <v>1</v>
      </c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 t="s">
        <v>10</v>
      </c>
      <c r="Q176" s="1"/>
      <c r="R176" s="1"/>
      <c r="S176" s="1"/>
      <c r="T176" s="1"/>
    </row>
    <row r="177" spans="1:20" x14ac:dyDescent="0.25">
      <c r="A177" s="1" t="s">
        <v>212</v>
      </c>
      <c r="B177" s="1" t="s">
        <v>33</v>
      </c>
      <c r="C177" s="1" t="s">
        <v>4</v>
      </c>
      <c r="D177" s="1" t="s">
        <v>9</v>
      </c>
      <c r="E177" s="1" t="s">
        <v>5</v>
      </c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 t="s">
        <v>4</v>
      </c>
      <c r="Q177" s="1"/>
      <c r="R177" s="1"/>
      <c r="S177" s="1"/>
      <c r="T177" s="1"/>
    </row>
    <row r="178" spans="1:20" x14ac:dyDescent="0.25">
      <c r="A178" s="1" t="s">
        <v>213</v>
      </c>
      <c r="B178" s="1" t="s">
        <v>33</v>
      </c>
      <c r="C178" s="1" t="s">
        <v>6</v>
      </c>
      <c r="D178" s="1" t="s">
        <v>12</v>
      </c>
      <c r="E178" s="1" t="s">
        <v>5</v>
      </c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 t="s">
        <v>12</v>
      </c>
      <c r="Q178" s="1"/>
      <c r="R178" s="1"/>
      <c r="S178" s="1"/>
      <c r="T178" s="1"/>
    </row>
    <row r="179" spans="1:20" x14ac:dyDescent="0.25">
      <c r="A179" s="1" t="s">
        <v>214</v>
      </c>
      <c r="B179" s="1" t="s">
        <v>33</v>
      </c>
      <c r="C179" s="1" t="s">
        <v>8</v>
      </c>
      <c r="D179" s="1" t="s">
        <v>0</v>
      </c>
      <c r="E179" s="1" t="s">
        <v>12</v>
      </c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 t="s">
        <v>8</v>
      </c>
      <c r="Q179" s="1"/>
      <c r="R179" s="1"/>
      <c r="S179" s="1"/>
      <c r="T179" s="1"/>
    </row>
    <row r="180" spans="1:20" x14ac:dyDescent="0.25">
      <c r="A180" s="1" t="s">
        <v>215</v>
      </c>
      <c r="B180" s="1" t="s">
        <v>33</v>
      </c>
      <c r="C180" s="1" t="s">
        <v>6</v>
      </c>
      <c r="D180" s="1" t="s">
        <v>5</v>
      </c>
      <c r="E180" s="1" t="s">
        <v>9</v>
      </c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 t="s">
        <v>5</v>
      </c>
      <c r="Q180" s="1"/>
      <c r="R180" s="1"/>
      <c r="S180" s="1"/>
      <c r="T180" s="1"/>
    </row>
    <row r="181" spans="1:20" x14ac:dyDescent="0.25">
      <c r="A181" s="1" t="s">
        <v>216</v>
      </c>
      <c r="B181" s="1" t="s">
        <v>33</v>
      </c>
      <c r="C181" s="1" t="s">
        <v>11</v>
      </c>
      <c r="D181" s="1" t="s">
        <v>8</v>
      </c>
      <c r="E181" s="1" t="s">
        <v>1</v>
      </c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 t="s">
        <v>8</v>
      </c>
      <c r="Q181" s="1"/>
      <c r="R181" s="1"/>
      <c r="S181" s="1"/>
      <c r="T181" s="1"/>
    </row>
    <row r="182" spans="1:20" x14ac:dyDescent="0.25">
      <c r="A182" s="1" t="s">
        <v>217</v>
      </c>
      <c r="B182" s="1" t="s">
        <v>33</v>
      </c>
      <c r="C182" s="1" t="s">
        <v>10</v>
      </c>
      <c r="D182" s="1" t="s">
        <v>9</v>
      </c>
      <c r="E182" s="1" t="s">
        <v>0</v>
      </c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 t="s">
        <v>10</v>
      </c>
      <c r="Q182" s="1"/>
      <c r="R182" s="1"/>
      <c r="S182" s="1"/>
      <c r="T182" s="1"/>
    </row>
    <row r="183" spans="1:20" x14ac:dyDescent="0.25">
      <c r="A183" s="1" t="s">
        <v>218</v>
      </c>
      <c r="B183" s="1" t="s">
        <v>33</v>
      </c>
      <c r="C183" s="1" t="s">
        <v>6</v>
      </c>
      <c r="D183" s="1" t="s">
        <v>4</v>
      </c>
      <c r="E183" s="1" t="s">
        <v>13</v>
      </c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 t="s">
        <v>4</v>
      </c>
      <c r="Q183" s="1"/>
      <c r="R183" s="1"/>
      <c r="S183" s="1"/>
      <c r="T183" s="1"/>
    </row>
    <row r="184" spans="1:20" x14ac:dyDescent="0.25">
      <c r="A184" s="1" t="s">
        <v>219</v>
      </c>
      <c r="B184" s="1" t="s">
        <v>33</v>
      </c>
      <c r="C184" s="1" t="s">
        <v>2</v>
      </c>
      <c r="D184" s="1" t="s">
        <v>0</v>
      </c>
      <c r="E184" s="1" t="s">
        <v>13</v>
      </c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 t="s">
        <v>2</v>
      </c>
      <c r="Q184" s="1"/>
      <c r="R184" s="1"/>
      <c r="S184" s="1"/>
      <c r="T184" s="1"/>
    </row>
    <row r="185" spans="1:20" x14ac:dyDescent="0.25">
      <c r="A185" s="1" t="s">
        <v>220</v>
      </c>
      <c r="B185" s="1" t="s">
        <v>33</v>
      </c>
      <c r="C185" s="1" t="s">
        <v>0</v>
      </c>
      <c r="D185" s="1" t="s">
        <v>5</v>
      </c>
      <c r="E185" s="1" t="s">
        <v>3</v>
      </c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 t="s">
        <v>0</v>
      </c>
      <c r="Q185" s="1"/>
      <c r="R185" s="1"/>
      <c r="S185" s="1"/>
      <c r="T185" s="1"/>
    </row>
    <row r="186" spans="1:20" x14ac:dyDescent="0.25">
      <c r="A186" s="1" t="s">
        <v>221</v>
      </c>
      <c r="B186" s="1" t="s">
        <v>33</v>
      </c>
      <c r="C186" s="1" t="s">
        <v>13</v>
      </c>
      <c r="D186" s="1" t="s">
        <v>2</v>
      </c>
      <c r="E186" s="1" t="s">
        <v>7</v>
      </c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 t="s">
        <v>13</v>
      </c>
      <c r="Q186" s="1"/>
      <c r="R186" s="1"/>
      <c r="S186" s="1"/>
      <c r="T186" s="1"/>
    </row>
    <row r="187" spans="1:20" x14ac:dyDescent="0.25">
      <c r="A187" s="1" t="s">
        <v>222</v>
      </c>
      <c r="B187" s="1" t="s">
        <v>33</v>
      </c>
      <c r="C187" s="1" t="s">
        <v>11</v>
      </c>
      <c r="D187" s="1" t="s">
        <v>8</v>
      </c>
      <c r="E187" s="1" t="s">
        <v>1</v>
      </c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 t="s">
        <v>8</v>
      </c>
      <c r="Q187" s="1"/>
      <c r="R187" s="1"/>
      <c r="S187" s="1"/>
      <c r="T187" s="1"/>
    </row>
    <row r="188" spans="1:20" x14ac:dyDescent="0.25">
      <c r="A188" s="1" t="s">
        <v>223</v>
      </c>
      <c r="B188" s="1" t="s">
        <v>33</v>
      </c>
      <c r="C188" s="1" t="s">
        <v>10</v>
      </c>
      <c r="D188" s="1" t="s">
        <v>9</v>
      </c>
      <c r="E188" s="1" t="s">
        <v>0</v>
      </c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 t="s">
        <v>10</v>
      </c>
      <c r="Q188" s="1"/>
      <c r="R188" s="1"/>
      <c r="S188" s="1"/>
      <c r="T188" s="1"/>
    </row>
    <row r="189" spans="1:20" x14ac:dyDescent="0.25">
      <c r="A189" s="1" t="s">
        <v>224</v>
      </c>
      <c r="B189" s="1" t="s">
        <v>33</v>
      </c>
      <c r="C189" s="1" t="s">
        <v>13</v>
      </c>
      <c r="D189" s="1" t="s">
        <v>2</v>
      </c>
      <c r="E189" s="1" t="s">
        <v>7</v>
      </c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 t="s">
        <v>13</v>
      </c>
      <c r="Q189" s="1"/>
      <c r="R189" s="1"/>
      <c r="S189" s="1"/>
      <c r="T189" s="1"/>
    </row>
    <row r="190" spans="1:20" x14ac:dyDescent="0.25">
      <c r="A190" s="1" t="s">
        <v>225</v>
      </c>
      <c r="B190" s="1" t="s">
        <v>33</v>
      </c>
      <c r="C190" s="1" t="s">
        <v>11</v>
      </c>
      <c r="D190" s="1" t="s">
        <v>8</v>
      </c>
      <c r="E190" s="1" t="s">
        <v>1</v>
      </c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 t="s">
        <v>8</v>
      </c>
      <c r="Q190" s="1"/>
      <c r="R190" s="1"/>
      <c r="S190" s="1"/>
      <c r="T190" s="1"/>
    </row>
    <row r="191" spans="1:20" x14ac:dyDescent="0.25">
      <c r="A191" s="1" t="s">
        <v>226</v>
      </c>
      <c r="B191" s="1" t="s">
        <v>33</v>
      </c>
      <c r="C191" s="1" t="s">
        <v>10</v>
      </c>
      <c r="D191" s="1" t="s">
        <v>9</v>
      </c>
      <c r="E191" s="1" t="s">
        <v>0</v>
      </c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 t="s">
        <v>10</v>
      </c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</sheetData>
  <sortState xmlns:xlrd2="http://schemas.microsoft.com/office/spreadsheetml/2017/richdata2" ref="A2:Q94">
    <sortCondition ref="B2:B94" customList="Compagnon,Aspirant,Jeune"/>
  </sortState>
  <phoneticPr fontId="1" type="noConversion"/>
  <conditionalFormatting sqref="B2:B126">
    <cfRule type="containsText" dxfId="39" priority="34" operator="containsText" text="compagnon">
      <formula>NOT(ISERROR(SEARCH("compagnon",B2)))</formula>
    </cfRule>
    <cfRule type="containsText" dxfId="38" priority="35" operator="containsText" text="aspirant">
      <formula>NOT(ISERROR(SEARCH("aspirant",B2)))</formula>
    </cfRule>
    <cfRule type="containsText" dxfId="37" priority="36" operator="containsText" text="jeune">
      <formula>NOT(ISERROR(SEARCH("jeune",B2)))</formula>
    </cfRule>
  </conditionalFormatting>
  <conditionalFormatting sqref="P77:P78">
    <cfRule type="containsText" dxfId="36" priority="31" operator="containsText" text="LIMOGES">
      <formula>NOT(ISERROR(SEARCH("LIMOGES",P77)))</formula>
    </cfRule>
  </conditionalFormatting>
  <dataValidations count="5">
    <dataValidation type="list" allowBlank="1" showInputMessage="1" showErrorMessage="1" sqref="J2:J77 J79:J104 K2:K73 H2:I83 I84:I126 L2:O57 H84:H146" xr:uid="{75FEBE13-9930-4BB4-B686-533577397EE4}">
      <formula1>$V$1:$AJ$1</formula1>
    </dataValidation>
    <dataValidation type="list" allowBlank="1" showInputMessage="1" showErrorMessage="1" sqref="B2:B191" xr:uid="{93E090E8-D2B5-48BC-894E-F71C9ED78CA7}">
      <formula1>INDIRECT("t_Grades")</formula1>
    </dataValidation>
    <dataValidation type="list" allowBlank="1" showInputMessage="1" showErrorMessage="1" sqref="C2:E191" xr:uid="{331B8C6F-DD6A-4229-B64E-B60FFF5FE011}">
      <formula1>INDIRECT("t_Villes")</formula1>
    </dataValidation>
    <dataValidation type="list" allowBlank="1" showInputMessage="1" showErrorMessage="1" sqref="F2:F191" xr:uid="{C4A3416D-DED6-4108-B595-DF8ECF5FBFED}">
      <formula1>$W$36:$W$41</formula1>
    </dataValidation>
    <dataValidation type="list" allowBlank="1" showInputMessage="1" showErrorMessage="1" sqref="G2:G191" xr:uid="{750E923E-25D4-4514-8388-3A4F72523609}">
      <formula1>$U$36:$U$42</formula1>
    </dataValidation>
  </dataValidations>
  <pageMargins left="0.7" right="0.7" top="0.75" bottom="0.75" header="0.3" footer="0.3"/>
  <pageSetup paperSize="9" orientation="portrait" r:id="rId1"/>
  <customProperties>
    <customPr name="SHEET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RepartirPersonnes">
                <anchor moveWithCells="1" sizeWithCells="1">
                  <from>
                    <xdr:col>17</xdr:col>
                    <xdr:colOff>228600</xdr:colOff>
                    <xdr:row>0</xdr:row>
                    <xdr:rowOff>285750</xdr:rowOff>
                  </from>
                  <to>
                    <xdr:col>19</xdr:col>
                    <xdr:colOff>85725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5"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0C68A-A7B9-4AA9-A17D-8597F2DDBA88}">
  <sheetPr codeName="Feuil4"/>
  <dimension ref="A1:L18"/>
  <sheetViews>
    <sheetView workbookViewId="0">
      <selection activeCell="A3" sqref="A3"/>
    </sheetView>
  </sheetViews>
  <sheetFormatPr defaultColWidth="11.42578125" defaultRowHeight="15" x14ac:dyDescent="0.25"/>
  <cols>
    <col min="6" max="6" width="16" bestFit="1" customWidth="1"/>
    <col min="7" max="7" width="17.7109375" bestFit="1" customWidth="1"/>
    <col min="8" max="8" width="19.28515625" bestFit="1" customWidth="1"/>
    <col min="9" max="9" width="17.5703125" bestFit="1" customWidth="1"/>
    <col min="10" max="10" width="17" bestFit="1" customWidth="1"/>
    <col min="11" max="11" width="13.5703125" bestFit="1" customWidth="1"/>
    <col min="12" max="12" width="19.7109375" customWidth="1"/>
  </cols>
  <sheetData>
    <row r="1" spans="1:12" ht="15.75" thickBot="1" x14ac:dyDescent="0.3"/>
    <row r="2" spans="1:12" x14ac:dyDescent="0.25">
      <c r="B2" s="57" t="s">
        <v>239</v>
      </c>
      <c r="C2" s="58"/>
      <c r="D2" s="58"/>
      <c r="E2" s="59"/>
      <c r="F2" s="60" t="s">
        <v>246</v>
      </c>
      <c r="G2" s="61"/>
      <c r="H2" s="61"/>
      <c r="I2" s="61"/>
      <c r="J2" s="61"/>
      <c r="K2" s="61"/>
      <c r="L2" s="62"/>
    </row>
    <row r="3" spans="1:12" ht="32.25" customHeight="1" x14ac:dyDescent="0.25">
      <c r="A3" s="2" t="s">
        <v>36</v>
      </c>
      <c r="B3" s="18" t="s">
        <v>234</v>
      </c>
      <c r="C3" s="19" t="s">
        <v>235</v>
      </c>
      <c r="D3" s="19" t="s">
        <v>236</v>
      </c>
      <c r="E3" s="20" t="s">
        <v>237</v>
      </c>
      <c r="F3" s="26" t="s">
        <v>240</v>
      </c>
      <c r="G3" s="27" t="s">
        <v>241</v>
      </c>
      <c r="H3" s="28" t="s">
        <v>245</v>
      </c>
      <c r="I3" s="29" t="s">
        <v>242</v>
      </c>
      <c r="J3" s="28" t="s">
        <v>243</v>
      </c>
      <c r="K3" s="28" t="s">
        <v>244</v>
      </c>
      <c r="L3" s="30" t="s">
        <v>247</v>
      </c>
    </row>
    <row r="4" spans="1:12" x14ac:dyDescent="0.25">
      <c r="A4" s="2" t="s">
        <v>0</v>
      </c>
      <c r="B4" s="21" t="s">
        <v>238</v>
      </c>
      <c r="C4" s="1"/>
      <c r="D4" s="1"/>
      <c r="E4" s="22"/>
      <c r="F4" s="31" t="s">
        <v>238</v>
      </c>
      <c r="G4" s="32" t="s">
        <v>238</v>
      </c>
      <c r="H4" s="32"/>
      <c r="I4" s="32" t="s">
        <v>238</v>
      </c>
      <c r="J4" s="32"/>
      <c r="K4" s="32" t="s">
        <v>238</v>
      </c>
      <c r="L4" s="33" t="s">
        <v>238</v>
      </c>
    </row>
    <row r="5" spans="1:12" x14ac:dyDescent="0.25">
      <c r="A5" s="2" t="s">
        <v>1</v>
      </c>
      <c r="B5" s="21" t="s">
        <v>238</v>
      </c>
      <c r="C5" s="1" t="s">
        <v>238</v>
      </c>
      <c r="D5" s="1" t="s">
        <v>238</v>
      </c>
      <c r="E5" s="22"/>
      <c r="F5" s="31" t="s">
        <v>238</v>
      </c>
      <c r="G5" s="32" t="s">
        <v>238</v>
      </c>
      <c r="H5" s="32" t="s">
        <v>238</v>
      </c>
      <c r="I5" s="32" t="s">
        <v>238</v>
      </c>
      <c r="J5" s="32"/>
      <c r="K5" s="32"/>
      <c r="L5" s="33" t="s">
        <v>238</v>
      </c>
    </row>
    <row r="6" spans="1:12" x14ac:dyDescent="0.25">
      <c r="A6" s="2" t="s">
        <v>2</v>
      </c>
      <c r="B6" s="21"/>
      <c r="C6" s="1"/>
      <c r="D6" s="1" t="s">
        <v>238</v>
      </c>
      <c r="E6" s="22" t="s">
        <v>238</v>
      </c>
      <c r="F6" s="31" t="s">
        <v>238</v>
      </c>
      <c r="G6" s="32"/>
      <c r="H6" s="32"/>
      <c r="I6" s="32" t="s">
        <v>238</v>
      </c>
      <c r="J6" s="32" t="s">
        <v>238</v>
      </c>
      <c r="K6" s="32" t="s">
        <v>238</v>
      </c>
      <c r="L6" s="33" t="s">
        <v>238</v>
      </c>
    </row>
    <row r="7" spans="1:12" x14ac:dyDescent="0.25">
      <c r="A7" s="2" t="s">
        <v>3</v>
      </c>
      <c r="B7" s="21" t="s">
        <v>238</v>
      </c>
      <c r="C7" s="1" t="s">
        <v>238</v>
      </c>
      <c r="D7" s="1" t="s">
        <v>238</v>
      </c>
      <c r="E7" s="22" t="s">
        <v>238</v>
      </c>
      <c r="F7" s="31" t="s">
        <v>238</v>
      </c>
      <c r="G7" s="32"/>
      <c r="H7" s="32" t="s">
        <v>238</v>
      </c>
      <c r="I7" s="32"/>
      <c r="J7" s="32" t="s">
        <v>238</v>
      </c>
      <c r="K7" s="32"/>
      <c r="L7" s="33" t="s">
        <v>238</v>
      </c>
    </row>
    <row r="8" spans="1:12" x14ac:dyDescent="0.25">
      <c r="A8" s="2" t="s">
        <v>4</v>
      </c>
      <c r="B8" s="21" t="s">
        <v>238</v>
      </c>
      <c r="C8" s="1"/>
      <c r="D8" s="1"/>
      <c r="E8" s="22" t="s">
        <v>238</v>
      </c>
      <c r="F8" s="31" t="s">
        <v>238</v>
      </c>
      <c r="G8" s="32" t="s">
        <v>238</v>
      </c>
      <c r="H8" s="32"/>
      <c r="I8" s="32" t="s">
        <v>238</v>
      </c>
      <c r="J8" s="32" t="s">
        <v>238</v>
      </c>
      <c r="K8" s="32"/>
      <c r="L8" s="33"/>
    </row>
    <row r="9" spans="1:12" x14ac:dyDescent="0.25">
      <c r="A9" s="2" t="s">
        <v>5</v>
      </c>
      <c r="B9" s="21" t="s">
        <v>238</v>
      </c>
      <c r="C9" s="1"/>
      <c r="D9" s="1" t="s">
        <v>238</v>
      </c>
      <c r="E9" s="22" t="s">
        <v>238</v>
      </c>
      <c r="F9" s="31" t="s">
        <v>238</v>
      </c>
      <c r="G9" s="32"/>
      <c r="H9" s="32" t="s">
        <v>238</v>
      </c>
      <c r="I9" s="32" t="s">
        <v>238</v>
      </c>
      <c r="J9" s="32"/>
      <c r="K9" s="32" t="s">
        <v>238</v>
      </c>
      <c r="L9" s="33" t="s">
        <v>238</v>
      </c>
    </row>
    <row r="10" spans="1:12" x14ac:dyDescent="0.25">
      <c r="A10" s="2" t="s">
        <v>6</v>
      </c>
      <c r="B10" s="21" t="s">
        <v>238</v>
      </c>
      <c r="C10" s="1"/>
      <c r="D10" s="1" t="s">
        <v>238</v>
      </c>
      <c r="E10" s="22"/>
      <c r="F10" s="31" t="s">
        <v>238</v>
      </c>
      <c r="G10" s="32" t="s">
        <v>238</v>
      </c>
      <c r="H10" s="32"/>
      <c r="I10" s="32" t="s">
        <v>238</v>
      </c>
      <c r="J10" s="32"/>
      <c r="K10" s="32" t="s">
        <v>238</v>
      </c>
      <c r="L10" s="33" t="s">
        <v>238</v>
      </c>
    </row>
    <row r="11" spans="1:12" x14ac:dyDescent="0.25">
      <c r="A11" s="2" t="s">
        <v>7</v>
      </c>
      <c r="B11" s="21" t="s">
        <v>238</v>
      </c>
      <c r="C11" s="1" t="s">
        <v>238</v>
      </c>
      <c r="D11" s="1" t="s">
        <v>238</v>
      </c>
      <c r="E11" s="22" t="s">
        <v>238</v>
      </c>
      <c r="F11" s="31" t="s">
        <v>238</v>
      </c>
      <c r="G11" s="32" t="s">
        <v>238</v>
      </c>
      <c r="H11" s="32" t="s">
        <v>238</v>
      </c>
      <c r="I11" s="32" t="s">
        <v>238</v>
      </c>
      <c r="J11" s="32" t="s">
        <v>238</v>
      </c>
      <c r="K11" s="32" t="s">
        <v>238</v>
      </c>
      <c r="L11" s="33" t="s">
        <v>238</v>
      </c>
    </row>
    <row r="12" spans="1:12" x14ac:dyDescent="0.25">
      <c r="A12" s="2" t="s">
        <v>8</v>
      </c>
      <c r="B12" s="21" t="s">
        <v>238</v>
      </c>
      <c r="C12" s="1"/>
      <c r="D12" s="1" t="s">
        <v>238</v>
      </c>
      <c r="E12" s="22" t="s">
        <v>238</v>
      </c>
      <c r="F12" s="31" t="s">
        <v>238</v>
      </c>
      <c r="G12" s="32" t="s">
        <v>238</v>
      </c>
      <c r="H12" s="32" t="s">
        <v>238</v>
      </c>
      <c r="I12" s="32" t="s">
        <v>238</v>
      </c>
      <c r="J12" s="32"/>
      <c r="K12" s="32"/>
      <c r="L12" s="33" t="s">
        <v>238</v>
      </c>
    </row>
    <row r="13" spans="1:12" x14ac:dyDescent="0.25">
      <c r="A13" s="2" t="s">
        <v>9</v>
      </c>
      <c r="B13" s="21"/>
      <c r="C13" s="1"/>
      <c r="D13" s="1"/>
      <c r="E13" s="22"/>
      <c r="F13" s="31" t="s">
        <v>238</v>
      </c>
      <c r="G13" s="32" t="s">
        <v>238</v>
      </c>
      <c r="H13" s="32" t="s">
        <v>238</v>
      </c>
      <c r="I13" s="32" t="s">
        <v>238</v>
      </c>
      <c r="J13" s="32"/>
      <c r="K13" s="32"/>
      <c r="L13" s="33"/>
    </row>
    <row r="14" spans="1:12" x14ac:dyDescent="0.25">
      <c r="A14" s="2" t="s">
        <v>10</v>
      </c>
      <c r="B14" s="21" t="s">
        <v>238</v>
      </c>
      <c r="C14" s="1"/>
      <c r="D14" s="1" t="s">
        <v>238</v>
      </c>
      <c r="E14" s="22" t="s">
        <v>238</v>
      </c>
      <c r="F14" s="31" t="s">
        <v>238</v>
      </c>
      <c r="G14" s="32"/>
      <c r="H14" s="32" t="s">
        <v>238</v>
      </c>
      <c r="I14" s="32" t="s">
        <v>238</v>
      </c>
      <c r="J14" s="32" t="s">
        <v>238</v>
      </c>
      <c r="K14" s="32"/>
      <c r="L14" s="33" t="s">
        <v>238</v>
      </c>
    </row>
    <row r="15" spans="1:12" x14ac:dyDescent="0.25">
      <c r="A15" s="2" t="s">
        <v>11</v>
      </c>
      <c r="B15" s="21"/>
      <c r="C15" s="1" t="s">
        <v>238</v>
      </c>
      <c r="D15" s="1" t="s">
        <v>238</v>
      </c>
      <c r="E15" s="22"/>
      <c r="F15" s="31" t="s">
        <v>238</v>
      </c>
      <c r="G15" s="32" t="s">
        <v>238</v>
      </c>
      <c r="H15" s="32" t="s">
        <v>238</v>
      </c>
      <c r="I15" s="32"/>
      <c r="J15" s="32" t="s">
        <v>238</v>
      </c>
      <c r="K15" s="32"/>
      <c r="L15" s="33" t="s">
        <v>238</v>
      </c>
    </row>
    <row r="16" spans="1:12" x14ac:dyDescent="0.25">
      <c r="A16" s="2" t="s">
        <v>12</v>
      </c>
      <c r="B16" s="21"/>
      <c r="C16" s="1"/>
      <c r="D16" s="1"/>
      <c r="E16" s="22" t="s">
        <v>238</v>
      </c>
      <c r="F16" s="31" t="s">
        <v>238</v>
      </c>
      <c r="G16" s="32"/>
      <c r="H16" s="32" t="s">
        <v>238</v>
      </c>
      <c r="I16" s="32"/>
      <c r="J16" s="32" t="s">
        <v>238</v>
      </c>
      <c r="K16" s="32"/>
      <c r="L16" s="33" t="s">
        <v>238</v>
      </c>
    </row>
    <row r="17" spans="1:12" x14ac:dyDescent="0.25">
      <c r="A17" s="2" t="s">
        <v>13</v>
      </c>
      <c r="B17" s="21" t="s">
        <v>238</v>
      </c>
      <c r="C17" s="1" t="s">
        <v>238</v>
      </c>
      <c r="D17" s="1"/>
      <c r="E17" s="22" t="s">
        <v>238</v>
      </c>
      <c r="F17" s="31" t="s">
        <v>238</v>
      </c>
      <c r="G17" s="32" t="s">
        <v>238</v>
      </c>
      <c r="H17" s="32" t="s">
        <v>238</v>
      </c>
      <c r="I17" s="32" t="s">
        <v>238</v>
      </c>
      <c r="J17" s="32" t="s">
        <v>238</v>
      </c>
      <c r="K17" s="32"/>
      <c r="L17" s="33" t="s">
        <v>238</v>
      </c>
    </row>
    <row r="18" spans="1:12" ht="15.75" thickBot="1" x14ac:dyDescent="0.3">
      <c r="A18" s="2" t="s">
        <v>14</v>
      </c>
      <c r="B18" s="23"/>
      <c r="C18" s="24"/>
      <c r="D18" s="24"/>
      <c r="E18" s="25" t="s">
        <v>238</v>
      </c>
      <c r="F18" s="34" t="s">
        <v>238</v>
      </c>
      <c r="G18" s="35"/>
      <c r="H18" s="35" t="s">
        <v>238</v>
      </c>
      <c r="I18" s="35" t="s">
        <v>238</v>
      </c>
      <c r="J18" s="35" t="s">
        <v>238</v>
      </c>
      <c r="K18" s="35" t="s">
        <v>238</v>
      </c>
      <c r="L18" s="36" t="s">
        <v>238</v>
      </c>
    </row>
  </sheetData>
  <mergeCells count="2">
    <mergeCell ref="B2:E2"/>
    <mergeCell ref="F2:L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D989C-B548-4A2C-BE93-CB3416ECE8C1}">
  <sheetPr codeName="Feuil2"/>
  <dimension ref="A2:C18"/>
  <sheetViews>
    <sheetView showGridLines="0" workbookViewId="0">
      <selection activeCell="A18" sqref="A18"/>
    </sheetView>
  </sheetViews>
  <sheetFormatPr defaultColWidth="11.42578125" defaultRowHeight="15" x14ac:dyDescent="0.25"/>
  <cols>
    <col min="1" max="2" width="13.5703125" style="2" customWidth="1"/>
    <col min="3" max="3" width="13.28515625" style="2" bestFit="1" customWidth="1"/>
    <col min="4" max="16384" width="11.42578125" style="2"/>
  </cols>
  <sheetData>
    <row r="2" spans="1:3" x14ac:dyDescent="0.25">
      <c r="A2" s="2" t="s">
        <v>36</v>
      </c>
      <c r="C2" s="2" t="s">
        <v>35</v>
      </c>
    </row>
    <row r="3" spans="1:3" x14ac:dyDescent="0.25">
      <c r="A3" s="2" t="s">
        <v>0</v>
      </c>
      <c r="C3" s="2" t="s">
        <v>227</v>
      </c>
    </row>
    <row r="4" spans="1:3" x14ac:dyDescent="0.25">
      <c r="A4" s="2" t="s">
        <v>1</v>
      </c>
      <c r="C4" s="2" t="s">
        <v>228</v>
      </c>
    </row>
    <row r="5" spans="1:3" x14ac:dyDescent="0.25">
      <c r="A5" s="2" t="s">
        <v>2</v>
      </c>
      <c r="C5" s="2" t="s">
        <v>229</v>
      </c>
    </row>
    <row r="6" spans="1:3" x14ac:dyDescent="0.25">
      <c r="A6" s="2" t="s">
        <v>3</v>
      </c>
    </row>
    <row r="7" spans="1:3" x14ac:dyDescent="0.25">
      <c r="A7" s="2" t="s">
        <v>4</v>
      </c>
    </row>
    <row r="8" spans="1:3" x14ac:dyDescent="0.25">
      <c r="A8" s="2" t="s">
        <v>5</v>
      </c>
    </row>
    <row r="9" spans="1:3" x14ac:dyDescent="0.25">
      <c r="A9" s="2" t="s">
        <v>6</v>
      </c>
    </row>
    <row r="10" spans="1:3" x14ac:dyDescent="0.25">
      <c r="A10" s="2" t="s">
        <v>7</v>
      </c>
    </row>
    <row r="11" spans="1:3" x14ac:dyDescent="0.25">
      <c r="A11" s="2" t="s">
        <v>8</v>
      </c>
    </row>
    <row r="12" spans="1:3" x14ac:dyDescent="0.25">
      <c r="A12" s="2" t="s">
        <v>9</v>
      </c>
    </row>
    <row r="13" spans="1:3" x14ac:dyDescent="0.25">
      <c r="A13" s="2" t="s">
        <v>10</v>
      </c>
    </row>
    <row r="14" spans="1:3" x14ac:dyDescent="0.25">
      <c r="A14" s="2" t="s">
        <v>11</v>
      </c>
    </row>
    <row r="15" spans="1:3" x14ac:dyDescent="0.25">
      <c r="A15" s="2" t="s">
        <v>12</v>
      </c>
    </row>
    <row r="16" spans="1:3" x14ac:dyDescent="0.25">
      <c r="A16" s="2" t="s">
        <v>13</v>
      </c>
    </row>
    <row r="17" spans="1:1" x14ac:dyDescent="0.25">
      <c r="A17" s="2" t="s">
        <v>14</v>
      </c>
    </row>
    <row r="18" spans="1:1" x14ac:dyDescent="0.25">
      <c r="A18" s="2" t="s">
        <v>251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C2637-D8C8-485E-9A8D-3439B2E28DBB}">
  <sheetPr codeName="Feuil3">
    <tabColor rgb="FF00B050"/>
  </sheetPr>
  <dimension ref="A1:AQ223"/>
  <sheetViews>
    <sheetView showGridLines="0" tabSelected="1" zoomScale="70" zoomScaleNormal="70" workbookViewId="0">
      <pane xSplit="5" ySplit="11" topLeftCell="F12" activePane="bottomRight" state="frozen"/>
      <selection pane="topRight" activeCell="F1" sqref="F1"/>
      <selection pane="bottomLeft" activeCell="A12" sqref="A12"/>
      <selection pane="bottomRight" activeCell="H21" sqref="H21"/>
    </sheetView>
  </sheetViews>
  <sheetFormatPr defaultColWidth="9.140625" defaultRowHeight="15" x14ac:dyDescent="0.25"/>
  <cols>
    <col min="1" max="1" width="12.5703125" bestFit="1" customWidth="1"/>
    <col min="2" max="2" width="14.28515625" bestFit="1" customWidth="1"/>
    <col min="3" max="5" width="21.85546875" bestFit="1" customWidth="1"/>
    <col min="6" max="6" width="19.140625" bestFit="1" customWidth="1"/>
    <col min="7" max="7" width="15.28515625" bestFit="1" customWidth="1"/>
    <col min="8" max="15" width="28" bestFit="1" customWidth="1"/>
    <col min="16" max="16" width="24" bestFit="1" customWidth="1"/>
    <col min="17" max="17" width="14.28515625" customWidth="1"/>
    <col min="18" max="18" width="18.5703125" customWidth="1"/>
    <col min="19" max="20" width="18.5703125" hidden="1" customWidth="1"/>
    <col min="21" max="26" width="0" hidden="1" customWidth="1"/>
    <col min="27" max="27" width="27.140625" bestFit="1" customWidth="1"/>
    <col min="28" max="28" width="16.85546875" style="1" bestFit="1" customWidth="1"/>
    <col min="29" max="29" width="17.7109375" style="1" bestFit="1" customWidth="1"/>
    <col min="30" max="30" width="17.85546875" style="1" bestFit="1" customWidth="1"/>
    <col min="31" max="31" width="16.42578125" style="1" bestFit="1" customWidth="1"/>
    <col min="32" max="32" width="21.42578125" style="1" bestFit="1" customWidth="1"/>
    <col min="33" max="33" width="21.140625" style="1" bestFit="1" customWidth="1"/>
    <col min="34" max="34" width="18.85546875" style="1" bestFit="1" customWidth="1"/>
    <col min="35" max="35" width="14.85546875" style="1" bestFit="1" customWidth="1"/>
    <col min="36" max="36" width="21.42578125" style="1" bestFit="1" customWidth="1"/>
    <col min="37" max="37" width="17.7109375" style="1" bestFit="1" customWidth="1"/>
    <col min="38" max="38" width="19.5703125" style="1" bestFit="1" customWidth="1"/>
    <col min="39" max="39" width="15.42578125" style="1" bestFit="1" customWidth="1"/>
    <col min="40" max="40" width="19.7109375" style="1" bestFit="1" customWidth="1"/>
    <col min="41" max="41" width="21.140625" style="1" bestFit="1" customWidth="1"/>
    <col min="42" max="42" width="16.42578125" style="1" bestFit="1" customWidth="1"/>
    <col min="43" max="43" width="14" bestFit="1" customWidth="1"/>
  </cols>
  <sheetData>
    <row r="1" spans="1:43" ht="39.75" customHeight="1" x14ac:dyDescent="0.25"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43" x14ac:dyDescent="0.25">
      <c r="F2">
        <f t="shared" ref="F2:F7" si="0">SUM(H2:O2)</f>
        <v>190</v>
      </c>
      <c r="G2" s="55" t="s">
        <v>255</v>
      </c>
      <c r="H2" s="55" cm="1">
        <f t="array" ref="H2">SUMPRODUCT((t_BDD8[ville 1 déjà faites]=t_BDD8[[choix ville 1]:[choix ville 1]])*(t_BDD8[ville 1 déjà faites]&lt;&gt;""))</f>
        <v>134</v>
      </c>
      <c r="I2" s="55" cm="1">
        <f t="array" ref="I2">SUMPRODUCT((t_BDD8[ville 2 déjà faites]=t_BDD8[[choix ville 1]:[choix ville 1]])*(t_BDD8[ville 2 déjà faites]&lt;&gt;""))</f>
        <v>38</v>
      </c>
      <c r="J2" s="55" cm="1">
        <f t="array" ref="J2">SUMPRODUCT((t_BDD8[ville 3 déjà faites]=t_BDD8[[choix ville 1]:[choix ville 1]])*(t_BDD8[ville 3 déjà faites]&lt;&gt;""))</f>
        <v>13</v>
      </c>
      <c r="K2" s="55" cm="1">
        <f t="array" ref="K2">SUMPRODUCT((t_BDD8[ville 4 déjà faites]=t_BDD8[[choix ville 1]:[choix ville 1]])*(t_BDD8[ville 4 déjà faites]&lt;&gt;""))</f>
        <v>5</v>
      </c>
      <c r="L2" s="55" cm="1">
        <f t="array" ref="L2">SUMPRODUCT((t_BDD8[ville 5 déjà faites]=t_BDD8[[choix ville 1]:[choix ville 1]])*(t_BDD8[ville 5 déjà faites]&lt;&gt;""))</f>
        <v>0</v>
      </c>
      <c r="M2" s="55" cm="1">
        <f t="array" ref="M2">SUMPRODUCT((t_BDD8[ville 6 déjà faites]=t_BDD8[[choix ville 1]:[choix ville 1]])*(t_BDD8[ville 6 déjà faites]&lt;&gt;""))</f>
        <v>0</v>
      </c>
      <c r="N2" s="55" cm="1">
        <f t="array" ref="N2">SUMPRODUCT((t_BDD8[ville 7 déjà faites]=t_BDD8[[choix ville 1]:[choix ville 1]])*(t_BDD8[ville 7 déjà faites]&lt;&gt;""))</f>
        <v>0</v>
      </c>
      <c r="O2" s="55" cm="1">
        <f t="array" ref="O2">SUMPRODUCT((t_BDD8[ville 8 déjà faites]=t_BDD8[[choix ville 1]:[choix ville 1]])*(t_BDD8[ville 8 déjà faites]&lt;&gt;""))</f>
        <v>0</v>
      </c>
      <c r="P2" s="55" cm="1">
        <f t="array" ref="P2">SUMPRODUCT((t_BDD8[Attrib]=t_BDD8[[choix ville 1]:[choix ville 1]])*(t_BDD8[Attrib]&lt;&gt;""))</f>
        <v>0</v>
      </c>
      <c r="R2" s="54"/>
      <c r="S2" s="54"/>
      <c r="T2" s="54"/>
    </row>
    <row r="3" spans="1:43" x14ac:dyDescent="0.25">
      <c r="F3">
        <f t="shared" si="0"/>
        <v>189</v>
      </c>
      <c r="G3" s="55" t="s">
        <v>256</v>
      </c>
      <c r="H3" s="55" cm="1">
        <f t="array" ref="H3">SUMPRODUCT((t_BDD8[ville 1 déjà faites]=t_BDD8[[choix ville 2]:[choix ville 2]])*(t_BDD8[ville 1 déjà faites]&lt;&gt;""))</f>
        <v>29</v>
      </c>
      <c r="I3" s="55" cm="1">
        <f t="array" ref="I3">SUMPRODUCT((t_BDD8[ville 2 déjà faites]=t_BDD8[[choix ville 2]:[choix ville 2]])*(t_BDD8[ville 2 déjà faites]&lt;&gt;""))</f>
        <v>97</v>
      </c>
      <c r="J3" s="55" cm="1">
        <f t="array" ref="J3">SUMPRODUCT((t_BDD8[ville 3 déjà faites]=t_BDD8[[choix ville 2]:[choix ville 2]])*(t_BDD8[ville 3 déjà faites]&lt;&gt;""))</f>
        <v>37</v>
      </c>
      <c r="K3" s="55" cm="1">
        <f t="array" ref="K3">SUMPRODUCT((t_BDD8[ville 4 déjà faites]=t_BDD8[[choix ville 2]:[choix ville 2]])*(t_BDD8[ville 4 déjà faites]&lt;&gt;""))</f>
        <v>9</v>
      </c>
      <c r="L3" s="55" cm="1">
        <f t="array" ref="L3">SUMPRODUCT((t_BDD8[ville 5 déjà faites]=t_BDD8[[choix ville 2]:[choix ville 2]])*(t_BDD8[ville 5 déjà faites]&lt;&gt;""))</f>
        <v>8</v>
      </c>
      <c r="M3" s="55" cm="1">
        <f t="array" ref="M3">SUMPRODUCT((t_BDD8[ville 6 déjà faites]=t_BDD8[[choix ville 2]:[choix ville 2]])*(t_BDD8[ville 6 déjà faites]&lt;&gt;""))</f>
        <v>3</v>
      </c>
      <c r="N3" s="55" cm="1">
        <f t="array" ref="N3">SUMPRODUCT((t_BDD8[ville 7 déjà faites]=t_BDD8[[choix ville 2]:[choix ville 2]])*(t_BDD8[ville 7 déjà faites]&lt;&gt;""))</f>
        <v>3</v>
      </c>
      <c r="O3" s="55" cm="1">
        <f t="array" ref="O3">SUMPRODUCT((t_BDD8[ville 8 déjà faites]=t_BDD8[[choix ville 2]:[choix ville 2]])*(t_BDD8[ville 8 déjà faites]&lt;&gt;""))</f>
        <v>3</v>
      </c>
      <c r="P3" s="55" cm="1">
        <f t="array" ref="P3">SUMPRODUCT((t_BDD8[Attrib]=t_BDD8[[choix ville 2]:[choix ville 2]])*(t_BDD8[Attrib]&lt;&gt;""))</f>
        <v>3</v>
      </c>
      <c r="R3" s="54"/>
      <c r="S3" s="54"/>
      <c r="T3" s="54"/>
    </row>
    <row r="4" spans="1:43" x14ac:dyDescent="0.25">
      <c r="F4">
        <f t="shared" si="0"/>
        <v>185</v>
      </c>
      <c r="G4" s="55" t="s">
        <v>257</v>
      </c>
      <c r="H4" s="55" cm="1">
        <f t="array" ref="H4">SUMPRODUCT((t_BDD8[ville 1 déjà faites]=t_BDD8[[choix ville 3]:[choix ville 3]])*(t_BDD8[ville 1 déjà faites]&lt;&gt;""))</f>
        <v>19</v>
      </c>
      <c r="I4" s="55" cm="1">
        <f t="array" ref="I4">SUMPRODUCT((t_BDD8[ville 2 déjà faites]=t_BDD8[[choix ville 3]:[choix ville 3]])*(t_BDD8[ville 2 déjà faites]&lt;&gt;""))</f>
        <v>31</v>
      </c>
      <c r="J4" s="55" cm="1">
        <f t="array" ref="J4">SUMPRODUCT((t_BDD8[ville 3 déjà faites]=t_BDD8[[choix ville 3]:[choix ville 3]])*(t_BDD8[ville 3 déjà faites]&lt;&gt;""))</f>
        <v>79</v>
      </c>
      <c r="K4" s="55" cm="1">
        <f t="array" ref="K4">SUMPRODUCT((t_BDD8[ville 4 déjà faites]=t_BDD8[[choix ville 3]:[choix ville 3]])*(t_BDD8[ville 4 déjà faites]&lt;&gt;""))</f>
        <v>28</v>
      </c>
      <c r="L4" s="55" cm="1">
        <f t="array" ref="L4">SUMPRODUCT((t_BDD8[ville 5 déjà faites]=t_BDD8[[choix ville 3]:[choix ville 3]])*(t_BDD8[ville 5 déjà faites]&lt;&gt;""))</f>
        <v>10</v>
      </c>
      <c r="M4" s="55" cm="1">
        <f t="array" ref="M4">SUMPRODUCT((t_BDD8[ville 6 déjà faites]=t_BDD8[[choix ville 3]:[choix ville 3]])*(t_BDD8[ville 6 déjà faites]&lt;&gt;""))</f>
        <v>8</v>
      </c>
      <c r="N4" s="55" cm="1">
        <f t="array" ref="N4">SUMPRODUCT((t_BDD8[ville 7 déjà faites]=t_BDD8[[choix ville 3]:[choix ville 3]])*(t_BDD8[ville 7 déjà faites]&lt;&gt;""))</f>
        <v>5</v>
      </c>
      <c r="O4" s="55" cm="1">
        <f t="array" ref="O4">SUMPRODUCT((t_BDD8[ville 8 déjà faites]=t_BDD8[[choix ville 3]:[choix ville 3]])*(t_BDD8[ville 8 déjà faites]&lt;&gt;""))</f>
        <v>5</v>
      </c>
      <c r="P4" s="55" cm="1">
        <f t="array" ref="P4">SUMPRODUCT((t_BDD8[Attrib]=t_BDD8[[choix ville 3]:[choix ville 3]])*(t_BDD8[Attrib]&lt;&gt;""))</f>
        <v>5</v>
      </c>
      <c r="R4" s="54"/>
      <c r="S4" s="54"/>
      <c r="T4" s="54"/>
    </row>
    <row r="5" spans="1:43" x14ac:dyDescent="0.25">
      <c r="F5">
        <f t="shared" si="0"/>
        <v>862</v>
      </c>
      <c r="G5" s="55" t="s">
        <v>258</v>
      </c>
      <c r="H5" s="55">
        <f>IF(COUNTA(t_BDD8[ville 1 déjà faites])=0,0,+H7-SUM(H2,H3,H4,H6))</f>
        <v>-1</v>
      </c>
      <c r="I5" s="55">
        <f>IF(COUNTA(t_BDD8[ville 2 déjà faites])=0,0,+I7-SUM(I2,I3,I4,I6))</f>
        <v>15</v>
      </c>
      <c r="J5" s="55">
        <f>IF(COUNTA(t_BDD8[ville 3 déjà faites])=0,0,+J7-SUM(J2,J3,J4,J6))</f>
        <v>52</v>
      </c>
      <c r="K5" s="55">
        <f>IF(COUNTA(t_BDD8[ville 4 déjà faites])=0,0,+K7-SUM(K2,K3,K4,K6))</f>
        <v>139</v>
      </c>
      <c r="L5" s="55">
        <f>IF(COUNTA(t_BDD8[ville 5 déjà faites])=0,0,+L7-SUM(L2,L3,L4,L6))</f>
        <v>163</v>
      </c>
      <c r="M5" s="55">
        <f>IF(COUNTA(t_BDD8[ville 6 déjà faites])=0,0,+M7-SUM(M2,M3,M4,M6))</f>
        <v>169</v>
      </c>
      <c r="N5" s="55">
        <f>IF(COUNTA(t_BDD8[ville 7 déjà faites])=0,0,+N7-SUM(N2,N3,N4,N6))</f>
        <v>169</v>
      </c>
      <c r="O5" s="55">
        <f>IF(COUNTA(t_BDD8[ville 8 déjà faites])=0,0,+O7-SUM(O2,O3,O4,O6))</f>
        <v>156</v>
      </c>
      <c r="P5" s="55">
        <f>IF(COUNTA(t_BDD8[Attrib])=0,0,+P7-SUM(P2,P3,P4,P6))</f>
        <v>156</v>
      </c>
      <c r="R5" s="54"/>
      <c r="S5" s="54"/>
      <c r="T5" s="54"/>
    </row>
    <row r="6" spans="1:43" x14ac:dyDescent="0.25">
      <c r="F6">
        <f t="shared" si="0"/>
        <v>94</v>
      </c>
      <c r="G6" s="55" t="s">
        <v>259</v>
      </c>
      <c r="H6" s="55">
        <f>IF(COUNTA(t_BDD8[ville 1 déjà faites])=0,0,COUNTIF(t_BDD8[ville 1 déjà faites],"(rien)")+COUNTBLANK(t_BDD8[ville 1 déjà faites]))</f>
        <v>9</v>
      </c>
      <c r="I6" s="55">
        <f>IF(COUNTA(t_BDD8[ville 2 déjà faites])=0,0,COUNTIF(t_BDD8[ville 2 déjà faites],"(rien)")+COUNTBLANK(t_BDD8[ville 2 déjà faites]))</f>
        <v>9</v>
      </c>
      <c r="J6" s="55">
        <f>IF(COUNTA(t_BDD8[ville 3 déjà faites])=0,0,COUNTIF(t_BDD8[ville 3 déjà faites],"(rien)")+COUNTBLANK(t_BDD8[ville 3 déjà faites]))</f>
        <v>9</v>
      </c>
      <c r="K6" s="55">
        <f>IF(COUNTA(t_BDD8[ville 4 déjà faites])=0,0,COUNTIF(t_BDD8[ville 4 déjà faites],"(rien)")+COUNTBLANK(t_BDD8[ville 4 déjà faites]))</f>
        <v>9</v>
      </c>
      <c r="L6" s="55">
        <f>IF(COUNTA(t_BDD8[ville 5 déjà faites])=0,0,COUNTIF(t_BDD8[ville 5 déjà faites],"(rien)")+COUNTBLANK(t_BDD8[ville 5 déjà faites]))</f>
        <v>9</v>
      </c>
      <c r="M6" s="55">
        <f>IF(COUNTA(t_BDD8[ville 6 déjà faites])=0,0,COUNTIF(t_BDD8[ville 6 déjà faites],"(rien)")+COUNTBLANK(t_BDD8[ville 6 déjà faites]))</f>
        <v>10</v>
      </c>
      <c r="N6" s="55">
        <f>IF(COUNTA(t_BDD8[ville 7 déjà faites])=0,0,COUNTIF(t_BDD8[ville 7 déjà faites],"(rien)")+COUNTBLANK(t_BDD8[ville 7 déjà faites]))</f>
        <v>13</v>
      </c>
      <c r="O6" s="55">
        <f>IF(COUNTA(t_BDD8[ville 8 déjà faites])=0,0,COUNTIF(t_BDD8[ville 8 déjà faites],"(rien)")+COUNTBLANK(t_BDD8[ville 8 déjà faites]))</f>
        <v>26</v>
      </c>
      <c r="P6" s="55">
        <f>IF(COUNTA(t_BDD8[Attrib])=0,0,COUNTIF(t_BDD8[Attrib],"(rien)")+COUNTBLANK(t_BDD8[Attrib]))</f>
        <v>26</v>
      </c>
      <c r="R6" s="54"/>
      <c r="S6" s="54"/>
      <c r="T6" s="54"/>
    </row>
    <row r="7" spans="1:43" x14ac:dyDescent="0.25">
      <c r="F7">
        <f t="shared" si="0"/>
        <v>1520</v>
      </c>
      <c r="G7" s="55" t="s">
        <v>254</v>
      </c>
      <c r="H7" s="55">
        <f>ROWS(t_BDD8[ville 1 déjà faites])</f>
        <v>190</v>
      </c>
      <c r="I7" s="55">
        <f>ROWS(t_BDD8[ville 2 déjà faites])</f>
        <v>190</v>
      </c>
      <c r="J7" s="55">
        <f>ROWS(t_BDD8[ville 3 déjà faites])</f>
        <v>190</v>
      </c>
      <c r="K7" s="55">
        <f>ROWS(t_BDD8[ville 4 déjà faites])</f>
        <v>190</v>
      </c>
      <c r="L7" s="55">
        <f>ROWS(t_BDD8[ville 5 déjà faites])</f>
        <v>190</v>
      </c>
      <c r="M7" s="55">
        <f>ROWS(t_BDD8[ville 6 déjà faites])</f>
        <v>190</v>
      </c>
      <c r="N7" s="55">
        <f>ROWS(t_BDD8[ville 7 déjà faites])</f>
        <v>190</v>
      </c>
      <c r="O7" s="55">
        <f>ROWS(t_BDD8[ville 8 déjà faites])</f>
        <v>190</v>
      </c>
      <c r="P7" s="55">
        <f>ROWS(t_BDD8[Attrib])</f>
        <v>190</v>
      </c>
      <c r="R7" s="54"/>
      <c r="S7" s="54"/>
      <c r="T7" s="54"/>
    </row>
    <row r="8" spans="1:43" ht="26.25" x14ac:dyDescent="0.4">
      <c r="P8" s="45"/>
      <c r="Q8" s="45"/>
      <c r="R8" s="53"/>
      <c r="S8" s="53"/>
      <c r="T8" s="53"/>
    </row>
    <row r="9" spans="1:43" ht="26.25" x14ac:dyDescent="0.4">
      <c r="P9" s="45"/>
      <c r="Q9" s="45"/>
      <c r="R9" s="52"/>
      <c r="S9" s="52"/>
      <c r="T9" s="52"/>
    </row>
    <row r="10" spans="1:43" ht="26.25" x14ac:dyDescent="0.4">
      <c r="P10" s="45"/>
      <c r="Q10" s="45"/>
      <c r="R10" s="52"/>
      <c r="S10" s="52"/>
      <c r="T10" s="52"/>
    </row>
    <row r="11" spans="1:43" ht="37.5" customHeight="1" x14ac:dyDescent="0.25">
      <c r="A11" s="9" t="s">
        <v>19</v>
      </c>
      <c r="B11" s="10" t="s">
        <v>23</v>
      </c>
      <c r="C11" s="11" t="s">
        <v>20</v>
      </c>
      <c r="D11" s="11" t="s">
        <v>21</v>
      </c>
      <c r="E11" s="11" t="s">
        <v>22</v>
      </c>
      <c r="F11" s="12" t="s">
        <v>18</v>
      </c>
      <c r="G11" s="12" t="s">
        <v>17</v>
      </c>
      <c r="H11" s="13" t="s">
        <v>24</v>
      </c>
      <c r="I11" s="13" t="s">
        <v>25</v>
      </c>
      <c r="J11" s="13" t="s">
        <v>26</v>
      </c>
      <c r="K11" s="13" t="s">
        <v>27</v>
      </c>
      <c r="L11" s="13" t="s">
        <v>28</v>
      </c>
      <c r="M11" s="13" t="s">
        <v>29</v>
      </c>
      <c r="N11" s="13" t="s">
        <v>30</v>
      </c>
      <c r="O11" s="13" t="s">
        <v>31</v>
      </c>
      <c r="P11" s="14" t="s">
        <v>260</v>
      </c>
      <c r="Q11" s="44" t="s">
        <v>253</v>
      </c>
      <c r="R11" s="13"/>
      <c r="S11" s="13"/>
      <c r="T11" s="13"/>
      <c r="AA11" t="s">
        <v>230</v>
      </c>
      <c r="AB11" s="1" t="s">
        <v>0</v>
      </c>
      <c r="AC11" s="1" t="s">
        <v>1</v>
      </c>
      <c r="AD11" s="1" t="s">
        <v>2</v>
      </c>
      <c r="AE11" s="1" t="s">
        <v>3</v>
      </c>
      <c r="AF11" s="1" t="s">
        <v>4</v>
      </c>
      <c r="AG11" s="1" t="s">
        <v>5</v>
      </c>
      <c r="AH11" s="1" t="s">
        <v>6</v>
      </c>
      <c r="AI11" s="1" t="s">
        <v>7</v>
      </c>
      <c r="AJ11" s="1" t="s">
        <v>8</v>
      </c>
      <c r="AK11" s="1" t="s">
        <v>9</v>
      </c>
      <c r="AL11" s="1" t="s">
        <v>10</v>
      </c>
      <c r="AM11" s="1" t="s">
        <v>11</v>
      </c>
      <c r="AN11" s="1" t="s">
        <v>12</v>
      </c>
      <c r="AO11" s="1" t="s">
        <v>13</v>
      </c>
      <c r="AP11" s="1" t="s">
        <v>14</v>
      </c>
      <c r="AQ11" s="1" t="s">
        <v>15</v>
      </c>
    </row>
    <row r="12" spans="1:43" ht="20.100000000000001" customHeight="1" x14ac:dyDescent="0.25">
      <c r="A12" s="1" t="s">
        <v>37</v>
      </c>
      <c r="B12" s="1" t="s">
        <v>16</v>
      </c>
      <c r="C12" s="1" t="s">
        <v>11</v>
      </c>
      <c r="D12" s="1" t="s">
        <v>13</v>
      </c>
      <c r="E12" s="1" t="s">
        <v>2</v>
      </c>
      <c r="F12" s="1"/>
      <c r="G12" s="1"/>
      <c r="H12" s="1" t="s">
        <v>11</v>
      </c>
      <c r="I12" s="1" t="s">
        <v>13</v>
      </c>
      <c r="J12" s="1" t="s">
        <v>2</v>
      </c>
      <c r="K12" s="1" t="s">
        <v>6</v>
      </c>
      <c r="L12" s="1" t="s">
        <v>1</v>
      </c>
      <c r="M12" s="1" t="s">
        <v>9</v>
      </c>
      <c r="N12" s="1" t="s">
        <v>0</v>
      </c>
      <c r="O12" s="1" t="s">
        <v>7</v>
      </c>
      <c r="P12" s="1" t="s">
        <v>7</v>
      </c>
      <c r="Q12" s="1">
        <f>-100*(COUNTIF(t_BDD8[[#This Row],[ville 1 déjà faites]:[ville 8 déjà faites]],t_BDD8[[#This Row],[Attrib]]))*(t_BDD8[[#This Row],[Attrib]]&lt;&gt;"(rien)")-(t_BDD8[[#This Row],[Attrib]]="(rien)")</f>
        <v>-100</v>
      </c>
      <c r="R12" s="1"/>
      <c r="S12" s="1"/>
      <c r="T12" s="1"/>
      <c r="U12" s="1"/>
      <c r="V12" s="1"/>
      <c r="W12" s="1"/>
      <c r="X12" s="1"/>
      <c r="Y12" s="1"/>
      <c r="Z12" s="1"/>
      <c r="AA12" t="s">
        <v>16</v>
      </c>
      <c r="AB12" s="1">
        <f>SUMPRODUCT((t_BDD8[[grade]:[grade]]=$AA12)*(t_BDD8[[choix ville 1]:[choix ville 3]]=AB$11)*1)</f>
        <v>10</v>
      </c>
      <c r="AC12" s="1">
        <f>SUMPRODUCT((t_BDD8[[grade]:[grade]]=$AA12)*(t_BDD8[[choix ville 1]:[choix ville 3]]=AC$11)*1)</f>
        <v>8</v>
      </c>
      <c r="AD12" s="1">
        <f>SUMPRODUCT((t_BDD8[[grade]:[grade]]=$AA12)*(t_BDD8[[choix ville 1]:[choix ville 3]]=AD$11)*1)</f>
        <v>4</v>
      </c>
      <c r="AE12" s="1">
        <f>SUMPRODUCT((t_BDD8[[grade]:[grade]]=$AA12)*(t_BDD8[[choix ville 1]:[choix ville 3]]=AE$11)*1)</f>
        <v>7</v>
      </c>
      <c r="AF12" s="1">
        <f>SUMPRODUCT((t_BDD8[[grade]:[grade]]=$AA12)*(t_BDD8[[choix ville 1]:[choix ville 3]]=AF$11)*1)</f>
        <v>14</v>
      </c>
      <c r="AG12" s="1">
        <f>SUMPRODUCT((t_BDD8[[grade]:[grade]]=$AA12)*(t_BDD8[[choix ville 1]:[choix ville 3]]=AG$11)*1)</f>
        <v>12</v>
      </c>
      <c r="AH12" s="1">
        <f>SUMPRODUCT((t_BDD8[[grade]:[grade]]=$AA12)*(t_BDD8[[choix ville 1]:[choix ville 3]]=AH$11)*1)</f>
        <v>7</v>
      </c>
      <c r="AI12" s="1">
        <f>SUMPRODUCT((t_BDD8[[grade]:[grade]]=$AA12)*(t_BDD8[[choix ville 1]:[choix ville 3]]=AI$11)*1)</f>
        <v>9</v>
      </c>
      <c r="AJ12" s="1">
        <f>SUMPRODUCT((t_BDD8[[grade]:[grade]]=$AA12)*(t_BDD8[[choix ville 1]:[choix ville 3]]=AJ$11)*1)</f>
        <v>6</v>
      </c>
      <c r="AK12" s="1">
        <f>SUMPRODUCT((t_BDD8[[grade]:[grade]]=$AA12)*(t_BDD8[[choix ville 1]:[choix ville 3]]=AK$11)*1)</f>
        <v>5</v>
      </c>
      <c r="AL12" s="1">
        <f>SUMPRODUCT((t_BDD8[[grade]:[grade]]=$AA12)*(t_BDD8[[choix ville 1]:[choix ville 3]]=AL$11)*1)</f>
        <v>2</v>
      </c>
      <c r="AM12" s="1">
        <f>SUMPRODUCT((t_BDD8[[grade]:[grade]]=$AA12)*(t_BDD8[[choix ville 1]:[choix ville 3]]=AM$11)*1)</f>
        <v>13</v>
      </c>
      <c r="AN12" s="1">
        <f>SUMPRODUCT((t_BDD8[[grade]:[grade]]=$AA12)*(t_BDD8[[choix ville 1]:[choix ville 3]]=AN$11)*1)</f>
        <v>6</v>
      </c>
      <c r="AO12" s="1">
        <f>SUMPRODUCT((t_BDD8[[grade]:[grade]]=$AA12)*(t_BDD8[[choix ville 1]:[choix ville 3]]=AO$11)*1)</f>
        <v>6</v>
      </c>
      <c r="AP12" s="1">
        <f>SUMPRODUCT((t_BDD8[[grade]:[grade]]=$AA12)*(t_BDD8[[choix ville 1]:[choix ville 3]]=AP$11)*1)</f>
        <v>8</v>
      </c>
      <c r="AQ12" s="1">
        <f>SUM(Tableau49[[#This Row],[AGEN]:[TOURS]])</f>
        <v>117</v>
      </c>
    </row>
    <row r="13" spans="1:43" x14ac:dyDescent="0.25">
      <c r="A13" s="1" t="s">
        <v>38</v>
      </c>
      <c r="B13" s="1" t="s">
        <v>16</v>
      </c>
      <c r="C13" s="1" t="s">
        <v>7</v>
      </c>
      <c r="D13" s="1" t="s">
        <v>7</v>
      </c>
      <c r="E13" s="1" t="s">
        <v>5</v>
      </c>
      <c r="F13" s="1"/>
      <c r="G13" s="1"/>
      <c r="H13" s="1" t="s">
        <v>7</v>
      </c>
      <c r="I13" s="1" t="s">
        <v>5</v>
      </c>
      <c r="J13" s="1" t="s">
        <v>2</v>
      </c>
      <c r="K13" s="1" t="s">
        <v>10</v>
      </c>
      <c r="L13" s="1" t="s">
        <v>6</v>
      </c>
      <c r="M13" s="1" t="s">
        <v>0</v>
      </c>
      <c r="N13" s="1" t="s">
        <v>11</v>
      </c>
      <c r="O13" s="1" t="s">
        <v>4</v>
      </c>
      <c r="P13" s="1" t="s">
        <v>4</v>
      </c>
      <c r="Q13" s="1">
        <f>-100*(COUNTIF(t_BDD8[[#This Row],[ville 1 déjà faites]:[ville 8 déjà faites]],t_BDD8[[#This Row],[Attrib]]))*(t_BDD8[[#This Row],[Attrib]]&lt;&gt;"(rien)")-(t_BDD8[[#This Row],[Attrib]]="(rien)")</f>
        <v>-100</v>
      </c>
      <c r="R13" s="1"/>
      <c r="S13" s="1"/>
      <c r="T13" s="1"/>
      <c r="U13" s="1"/>
      <c r="V13" s="1"/>
      <c r="W13" s="1"/>
      <c r="X13" s="1"/>
      <c r="Y13" s="1"/>
      <c r="Z13" s="1"/>
      <c r="AA13" t="s">
        <v>34</v>
      </c>
      <c r="AB13" s="1">
        <f>SUMPRODUCT((t_BDD8[[grade]:[grade]]=$AA13)*(t_BDD8[[choix ville 1]:[choix ville 3]]=AB$11)*1)</f>
        <v>12</v>
      </c>
      <c r="AC13" s="1">
        <f>SUMPRODUCT((t_BDD8[[grade]:[grade]]=$AA13)*(t_BDD8[[choix ville 1]:[choix ville 3]]=AC$11)*1)</f>
        <v>8</v>
      </c>
      <c r="AD13" s="1">
        <f>SUMPRODUCT((t_BDD8[[grade]:[grade]]=$AA13)*(t_BDD8[[choix ville 1]:[choix ville 3]]=AD$11)*1)</f>
        <v>9</v>
      </c>
      <c r="AE13" s="1">
        <f>SUMPRODUCT((t_BDD8[[grade]:[grade]]=$AA13)*(t_BDD8[[choix ville 1]:[choix ville 3]]=AE$11)*1)</f>
        <v>10</v>
      </c>
      <c r="AF13" s="1">
        <f>SUMPRODUCT((t_BDD8[[grade]:[grade]]=$AA13)*(t_BDD8[[choix ville 1]:[choix ville 3]]=AF$11)*1)</f>
        <v>7</v>
      </c>
      <c r="AG13" s="1">
        <f>SUMPRODUCT((t_BDD8[[grade]:[grade]]=$AA13)*(t_BDD8[[choix ville 1]:[choix ville 3]]=AG$11)*1)</f>
        <v>13</v>
      </c>
      <c r="AH13" s="1">
        <f>SUMPRODUCT((t_BDD8[[grade]:[grade]]=$AA13)*(t_BDD8[[choix ville 1]:[choix ville 3]]=AH$11)*1)</f>
        <v>10</v>
      </c>
      <c r="AI13" s="1">
        <f>SUMPRODUCT((t_BDD8[[grade]:[grade]]=$AA13)*(t_BDD8[[choix ville 1]:[choix ville 3]]=AI$11)*1)</f>
        <v>5</v>
      </c>
      <c r="AJ13" s="1">
        <f>SUMPRODUCT((t_BDD8[[grade]:[grade]]=$AA13)*(t_BDD8[[choix ville 1]:[choix ville 3]]=AJ$11)*1)</f>
        <v>11</v>
      </c>
      <c r="AK13" s="1">
        <f>SUMPRODUCT((t_BDD8[[grade]:[grade]]=$AA13)*(t_BDD8[[choix ville 1]:[choix ville 3]]=AK$11)*1)</f>
        <v>8</v>
      </c>
      <c r="AL13" s="1">
        <f>SUMPRODUCT((t_BDD8[[grade]:[grade]]=$AA13)*(t_BDD8[[choix ville 1]:[choix ville 3]]=AL$11)*1)</f>
        <v>8</v>
      </c>
      <c r="AM13" s="1">
        <f>SUMPRODUCT((t_BDD8[[grade]:[grade]]=$AA13)*(t_BDD8[[choix ville 1]:[choix ville 3]]=AM$11)*1)</f>
        <v>14</v>
      </c>
      <c r="AN13" s="1">
        <f>SUMPRODUCT((t_BDD8[[grade]:[grade]]=$AA13)*(t_BDD8[[choix ville 1]:[choix ville 3]]=AN$11)*1)</f>
        <v>6</v>
      </c>
      <c r="AO13" s="1">
        <f>SUMPRODUCT((t_BDD8[[grade]:[grade]]=$AA13)*(t_BDD8[[choix ville 1]:[choix ville 3]]=AO$11)*1)</f>
        <v>10</v>
      </c>
      <c r="AP13" s="1">
        <f>SUMPRODUCT((t_BDD8[[grade]:[grade]]=$AA13)*(t_BDD8[[choix ville 1]:[choix ville 3]]=AP$11)*1)</f>
        <v>7</v>
      </c>
      <c r="AQ13" s="1">
        <f>SUM(Tableau49[[#This Row],[AGEN]:[TOURS]])</f>
        <v>138</v>
      </c>
    </row>
    <row r="14" spans="1:43" x14ac:dyDescent="0.25">
      <c r="A14" s="1" t="s">
        <v>39</v>
      </c>
      <c r="B14" s="1" t="s">
        <v>16</v>
      </c>
      <c r="C14" s="1" t="s">
        <v>4</v>
      </c>
      <c r="D14" s="1" t="s">
        <v>6</v>
      </c>
      <c r="E14" s="1" t="s">
        <v>11</v>
      </c>
      <c r="F14" s="1"/>
      <c r="G14" s="1"/>
      <c r="H14" s="1" t="s">
        <v>4</v>
      </c>
      <c r="I14" s="1" t="s">
        <v>6</v>
      </c>
      <c r="J14" s="1" t="s">
        <v>11</v>
      </c>
      <c r="K14" s="1" t="s">
        <v>10</v>
      </c>
      <c r="L14" s="1" t="s">
        <v>2</v>
      </c>
      <c r="M14" s="1" t="s">
        <v>13</v>
      </c>
      <c r="N14" s="1" t="s">
        <v>1</v>
      </c>
      <c r="O14" s="1" t="s">
        <v>8</v>
      </c>
      <c r="P14" s="1" t="s">
        <v>8</v>
      </c>
      <c r="Q14" s="1">
        <f>-100*(COUNTIF(t_BDD8[[#This Row],[ville 1 déjà faites]:[ville 8 déjà faites]],t_BDD8[[#This Row],[Attrib]]))*(t_BDD8[[#This Row],[Attrib]]&lt;&gt;"(rien)")-(t_BDD8[[#This Row],[Attrib]]="(rien)")</f>
        <v>-100</v>
      </c>
      <c r="R14" s="1"/>
      <c r="S14" s="1"/>
      <c r="T14" s="1"/>
      <c r="U14" s="1"/>
      <c r="V14" s="1"/>
      <c r="W14" s="1"/>
      <c r="X14" s="1"/>
      <c r="Y14" s="1"/>
      <c r="Z14" s="1"/>
      <c r="AA14" t="s">
        <v>33</v>
      </c>
      <c r="AB14" s="1">
        <f>SUMPRODUCT((t_BDD8[[grade]:[grade]]=$AA14)*(t_BDD8[[choix ville 1]:[choix ville 3]]=AB$11)*1)</f>
        <v>28</v>
      </c>
      <c r="AC14" s="1">
        <f>SUMPRODUCT((t_BDD8[[grade]:[grade]]=$AA14)*(t_BDD8[[choix ville 1]:[choix ville 3]]=AC$11)*1)</f>
        <v>16</v>
      </c>
      <c r="AD14" s="1">
        <f>SUMPRODUCT((t_BDD8[[grade]:[grade]]=$AA14)*(t_BDD8[[choix ville 1]:[choix ville 3]]=AD$11)*1)</f>
        <v>19</v>
      </c>
      <c r="AE14" s="1">
        <f>SUMPRODUCT((t_BDD8[[grade]:[grade]]=$AA14)*(t_BDD8[[choix ville 1]:[choix ville 3]]=AE$11)*1)</f>
        <v>26</v>
      </c>
      <c r="AF14" s="1">
        <f>SUMPRODUCT((t_BDD8[[grade]:[grade]]=$AA14)*(t_BDD8[[choix ville 1]:[choix ville 3]]=AF$11)*1)</f>
        <v>15</v>
      </c>
      <c r="AG14" s="1">
        <f>SUMPRODUCT((t_BDD8[[grade]:[grade]]=$AA14)*(t_BDD8[[choix ville 1]:[choix ville 3]]=AG$11)*1)</f>
        <v>34</v>
      </c>
      <c r="AH14" s="1">
        <f>SUMPRODUCT((t_BDD8[[grade]:[grade]]=$AA14)*(t_BDD8[[choix ville 1]:[choix ville 3]]=AH$11)*1)</f>
        <v>23</v>
      </c>
      <c r="AI14" s="1">
        <f>SUMPRODUCT((t_BDD8[[grade]:[grade]]=$AA14)*(t_BDD8[[choix ville 1]:[choix ville 3]]=AI$11)*1)</f>
        <v>13</v>
      </c>
      <c r="AJ14" s="1">
        <f>SUMPRODUCT((t_BDD8[[grade]:[grade]]=$AA14)*(t_BDD8[[choix ville 1]:[choix ville 3]]=AJ$11)*1)</f>
        <v>18</v>
      </c>
      <c r="AK14" s="1">
        <f>SUMPRODUCT((t_BDD8[[grade]:[grade]]=$AA14)*(t_BDD8[[choix ville 1]:[choix ville 3]]=AK$11)*1)</f>
        <v>20</v>
      </c>
      <c r="AL14" s="1">
        <f>SUMPRODUCT((t_BDD8[[grade]:[grade]]=$AA14)*(t_BDD8[[choix ville 1]:[choix ville 3]]=AL$11)*1)</f>
        <v>25</v>
      </c>
      <c r="AM14" s="1">
        <f>SUMPRODUCT((t_BDD8[[grade]:[grade]]=$AA14)*(t_BDD8[[choix ville 1]:[choix ville 3]]=AM$11)*1)</f>
        <v>32</v>
      </c>
      <c r="AN14" s="1">
        <f>SUMPRODUCT((t_BDD8[[grade]:[grade]]=$AA14)*(t_BDD8[[choix ville 1]:[choix ville 3]]=AN$11)*1)</f>
        <v>19</v>
      </c>
      <c r="AO14" s="1">
        <f>SUMPRODUCT((t_BDD8[[grade]:[grade]]=$AA14)*(t_BDD8[[choix ville 1]:[choix ville 3]]=AO$11)*1)</f>
        <v>20</v>
      </c>
      <c r="AP14" s="1">
        <f>SUMPRODUCT((t_BDD8[[grade]:[grade]]=$AA14)*(t_BDD8[[choix ville 1]:[choix ville 3]]=AP$11)*1)</f>
        <v>7</v>
      </c>
      <c r="AQ14" s="1">
        <f>SUM(Tableau49[[#This Row],[AGEN]:[TOURS]])</f>
        <v>315</v>
      </c>
    </row>
    <row r="15" spans="1:43" x14ac:dyDescent="0.25">
      <c r="A15" s="1" t="s">
        <v>40</v>
      </c>
      <c r="B15" s="1" t="s">
        <v>16</v>
      </c>
      <c r="C15" s="1" t="s">
        <v>4</v>
      </c>
      <c r="D15" s="1" t="s">
        <v>5</v>
      </c>
      <c r="E15" s="1" t="s">
        <v>3</v>
      </c>
      <c r="F15" s="1"/>
      <c r="G15" s="1"/>
      <c r="H15" s="1" t="s">
        <v>4</v>
      </c>
      <c r="I15" s="1" t="s">
        <v>5</v>
      </c>
      <c r="J15" s="1" t="s">
        <v>3</v>
      </c>
      <c r="K15" s="1" t="s">
        <v>11</v>
      </c>
      <c r="L15" s="1" t="s">
        <v>0</v>
      </c>
      <c r="M15" s="1" t="s">
        <v>8</v>
      </c>
      <c r="N15" s="1" t="s">
        <v>13</v>
      </c>
      <c r="O15" s="1" t="s">
        <v>1</v>
      </c>
      <c r="P15" s="1" t="s">
        <v>1</v>
      </c>
      <c r="Q15" s="1">
        <f>-100*(COUNTIF(t_BDD8[[#This Row],[ville 1 déjà faites]:[ville 8 déjà faites]],t_BDD8[[#This Row],[Attrib]]))*(t_BDD8[[#This Row],[Attrib]]&lt;&gt;"(rien)")-(t_BDD8[[#This Row],[Attrib]]="(rien)")</f>
        <v>-100</v>
      </c>
      <c r="R15" s="1"/>
      <c r="S15" s="1"/>
      <c r="T15" s="1"/>
      <c r="U15" s="1"/>
      <c r="V15" s="1"/>
      <c r="W15" s="1"/>
      <c r="X15" s="1"/>
      <c r="Y15" s="1"/>
      <c r="Z15" s="1"/>
      <c r="AA15" t="str">
        <f>"Total: "&amp;SUM(Tableau49[[#Totals],[AGEN]:[TOURS]])</f>
        <v>Total: 570</v>
      </c>
      <c r="AB15" s="1">
        <f>SUBTOTAL(109,Tableau49[AGEN])</f>
        <v>50</v>
      </c>
      <c r="AC15" s="1">
        <f>SUBTOTAL(109,Tableau49[ANGLET])</f>
        <v>32</v>
      </c>
      <c r="AD15" s="1">
        <f>SUBTOTAL(109,Tableau49[ANNECY])</f>
        <v>32</v>
      </c>
      <c r="AE15" s="1">
        <f>SUBTOTAL(109,Tableau49[ARRAS])</f>
        <v>43</v>
      </c>
      <c r="AF15" s="1">
        <f>SUBTOTAL(109,Tableau49[BORDEAUX])</f>
        <v>36</v>
      </c>
      <c r="AG15" s="1">
        <f>SUBTOTAL(109,Tableau49[GRENOBLE])</f>
        <v>59</v>
      </c>
      <c r="AH15" s="1">
        <f>SUBTOTAL(109,Tableau49[LIMOGES])</f>
        <v>40</v>
      </c>
      <c r="AI15" s="1">
        <f>SUBTOTAL(109,Tableau49[LYON])</f>
        <v>27</v>
      </c>
      <c r="AJ15" s="1">
        <f>SUBTOTAL(109,Tableau49[MARSEILLE])</f>
        <v>35</v>
      </c>
      <c r="AK15" s="1">
        <f>SUBTOTAL(109,Tableau49[NANTES])</f>
        <v>33</v>
      </c>
      <c r="AL15" s="1">
        <f>SUBTOTAL(109,Tableau49[ORLEANS])</f>
        <v>35</v>
      </c>
      <c r="AM15" s="1">
        <f>SUBTOTAL(109,Tableau49[PARIS])</f>
        <v>59</v>
      </c>
      <c r="AN15" s="1">
        <f>SUBTOTAL(109,Tableau49[THOUARS])</f>
        <v>31</v>
      </c>
      <c r="AO15" s="1">
        <f>SUBTOTAL(109,Tableau49[TOULOUSE])</f>
        <v>36</v>
      </c>
      <c r="AP15" s="1">
        <f>SUBTOTAL(109,Tableau49[TOURS])</f>
        <v>22</v>
      </c>
      <c r="AQ15" s="1">
        <f>SUBTOTAL(109,Tableau49[Total])</f>
        <v>570</v>
      </c>
    </row>
    <row r="16" spans="1:43" x14ac:dyDescent="0.25">
      <c r="A16" s="1" t="s">
        <v>41</v>
      </c>
      <c r="B16" s="1" t="s">
        <v>16</v>
      </c>
      <c r="C16" s="1" t="s">
        <v>12</v>
      </c>
      <c r="D16" s="1" t="s">
        <v>9</v>
      </c>
      <c r="E16" s="1" t="s">
        <v>9</v>
      </c>
      <c r="F16" s="1"/>
      <c r="G16" s="1"/>
      <c r="H16" s="1" t="s">
        <v>9</v>
      </c>
      <c r="I16" s="1" t="s">
        <v>11</v>
      </c>
      <c r="J16" s="1" t="s">
        <v>12</v>
      </c>
      <c r="K16" s="1" t="s">
        <v>13</v>
      </c>
      <c r="L16" s="1" t="s">
        <v>4</v>
      </c>
      <c r="M16" s="1" t="s">
        <v>6</v>
      </c>
      <c r="N16" s="1" t="s">
        <v>7</v>
      </c>
      <c r="O16" s="1" t="s">
        <v>2</v>
      </c>
      <c r="P16" s="1" t="s">
        <v>2</v>
      </c>
      <c r="Q16" s="1">
        <f>-100*(COUNTIF(t_BDD8[[#This Row],[ville 1 déjà faites]:[ville 8 déjà faites]],t_BDD8[[#This Row],[Attrib]]))*(t_BDD8[[#This Row],[Attrib]]&lt;&gt;"(rien)")-(t_BDD8[[#This Row],[Attrib]]="(rien)")</f>
        <v>-100</v>
      </c>
      <c r="R16" s="1"/>
      <c r="S16" s="1"/>
      <c r="T16" s="1"/>
      <c r="U16" s="1"/>
      <c r="V16" s="1"/>
      <c r="W16" s="1"/>
      <c r="X16" s="1"/>
      <c r="Y16" s="1"/>
      <c r="Z16" s="1"/>
    </row>
    <row r="17" spans="1:43" x14ac:dyDescent="0.25">
      <c r="A17" s="1" t="s">
        <v>42</v>
      </c>
      <c r="B17" s="1" t="s">
        <v>16</v>
      </c>
      <c r="C17" s="1" t="s">
        <v>14</v>
      </c>
      <c r="D17" s="1" t="s">
        <v>4</v>
      </c>
      <c r="E17" s="1" t="s">
        <v>1</v>
      </c>
      <c r="F17" s="1"/>
      <c r="G17" s="1"/>
      <c r="H17" s="1" t="s">
        <v>4</v>
      </c>
      <c r="I17" s="1" t="s">
        <v>14</v>
      </c>
      <c r="J17" s="1" t="s">
        <v>1</v>
      </c>
      <c r="K17" s="1" t="s">
        <v>2</v>
      </c>
      <c r="L17" s="1" t="s">
        <v>5</v>
      </c>
      <c r="M17" s="1" t="s">
        <v>13</v>
      </c>
      <c r="N17" s="1" t="s">
        <v>6</v>
      </c>
      <c r="O17" s="1" t="s">
        <v>10</v>
      </c>
      <c r="P17" s="1" t="s">
        <v>10</v>
      </c>
      <c r="Q17" s="1">
        <f>-100*(COUNTIF(t_BDD8[[#This Row],[ville 1 déjà faites]:[ville 8 déjà faites]],t_BDD8[[#This Row],[Attrib]]))*(t_BDD8[[#This Row],[Attrib]]&lt;&gt;"(rien)")-(t_BDD8[[#This Row],[Attrib]]="(rien)")</f>
        <v>-100</v>
      </c>
      <c r="R17" s="1"/>
      <c r="S17" s="1"/>
      <c r="T17" s="1"/>
      <c r="U17" s="1"/>
      <c r="V17" s="1"/>
      <c r="W17" s="1"/>
      <c r="X17" s="1"/>
      <c r="Y17" s="1"/>
      <c r="Z17" s="1"/>
      <c r="AA17" t="s">
        <v>231</v>
      </c>
      <c r="AB17" s="1" t="s">
        <v>0</v>
      </c>
      <c r="AC17" s="1" t="s">
        <v>1</v>
      </c>
      <c r="AD17" s="1" t="s">
        <v>2</v>
      </c>
      <c r="AE17" s="1" t="s">
        <v>3</v>
      </c>
      <c r="AF17" s="1" t="s">
        <v>4</v>
      </c>
      <c r="AG17" s="1" t="s">
        <v>5</v>
      </c>
      <c r="AH17" s="1" t="s">
        <v>6</v>
      </c>
      <c r="AI17" s="1" t="s">
        <v>7</v>
      </c>
      <c r="AJ17" s="1" t="s">
        <v>8</v>
      </c>
      <c r="AK17" s="1" t="s">
        <v>9</v>
      </c>
      <c r="AL17" s="1" t="s">
        <v>10</v>
      </c>
      <c r="AM17" s="1" t="s">
        <v>11</v>
      </c>
      <c r="AN17" s="1" t="s">
        <v>12</v>
      </c>
      <c r="AO17" s="1" t="s">
        <v>13</v>
      </c>
      <c r="AP17" s="1" t="s">
        <v>14</v>
      </c>
      <c r="AQ17" s="1" t="s">
        <v>15</v>
      </c>
    </row>
    <row r="18" spans="1:43" x14ac:dyDescent="0.25">
      <c r="A18" s="1" t="s">
        <v>43</v>
      </c>
      <c r="B18" s="1" t="s">
        <v>16</v>
      </c>
      <c r="C18" s="1" t="s">
        <v>7</v>
      </c>
      <c r="D18" s="1" t="s">
        <v>4</v>
      </c>
      <c r="E18" s="1" t="s">
        <v>11</v>
      </c>
      <c r="F18" s="1"/>
      <c r="G18" s="1"/>
      <c r="H18" s="1" t="s">
        <v>7</v>
      </c>
      <c r="I18" s="1" t="s">
        <v>4</v>
      </c>
      <c r="J18" s="1" t="s">
        <v>11</v>
      </c>
      <c r="K18" s="1" t="s">
        <v>14</v>
      </c>
      <c r="L18" s="1" t="s">
        <v>13</v>
      </c>
      <c r="M18" s="1" t="s">
        <v>1</v>
      </c>
      <c r="N18" s="1" t="s">
        <v>2</v>
      </c>
      <c r="O18" s="1" t="s">
        <v>5</v>
      </c>
      <c r="P18" s="1" t="s">
        <v>5</v>
      </c>
      <c r="Q18" s="1">
        <f>-100*(COUNTIF(t_BDD8[[#This Row],[ville 1 déjà faites]:[ville 8 déjà faites]],t_BDD8[[#This Row],[Attrib]]))*(t_BDD8[[#This Row],[Attrib]]&lt;&gt;"(rien)")-(t_BDD8[[#This Row],[Attrib]]="(rien)")</f>
        <v>-100</v>
      </c>
      <c r="R18" s="1"/>
      <c r="S18" s="1"/>
      <c r="T18" s="1"/>
      <c r="U18" s="1"/>
      <c r="V18" s="1"/>
      <c r="W18" s="1"/>
      <c r="X18" s="1"/>
      <c r="Y18" s="1"/>
      <c r="Z18" s="1"/>
      <c r="AA18" t="s">
        <v>16</v>
      </c>
      <c r="AB18" s="1">
        <f>SUMPRODUCT((t_BDD8[[grade]:[grade]]=$AA18)*(t_BDD8[[Attrib]:[Attrib]]=AB$11)*1)</f>
        <v>3</v>
      </c>
      <c r="AC18" s="1">
        <f>SUMPRODUCT((t_BDD8[[grade]:[grade]]=$AA18)*(t_BDD8[[Attrib]:[Attrib]]=AC$11)*1)</f>
        <v>2</v>
      </c>
      <c r="AD18" s="1">
        <f>SUMPRODUCT((t_BDD8[[grade]:[grade]]=$AA18)*(t_BDD8[[Attrib]:[Attrib]]=AD$11)*1)</f>
        <v>5</v>
      </c>
      <c r="AE18" s="1">
        <f>SUMPRODUCT((t_BDD8[[grade]:[grade]]=$AA18)*(t_BDD8[[Attrib]:[Attrib]]=AE$11)*1)</f>
        <v>3</v>
      </c>
      <c r="AF18" s="1">
        <f>SUMPRODUCT((t_BDD8[[grade]:[grade]]=$AA18)*(t_BDD8[[Attrib]:[Attrib]]=AF$11)*1)</f>
        <v>3</v>
      </c>
      <c r="AG18" s="1">
        <f>SUMPRODUCT((t_BDD8[[grade]:[grade]]=$AA18)*(t_BDD8[[Attrib]:[Attrib]]=AG$11)*1)</f>
        <v>2</v>
      </c>
      <c r="AH18" s="1">
        <f>SUMPRODUCT((t_BDD8[[grade]:[grade]]=$AA18)*(t_BDD8[[Attrib]:[Attrib]]=AH$11)*1)</f>
        <v>4</v>
      </c>
      <c r="AI18" s="1">
        <f>SUMPRODUCT((t_BDD8[[grade]:[grade]]=$AA18)*(t_BDD8[[Attrib]:[Attrib]]=AI$11)*1)</f>
        <v>3</v>
      </c>
      <c r="AJ18" s="1">
        <f>SUMPRODUCT((t_BDD8[[grade]:[grade]]=$AA18)*(t_BDD8[[Attrib]:[Attrib]]=AJ$11)*1)</f>
        <v>3</v>
      </c>
      <c r="AK18" s="1">
        <f>SUMPRODUCT((t_BDD8[[grade]:[grade]]=$AA18)*(t_BDD8[[Attrib]:[Attrib]]=AK$11)*1)</f>
        <v>2</v>
      </c>
      <c r="AL18" s="1">
        <f>SUMPRODUCT((t_BDD8[[grade]:[grade]]=$AA18)*(t_BDD8[[Attrib]:[Attrib]]=AL$11)*1)</f>
        <v>2</v>
      </c>
      <c r="AM18" s="1">
        <f>SUMPRODUCT((t_BDD8[[grade]:[grade]]=$AA18)*(t_BDD8[[Attrib]:[Attrib]]=AM$11)*1)</f>
        <v>1</v>
      </c>
      <c r="AN18" s="1">
        <f>SUMPRODUCT((t_BDD8[[grade]:[grade]]=$AA18)*(t_BDD8[[Attrib]:[Attrib]]=AN$11)*1)</f>
        <v>1</v>
      </c>
      <c r="AO18" s="1">
        <f>SUMPRODUCT((t_BDD8[[grade]:[grade]]=$AA18)*(t_BDD8[[Attrib]:[Attrib]]=AO$11)*1)</f>
        <v>3</v>
      </c>
      <c r="AP18" s="1">
        <f>SUMPRODUCT((t_BDD8[[grade]:[grade]]=$AA18)*(t_BDD8[[Attrib]:[Attrib]]=AP$11)*1)</f>
        <v>2</v>
      </c>
      <c r="AQ18" s="1">
        <f>SUM(Tableau4610[[#This Row],[AGEN]:[TOURS]])</f>
        <v>39</v>
      </c>
    </row>
    <row r="19" spans="1:43" x14ac:dyDescent="0.25">
      <c r="A19" s="1" t="s">
        <v>44</v>
      </c>
      <c r="B19" s="1" t="s">
        <v>16</v>
      </c>
      <c r="C19" s="1" t="s">
        <v>14</v>
      </c>
      <c r="D19" s="1" t="s">
        <v>1</v>
      </c>
      <c r="E19" s="1" t="s">
        <v>8</v>
      </c>
      <c r="F19" s="1"/>
      <c r="G19" s="1"/>
      <c r="H19" s="1" t="s">
        <v>1</v>
      </c>
      <c r="I19" s="1" t="s">
        <v>14</v>
      </c>
      <c r="J19" s="1" t="s">
        <v>8</v>
      </c>
      <c r="K19" s="1" t="s">
        <v>2</v>
      </c>
      <c r="L19" s="1" t="s">
        <v>0</v>
      </c>
      <c r="M19" s="1" t="s">
        <v>11</v>
      </c>
      <c r="N19" s="1" t="s">
        <v>3</v>
      </c>
      <c r="O19" s="1" t="s">
        <v>6</v>
      </c>
      <c r="P19" s="1" t="s">
        <v>6</v>
      </c>
      <c r="Q19" s="1">
        <f>-100*(COUNTIF(t_BDD8[[#This Row],[ville 1 déjà faites]:[ville 8 déjà faites]],t_BDD8[[#This Row],[Attrib]]))*(t_BDD8[[#This Row],[Attrib]]&lt;&gt;"(rien)")-(t_BDD8[[#This Row],[Attrib]]="(rien)")</f>
        <v>-100</v>
      </c>
      <c r="R19" s="1"/>
      <c r="S19" s="1"/>
      <c r="T19" s="1"/>
      <c r="U19" s="1"/>
      <c r="V19" s="1"/>
      <c r="W19" s="1"/>
      <c r="X19" s="1"/>
      <c r="Y19" s="1"/>
      <c r="Z19" s="1"/>
      <c r="AA19" t="s">
        <v>34</v>
      </c>
      <c r="AB19" s="1">
        <f>SUMPRODUCT((t_BDD8[[grade]:[grade]]=$AA19)*(t_BDD8[[Attrib]:[Attrib]]=AB$11)*1)</f>
        <v>3</v>
      </c>
      <c r="AC19" s="1">
        <f>SUMPRODUCT((t_BDD8[[grade]:[grade]]=$AA19)*(t_BDD8[[Attrib]:[Attrib]]=AC$11)*1)</f>
        <v>5</v>
      </c>
      <c r="AD19" s="1">
        <f>SUMPRODUCT((t_BDD8[[grade]:[grade]]=$AA19)*(t_BDD8[[Attrib]:[Attrib]]=AD$11)*1)</f>
        <v>3</v>
      </c>
      <c r="AE19" s="1">
        <f>SUMPRODUCT((t_BDD8[[grade]:[grade]]=$AA19)*(t_BDD8[[Attrib]:[Attrib]]=AE$11)*1)</f>
        <v>3</v>
      </c>
      <c r="AF19" s="1">
        <f>SUMPRODUCT((t_BDD8[[grade]:[grade]]=$AA19)*(t_BDD8[[Attrib]:[Attrib]]=AF$11)*1)</f>
        <v>3</v>
      </c>
      <c r="AG19" s="1">
        <f>SUMPRODUCT((t_BDD8[[grade]:[grade]]=$AA19)*(t_BDD8[[Attrib]:[Attrib]]=AG$11)*1)</f>
        <v>4</v>
      </c>
      <c r="AH19" s="1">
        <f>SUMPRODUCT((t_BDD8[[grade]:[grade]]=$AA19)*(t_BDD8[[Attrib]:[Attrib]]=AH$11)*1)</f>
        <v>3</v>
      </c>
      <c r="AI19" s="1">
        <f>SUMPRODUCT((t_BDD8[[grade]:[grade]]=$AA19)*(t_BDD8[[Attrib]:[Attrib]]=AI$11)*1)</f>
        <v>2</v>
      </c>
      <c r="AJ19" s="1">
        <f>SUMPRODUCT((t_BDD8[[grade]:[grade]]=$AA19)*(t_BDD8[[Attrib]:[Attrib]]=AJ$11)*1)</f>
        <v>3</v>
      </c>
      <c r="AK19" s="1">
        <f>SUMPRODUCT((t_BDD8[[grade]:[grade]]=$AA19)*(t_BDD8[[Attrib]:[Attrib]]=AK$11)*1)</f>
        <v>3</v>
      </c>
      <c r="AL19" s="1">
        <f>SUMPRODUCT((t_BDD8[[grade]:[grade]]=$AA19)*(t_BDD8[[Attrib]:[Attrib]]=AL$11)*1)</f>
        <v>3</v>
      </c>
      <c r="AM19" s="1">
        <f>SUMPRODUCT((t_BDD8[[grade]:[grade]]=$AA19)*(t_BDD8[[Attrib]:[Attrib]]=AM$11)*1)</f>
        <v>2</v>
      </c>
      <c r="AN19" s="1">
        <f>SUMPRODUCT((t_BDD8[[grade]:[grade]]=$AA19)*(t_BDD8[[Attrib]:[Attrib]]=AN$11)*1)</f>
        <v>1</v>
      </c>
      <c r="AO19" s="1">
        <f>SUMPRODUCT((t_BDD8[[grade]:[grade]]=$AA19)*(t_BDD8[[Attrib]:[Attrib]]=AO$11)*1)</f>
        <v>5</v>
      </c>
      <c r="AP19" s="1">
        <f>SUMPRODUCT((t_BDD8[[grade]:[grade]]=$AA19)*(t_BDD8[[Attrib]:[Attrib]]=AP$11)*1)</f>
        <v>3</v>
      </c>
      <c r="AQ19" s="1">
        <f>SUM(Tableau4610[[#This Row],[AGEN]:[TOURS]])</f>
        <v>46</v>
      </c>
    </row>
    <row r="20" spans="1:43" x14ac:dyDescent="0.25">
      <c r="A20" s="1" t="s">
        <v>45</v>
      </c>
      <c r="B20" s="1" t="s">
        <v>16</v>
      </c>
      <c r="C20" s="1" t="s">
        <v>4</v>
      </c>
      <c r="D20" s="1" t="s">
        <v>4</v>
      </c>
      <c r="E20" s="1" t="s">
        <v>6</v>
      </c>
      <c r="F20" s="1"/>
      <c r="G20" s="1"/>
      <c r="H20" s="1" t="s">
        <v>4</v>
      </c>
      <c r="I20" s="1" t="s">
        <v>6</v>
      </c>
      <c r="J20" s="1" t="s">
        <v>2</v>
      </c>
      <c r="K20" s="1" t="s">
        <v>5</v>
      </c>
      <c r="L20" s="1" t="s">
        <v>10</v>
      </c>
      <c r="M20" s="1" t="s">
        <v>14</v>
      </c>
      <c r="N20" s="1" t="s">
        <v>12</v>
      </c>
      <c r="O20" s="1" t="s">
        <v>3</v>
      </c>
      <c r="P20" s="1" t="s">
        <v>3</v>
      </c>
      <c r="Q20" s="1">
        <f>-100*(COUNTIF(t_BDD8[[#This Row],[ville 1 déjà faites]:[ville 8 déjà faites]],t_BDD8[[#This Row],[Attrib]]))*(t_BDD8[[#This Row],[Attrib]]&lt;&gt;"(rien)")-(t_BDD8[[#This Row],[Attrib]]="(rien)")</f>
        <v>-100</v>
      </c>
      <c r="R20" s="1"/>
      <c r="S20" s="1"/>
      <c r="T20" s="1"/>
      <c r="U20" s="1"/>
      <c r="V20" s="1"/>
      <c r="W20" s="1"/>
      <c r="X20" s="1"/>
      <c r="Y20" s="1"/>
      <c r="Z20" s="1"/>
      <c r="AA20" t="s">
        <v>33</v>
      </c>
      <c r="AB20" s="1">
        <f>SUMPRODUCT((t_BDD8[[grade]:[grade]]=$AA20)*(t_BDD8[[Attrib]:[Attrib]]=AB$11)*1)</f>
        <v>6</v>
      </c>
      <c r="AC20" s="1">
        <f>SUMPRODUCT((t_BDD8[[grade]:[grade]]=$AA20)*(t_BDD8[[Attrib]:[Attrib]]=AC$11)*1)</f>
        <v>11</v>
      </c>
      <c r="AD20" s="1">
        <f>SUMPRODUCT((t_BDD8[[grade]:[grade]]=$AA20)*(t_BDD8[[Attrib]:[Attrib]]=AD$11)*1)</f>
        <v>5</v>
      </c>
      <c r="AE20" s="1">
        <f>SUMPRODUCT((t_BDD8[[grade]:[grade]]=$AA20)*(t_BDD8[[Attrib]:[Attrib]]=AE$11)*1)</f>
        <v>3</v>
      </c>
      <c r="AF20" s="1">
        <f>SUMPRODUCT((t_BDD8[[grade]:[grade]]=$AA20)*(t_BDD8[[Attrib]:[Attrib]]=AF$11)*1)</f>
        <v>5</v>
      </c>
      <c r="AG20" s="1">
        <f>SUMPRODUCT((t_BDD8[[grade]:[grade]]=$AA20)*(t_BDD8[[Attrib]:[Attrib]]=AG$11)*1)</f>
        <v>10</v>
      </c>
      <c r="AH20" s="1">
        <f>SUMPRODUCT((t_BDD8[[grade]:[grade]]=$AA20)*(t_BDD8[[Attrib]:[Attrib]]=AH$11)*1)</f>
        <v>5</v>
      </c>
      <c r="AI20" s="1">
        <f>SUMPRODUCT((t_BDD8[[grade]:[grade]]=$AA20)*(t_BDD8[[Attrib]:[Attrib]]=AI$11)*1)</f>
        <v>5</v>
      </c>
      <c r="AJ20" s="1">
        <f>SUMPRODUCT((t_BDD8[[grade]:[grade]]=$AA20)*(t_BDD8[[Attrib]:[Attrib]]=AJ$11)*1)</f>
        <v>7</v>
      </c>
      <c r="AK20" s="1">
        <f>SUMPRODUCT((t_BDD8[[grade]:[grade]]=$AA20)*(t_BDD8[[Attrib]:[Attrib]]=AK$11)*1)</f>
        <v>5</v>
      </c>
      <c r="AL20" s="1">
        <f>SUMPRODUCT((t_BDD8[[grade]:[grade]]=$AA20)*(t_BDD8[[Attrib]:[Attrib]]=AL$11)*1)</f>
        <v>3</v>
      </c>
      <c r="AM20" s="1">
        <f>SUMPRODUCT((t_BDD8[[grade]:[grade]]=$AA20)*(t_BDD8[[Attrib]:[Attrib]]=AM$11)*1)</f>
        <v>3</v>
      </c>
      <c r="AN20" s="1">
        <f>SUMPRODUCT((t_BDD8[[grade]:[grade]]=$AA20)*(t_BDD8[[Attrib]:[Attrib]]=AN$11)*1)</f>
        <v>2</v>
      </c>
      <c r="AO20" s="1">
        <f>SUMPRODUCT((t_BDD8[[grade]:[grade]]=$AA20)*(t_BDD8[[Attrib]:[Attrib]]=AO$11)*1)</f>
        <v>7</v>
      </c>
      <c r="AP20" s="1">
        <f>SUMPRODUCT((t_BDD8[[grade]:[grade]]=$AA20)*(t_BDD8[[Attrib]:[Attrib]]=AP$11)*1)</f>
        <v>2</v>
      </c>
      <c r="AQ20" s="1">
        <f>SUM(Tableau4610[[#This Row],[AGEN]:[TOURS]])</f>
        <v>79</v>
      </c>
    </row>
    <row r="21" spans="1:43" x14ac:dyDescent="0.25">
      <c r="A21" s="1" t="s">
        <v>46</v>
      </c>
      <c r="B21" s="1" t="s">
        <v>16</v>
      </c>
      <c r="C21" s="1" t="s">
        <v>11</v>
      </c>
      <c r="D21" s="1" t="s">
        <v>8</v>
      </c>
      <c r="E21" s="1" t="s">
        <v>5</v>
      </c>
      <c r="F21" s="1"/>
      <c r="G21" s="1"/>
      <c r="H21" s="1" t="s">
        <v>11</v>
      </c>
      <c r="I21" s="1" t="s">
        <v>8</v>
      </c>
      <c r="J21" s="1" t="s">
        <v>5</v>
      </c>
      <c r="K21" s="1" t="s">
        <v>2</v>
      </c>
      <c r="L21" s="1" t="s">
        <v>14</v>
      </c>
      <c r="M21" s="1" t="s">
        <v>4</v>
      </c>
      <c r="N21" s="1" t="s">
        <v>3</v>
      </c>
      <c r="O21" s="1" t="s">
        <v>0</v>
      </c>
      <c r="P21" s="1" t="s">
        <v>0</v>
      </c>
      <c r="Q21" s="1">
        <f>-100*(COUNTIF(t_BDD8[[#This Row],[ville 1 déjà faites]:[ville 8 déjà faites]],t_BDD8[[#This Row],[Attrib]]))*(t_BDD8[[#This Row],[Attrib]]&lt;&gt;"(rien)")-(t_BDD8[[#This Row],[Attrib]]="(rien)")</f>
        <v>-100</v>
      </c>
      <c r="R21" s="1"/>
      <c r="S21" s="1"/>
      <c r="T21" s="1"/>
      <c r="U21" s="1"/>
      <c r="V21" s="1"/>
      <c r="W21" s="1"/>
      <c r="X21" s="1"/>
      <c r="Y21" s="1"/>
      <c r="Z21" s="1"/>
      <c r="AA21" t="str">
        <f>"Total: "&amp;SUM(Tableau4610[[#Totals],[AGEN]:[TOURS]])</f>
        <v>Total: 164</v>
      </c>
      <c r="AB21" s="1">
        <f>SUBTOTAL(109,Tableau4610[AGEN])</f>
        <v>12</v>
      </c>
      <c r="AC21" s="1">
        <f>SUBTOTAL(109,Tableau4610[ANGLET])</f>
        <v>18</v>
      </c>
      <c r="AD21" s="1">
        <f>SUBTOTAL(109,Tableau4610[ANNECY])</f>
        <v>13</v>
      </c>
      <c r="AE21" s="1">
        <f>SUBTOTAL(109,Tableau4610[ARRAS])</f>
        <v>9</v>
      </c>
      <c r="AF21" s="1">
        <f>SUBTOTAL(109,Tableau4610[BORDEAUX])</f>
        <v>11</v>
      </c>
      <c r="AG21" s="1">
        <f>SUBTOTAL(109,Tableau4610[GRENOBLE])</f>
        <v>16</v>
      </c>
      <c r="AH21" s="1">
        <f>SUBTOTAL(109,Tableau4610[LIMOGES])</f>
        <v>12</v>
      </c>
      <c r="AI21" s="1">
        <f>SUBTOTAL(109,Tableau4610[LYON])</f>
        <v>10</v>
      </c>
      <c r="AJ21" s="1">
        <f>SUBTOTAL(109,Tableau4610[MARSEILLE])</f>
        <v>13</v>
      </c>
      <c r="AK21" s="1">
        <f>SUBTOTAL(109,Tableau4610[NANTES])</f>
        <v>10</v>
      </c>
      <c r="AL21" s="1">
        <f>SUBTOTAL(109,Tableau4610[ORLEANS])</f>
        <v>8</v>
      </c>
      <c r="AM21" s="1">
        <f>SUBTOTAL(109,Tableau4610[PARIS])</f>
        <v>6</v>
      </c>
      <c r="AN21" s="1">
        <f>SUBTOTAL(109,Tableau4610[THOUARS])</f>
        <v>4</v>
      </c>
      <c r="AO21" s="1">
        <f>SUBTOTAL(109,Tableau4610[TOULOUSE])</f>
        <v>15</v>
      </c>
      <c r="AP21" s="1">
        <f>SUBTOTAL(109,Tableau4610[TOURS])</f>
        <v>7</v>
      </c>
      <c r="AQ21" s="1">
        <f>SUBTOTAL(109,Tableau4610[Total])</f>
        <v>164</v>
      </c>
    </row>
    <row r="22" spans="1:43" x14ac:dyDescent="0.25">
      <c r="A22" s="1" t="s">
        <v>47</v>
      </c>
      <c r="B22" s="1" t="s">
        <v>16</v>
      </c>
      <c r="C22" s="1" t="s">
        <v>12</v>
      </c>
      <c r="D22" s="1" t="s">
        <v>9</v>
      </c>
      <c r="E22" s="1" t="s">
        <v>9</v>
      </c>
      <c r="F22" s="1"/>
      <c r="G22" s="1"/>
      <c r="H22" s="1" t="s">
        <v>9</v>
      </c>
      <c r="I22" s="1" t="s">
        <v>12</v>
      </c>
      <c r="J22" s="1" t="s">
        <v>6</v>
      </c>
      <c r="K22" s="1" t="s">
        <v>8</v>
      </c>
      <c r="L22" s="1" t="s">
        <v>5</v>
      </c>
      <c r="M22" s="1" t="s">
        <v>7</v>
      </c>
      <c r="N22" s="1" t="s">
        <v>11</v>
      </c>
      <c r="O22" s="1" t="s">
        <v>2</v>
      </c>
      <c r="P22" s="1" t="s">
        <v>2</v>
      </c>
      <c r="Q22" s="1">
        <f>-100*(COUNTIF(t_BDD8[[#This Row],[ville 1 déjà faites]:[ville 8 déjà faites]],t_BDD8[[#This Row],[Attrib]]))*(t_BDD8[[#This Row],[Attrib]]&lt;&gt;"(rien)")-(t_BDD8[[#This Row],[Attrib]]="(rien)")</f>
        <v>-100</v>
      </c>
      <c r="R22" s="1"/>
      <c r="S22" s="1"/>
      <c r="T22" s="1"/>
      <c r="U22" s="1"/>
      <c r="V22" s="1"/>
      <c r="W22" s="1"/>
      <c r="X22" s="1"/>
      <c r="Y22" s="1"/>
      <c r="Z22" s="1"/>
    </row>
    <row r="23" spans="1:43" x14ac:dyDescent="0.25">
      <c r="A23" s="1" t="s">
        <v>48</v>
      </c>
      <c r="B23" s="1" t="s">
        <v>16</v>
      </c>
      <c r="C23" s="1" t="s">
        <v>14</v>
      </c>
      <c r="D23" s="1" t="s">
        <v>4</v>
      </c>
      <c r="E23" s="1" t="s">
        <v>1</v>
      </c>
      <c r="F23" s="1"/>
      <c r="G23" s="1"/>
      <c r="H23" s="1" t="s">
        <v>14</v>
      </c>
      <c r="I23" s="1" t="s">
        <v>4</v>
      </c>
      <c r="J23" s="1" t="s">
        <v>1</v>
      </c>
      <c r="K23" s="1" t="s">
        <v>2</v>
      </c>
      <c r="L23" s="1" t="s">
        <v>13</v>
      </c>
      <c r="M23" s="1" t="s">
        <v>0</v>
      </c>
      <c r="N23" s="1" t="s">
        <v>7</v>
      </c>
      <c r="O23" s="1" t="s">
        <v>10</v>
      </c>
      <c r="P23" s="1" t="s">
        <v>10</v>
      </c>
      <c r="Q23" s="1">
        <f>-100*(COUNTIF(t_BDD8[[#This Row],[ville 1 déjà faites]:[ville 8 déjà faites]],t_BDD8[[#This Row],[Attrib]]))*(t_BDD8[[#This Row],[Attrib]]&lt;&gt;"(rien)")-(t_BDD8[[#This Row],[Attrib]]="(rien)")</f>
        <v>-100</v>
      </c>
      <c r="R23" s="1"/>
      <c r="S23" s="1"/>
      <c r="T23" s="1"/>
      <c r="U23" s="1"/>
      <c r="V23" s="1"/>
      <c r="W23" s="1"/>
      <c r="X23" s="1"/>
      <c r="Y23" s="1"/>
      <c r="Z23" s="1"/>
      <c r="AA23" t="s">
        <v>252</v>
      </c>
      <c r="AB23" s="1" t="s">
        <v>0</v>
      </c>
      <c r="AC23" s="1" t="s">
        <v>1</v>
      </c>
      <c r="AD23" s="1" t="s">
        <v>2</v>
      </c>
      <c r="AE23" s="1" t="s">
        <v>3</v>
      </c>
      <c r="AF23" s="1" t="s">
        <v>4</v>
      </c>
      <c r="AG23" s="1" t="s">
        <v>5</v>
      </c>
      <c r="AH23" s="1" t="s">
        <v>6</v>
      </c>
      <c r="AI23" s="1" t="s">
        <v>7</v>
      </c>
      <c r="AJ23" s="1" t="s">
        <v>8</v>
      </c>
      <c r="AK23" s="1" t="s">
        <v>9</v>
      </c>
      <c r="AL23" s="1" t="s">
        <v>10</v>
      </c>
      <c r="AM23" s="1" t="s">
        <v>11</v>
      </c>
      <c r="AN23" s="1" t="s">
        <v>12</v>
      </c>
      <c r="AO23" s="1" t="s">
        <v>13</v>
      </c>
      <c r="AP23" s="1" t="s">
        <v>14</v>
      </c>
      <c r="AQ23" s="1" t="s">
        <v>15</v>
      </c>
    </row>
    <row r="24" spans="1:43" x14ac:dyDescent="0.25">
      <c r="A24" s="1" t="s">
        <v>49</v>
      </c>
      <c r="B24" s="1" t="s">
        <v>16</v>
      </c>
      <c r="C24" s="1" t="s">
        <v>7</v>
      </c>
      <c r="D24" s="1" t="s">
        <v>4</v>
      </c>
      <c r="E24" s="1" t="s">
        <v>11</v>
      </c>
      <c r="F24" s="1"/>
      <c r="G24" s="1"/>
      <c r="H24" s="1" t="s">
        <v>4</v>
      </c>
      <c r="I24" s="1" t="s">
        <v>7</v>
      </c>
      <c r="J24" s="1" t="s">
        <v>11</v>
      </c>
      <c r="K24" s="1" t="s">
        <v>13</v>
      </c>
      <c r="L24" s="1" t="s">
        <v>0</v>
      </c>
      <c r="M24" s="1" t="s">
        <v>5</v>
      </c>
      <c r="N24" s="1" t="s">
        <v>6</v>
      </c>
      <c r="O24" s="1" t="s">
        <v>2</v>
      </c>
      <c r="P24" s="1" t="s">
        <v>2</v>
      </c>
      <c r="Q24" s="1">
        <f>-100*(COUNTIF(t_BDD8[[#This Row],[ville 1 déjà faites]:[ville 8 déjà faites]],t_BDD8[[#This Row],[Attrib]]))*(t_BDD8[[#This Row],[Attrib]]&lt;&gt;"(rien)")-(t_BDD8[[#This Row],[Attrib]]="(rien)")</f>
        <v>-100</v>
      </c>
      <c r="R24" s="1"/>
      <c r="S24" s="1"/>
      <c r="T24" s="1"/>
      <c r="U24" s="1"/>
      <c r="V24" s="1"/>
      <c r="W24" s="1"/>
      <c r="X24" s="1"/>
      <c r="Y24" s="1"/>
      <c r="Z24" s="1"/>
      <c r="AA24" t="s">
        <v>16</v>
      </c>
      <c r="AB24" s="1">
        <f>INDEX(Tableau48[],MATCH($AA24,t48_grades,0),MATCH(AB$23,Tableau48[#Headers],0))</f>
        <v>3</v>
      </c>
      <c r="AC24" s="1">
        <f>INDEX(Tableau48[],MATCH($AA24,t48_grades,0),MATCH(AC$23,Tableau48[#Headers],0))</f>
        <v>4</v>
      </c>
      <c r="AD24" s="1">
        <f>INDEX(Tableau48[],MATCH($AA24,t48_grades,0),MATCH(AD$23,Tableau48[#Headers],0))</f>
        <v>5</v>
      </c>
      <c r="AE24" s="1">
        <f>INDEX(Tableau48[],MATCH($AA24,t48_grades,0),MATCH(AE$23,Tableau48[#Headers],0))</f>
        <v>3</v>
      </c>
      <c r="AF24" s="1">
        <f>INDEX(Tableau48[],MATCH($AA24,t48_grades,0),MATCH(AF$23,Tableau48[#Headers],0))</f>
        <v>5</v>
      </c>
      <c r="AG24" s="1">
        <f>INDEX(Tableau48[],MATCH($AA24,t48_grades,0),MATCH(AG$23,Tableau48[#Headers],0))</f>
        <v>5</v>
      </c>
      <c r="AH24" s="1">
        <f>INDEX(Tableau48[],MATCH($AA24,t48_grades,0),MATCH(AH$23,Tableau48[#Headers],0))</f>
        <v>5</v>
      </c>
      <c r="AI24" s="1">
        <f>INDEX(Tableau48[],MATCH($AA24,t48_grades,0),MATCH(AI$23,Tableau48[#Headers],0))</f>
        <v>4</v>
      </c>
      <c r="AJ24" s="1">
        <f>INDEX(Tableau48[],MATCH($AA24,t48_grades,0),MATCH(AJ$23,Tableau48[#Headers],0))</f>
        <v>3</v>
      </c>
      <c r="AK24" s="1">
        <f>INDEX(Tableau48[],MATCH($AA24,t48_grades,0),MATCH(AK$23,Tableau48[#Headers],0))</f>
        <v>2</v>
      </c>
      <c r="AL24" s="1">
        <f>INDEX(Tableau48[],MATCH($AA24,t48_grades,0),MATCH(AL$23,Tableau48[#Headers],0))</f>
        <v>2</v>
      </c>
      <c r="AM24" s="1">
        <f>INDEX(Tableau48[],MATCH($AA24,t48_grades,0),MATCH(AM$23,Tableau48[#Headers],0))</f>
        <v>5</v>
      </c>
      <c r="AN24" s="1">
        <f>INDEX(Tableau48[],MATCH($AA24,t48_grades,0),MATCH(AN$23,Tableau48[#Headers],0))</f>
        <v>1</v>
      </c>
      <c r="AO24" s="1">
        <f>INDEX(Tableau48[],MATCH($AA24,t48_grades,0),MATCH(AO$23,Tableau48[#Headers],0))</f>
        <v>5</v>
      </c>
      <c r="AP24" s="1">
        <f>INDEX(Tableau48[],MATCH($AA24,t48_grades,0),MATCH(AP$23,Tableau48[#Headers],0))</f>
        <v>3</v>
      </c>
      <c r="AQ24" s="1">
        <f>SUM(Tableau461014[[#This Row],[AGEN]:[TOURS]])</f>
        <v>55</v>
      </c>
    </row>
    <row r="25" spans="1:43" x14ac:dyDescent="0.25">
      <c r="A25" s="1" t="s">
        <v>50</v>
      </c>
      <c r="B25" s="1" t="s">
        <v>16</v>
      </c>
      <c r="C25" s="1" t="s">
        <v>14</v>
      </c>
      <c r="D25" s="1" t="s">
        <v>1</v>
      </c>
      <c r="E25" s="1" t="s">
        <v>8</v>
      </c>
      <c r="F25" s="1"/>
      <c r="G25" s="1"/>
      <c r="H25" s="1" t="s">
        <v>14</v>
      </c>
      <c r="I25" s="1" t="s">
        <v>1</v>
      </c>
      <c r="J25" s="1" t="s">
        <v>8</v>
      </c>
      <c r="K25" s="1" t="s">
        <v>6</v>
      </c>
      <c r="L25" s="1" t="s">
        <v>13</v>
      </c>
      <c r="M25" s="1" t="s">
        <v>9</v>
      </c>
      <c r="N25" s="1" t="s">
        <v>0</v>
      </c>
      <c r="O25" s="1" t="s">
        <v>4</v>
      </c>
      <c r="P25" s="1" t="s">
        <v>4</v>
      </c>
      <c r="Q25" s="1">
        <f>-100*(COUNTIF(t_BDD8[[#This Row],[ville 1 déjà faites]:[ville 8 déjà faites]],t_BDD8[[#This Row],[Attrib]]))*(t_BDD8[[#This Row],[Attrib]]&lt;&gt;"(rien)")-(t_BDD8[[#This Row],[Attrib]]="(rien)")</f>
        <v>-100</v>
      </c>
      <c r="R25" s="1"/>
      <c r="S25" s="1"/>
      <c r="T25" s="1"/>
      <c r="U25" s="1"/>
      <c r="V25" s="1"/>
      <c r="W25" s="1"/>
      <c r="X25" s="1"/>
      <c r="Y25" s="1"/>
      <c r="Z25" s="1"/>
      <c r="AA25" t="s">
        <v>34</v>
      </c>
      <c r="AB25" s="1">
        <f>INDEX(Tableau48[],MATCH($AA25,t48_grades,0),MATCH(AB$23,Tableau48[#Headers],0))</f>
        <v>3</v>
      </c>
      <c r="AC25" s="1">
        <f>INDEX(Tableau48[],MATCH($AA25,t48_grades,0),MATCH(AC$23,Tableau48[#Headers],0))</f>
        <v>5</v>
      </c>
      <c r="AD25" s="1">
        <f>INDEX(Tableau48[],MATCH($AA25,t48_grades,0),MATCH(AD$23,Tableau48[#Headers],0))</f>
        <v>3</v>
      </c>
      <c r="AE25" s="1">
        <f>INDEX(Tableau48[],MATCH($AA25,t48_grades,0),MATCH(AE$23,Tableau48[#Headers],0))</f>
        <v>3</v>
      </c>
      <c r="AF25" s="1">
        <f>INDEX(Tableau48[],MATCH($AA25,t48_grades,0),MATCH(AF$23,Tableau48[#Headers],0))</f>
        <v>3</v>
      </c>
      <c r="AG25" s="1">
        <f>INDEX(Tableau48[],MATCH($AA25,t48_grades,0),MATCH(AG$23,Tableau48[#Headers],0))</f>
        <v>5</v>
      </c>
      <c r="AH25" s="1">
        <f>INDEX(Tableau48[],MATCH($AA25,t48_grades,0),MATCH(AH$23,Tableau48[#Headers],0))</f>
        <v>3</v>
      </c>
      <c r="AI25" s="1">
        <f>INDEX(Tableau48[],MATCH($AA25,t48_grades,0),MATCH(AI$23,Tableau48[#Headers],0))</f>
        <v>5</v>
      </c>
      <c r="AJ25" s="1">
        <f>INDEX(Tableau48[],MATCH($AA25,t48_grades,0),MATCH(AJ$23,Tableau48[#Headers],0))</f>
        <v>5</v>
      </c>
      <c r="AK25" s="1">
        <f>INDEX(Tableau48[],MATCH($AA25,t48_grades,0),MATCH(AK$23,Tableau48[#Headers],0))</f>
        <v>3</v>
      </c>
      <c r="AL25" s="1">
        <f>INDEX(Tableau48[],MATCH($AA25,t48_grades,0),MATCH(AL$23,Tableau48[#Headers],0))</f>
        <v>3</v>
      </c>
      <c r="AM25" s="1">
        <f>INDEX(Tableau48[],MATCH($AA25,t48_grades,0),MATCH(AM$23,Tableau48[#Headers],0))</f>
        <v>5</v>
      </c>
      <c r="AN25" s="1">
        <f>INDEX(Tableau48[],MATCH($AA25,t48_grades,0),MATCH(AN$23,Tableau48[#Headers],0))</f>
        <v>1</v>
      </c>
      <c r="AO25" s="1">
        <f>INDEX(Tableau48[],MATCH($AA25,t48_grades,0),MATCH(AO$23,Tableau48[#Headers],0))</f>
        <v>5</v>
      </c>
      <c r="AP25" s="1">
        <f>INDEX(Tableau48[],MATCH($AA25,t48_grades,0),MATCH(AP$23,Tableau48[#Headers],0))</f>
        <v>3</v>
      </c>
      <c r="AQ25" s="1">
        <f>SUM(Tableau461014[[#This Row],[AGEN]:[TOURS]])</f>
        <v>55</v>
      </c>
    </row>
    <row r="26" spans="1:43" x14ac:dyDescent="0.25">
      <c r="A26" s="1" t="s">
        <v>51</v>
      </c>
      <c r="B26" s="1" t="s">
        <v>16</v>
      </c>
      <c r="C26" s="1" t="s">
        <v>7</v>
      </c>
      <c r="D26" s="1" t="s">
        <v>4</v>
      </c>
      <c r="E26" s="1" t="s">
        <v>11</v>
      </c>
      <c r="F26" s="1"/>
      <c r="G26" s="1"/>
      <c r="H26" s="1" t="s">
        <v>7</v>
      </c>
      <c r="I26" s="1" t="s">
        <v>4</v>
      </c>
      <c r="J26" s="1" t="s">
        <v>6</v>
      </c>
      <c r="K26" s="1" t="s">
        <v>11</v>
      </c>
      <c r="L26" s="1" t="s">
        <v>8</v>
      </c>
      <c r="M26" s="1" t="s">
        <v>5</v>
      </c>
      <c r="N26" s="1" t="s">
        <v>10</v>
      </c>
      <c r="O26" s="1" t="s">
        <v>1</v>
      </c>
      <c r="P26" s="1" t="s">
        <v>1</v>
      </c>
      <c r="Q26" s="1">
        <f>-100*(COUNTIF(t_BDD8[[#This Row],[ville 1 déjà faites]:[ville 8 déjà faites]],t_BDD8[[#This Row],[Attrib]]))*(t_BDD8[[#This Row],[Attrib]]&lt;&gt;"(rien)")-(t_BDD8[[#This Row],[Attrib]]="(rien)")</f>
        <v>-100</v>
      </c>
      <c r="R26" s="1"/>
      <c r="S26" s="1"/>
      <c r="T26" s="1"/>
      <c r="U26" s="1"/>
      <c r="V26" s="1"/>
      <c r="W26" s="1"/>
      <c r="X26" s="1"/>
      <c r="Y26" s="1"/>
      <c r="Z26" s="1"/>
      <c r="AA26" t="s">
        <v>33</v>
      </c>
      <c r="AB26" s="1">
        <f>INDEX(Tableau48[],MATCH($AA26,t48_grades,0),MATCH(AB$23,Tableau48[#Headers],0))</f>
        <v>6</v>
      </c>
      <c r="AC26" s="1">
        <f>INDEX(Tableau48[],MATCH($AA26,t48_grades,0),MATCH(AC$23,Tableau48[#Headers],0))</f>
        <v>12</v>
      </c>
      <c r="AD26" s="1">
        <f>INDEX(Tableau48[],MATCH($AA26,t48_grades,0),MATCH(AD$23,Tableau48[#Headers],0))</f>
        <v>5</v>
      </c>
      <c r="AE26" s="1">
        <f>INDEX(Tableau48[],MATCH($AA26,t48_grades,0),MATCH(AE$23,Tableau48[#Headers],0))</f>
        <v>3</v>
      </c>
      <c r="AF26" s="1">
        <f>INDEX(Tableau48[],MATCH($AA26,t48_grades,0),MATCH(AF$23,Tableau48[#Headers],0))</f>
        <v>5</v>
      </c>
      <c r="AG26" s="1">
        <f>INDEX(Tableau48[],MATCH($AA26,t48_grades,0),MATCH(AG$23,Tableau48[#Headers],0))</f>
        <v>10</v>
      </c>
      <c r="AH26" s="1">
        <f>INDEX(Tableau48[],MATCH($AA26,t48_grades,0),MATCH(AH$23,Tableau48[#Headers],0))</f>
        <v>5</v>
      </c>
      <c r="AI26" s="1">
        <f>INDEX(Tableau48[],MATCH($AA26,t48_grades,0),MATCH(AI$23,Tableau48[#Headers],0))</f>
        <v>5</v>
      </c>
      <c r="AJ26" s="1">
        <f>INDEX(Tableau48[],MATCH($AA26,t48_grades,0),MATCH(AJ$23,Tableau48[#Headers],0))</f>
        <v>7</v>
      </c>
      <c r="AK26" s="1">
        <f>INDEX(Tableau48[],MATCH($AA26,t48_grades,0),MATCH(AK$23,Tableau48[#Headers],0))</f>
        <v>5</v>
      </c>
      <c r="AL26" s="1">
        <f>INDEX(Tableau48[],MATCH($AA26,t48_grades,0),MATCH(AL$23,Tableau48[#Headers],0))</f>
        <v>3</v>
      </c>
      <c r="AM26" s="1">
        <f>INDEX(Tableau48[],MATCH($AA26,t48_grades,0),MATCH(AM$23,Tableau48[#Headers],0))</f>
        <v>13</v>
      </c>
      <c r="AN26" s="1">
        <f>INDEX(Tableau48[],MATCH($AA26,t48_grades,0),MATCH(AN$23,Tableau48[#Headers],0))</f>
        <v>2</v>
      </c>
      <c r="AO26" s="1">
        <f>INDEX(Tableau48[],MATCH($AA26,t48_grades,0),MATCH(AO$23,Tableau48[#Headers],0))</f>
        <v>13</v>
      </c>
      <c r="AP26" s="1">
        <f>INDEX(Tableau48[],MATCH($AA26,t48_grades,0),MATCH(AP$23,Tableau48[#Headers],0))</f>
        <v>2</v>
      </c>
      <c r="AQ26" s="1">
        <f>SUM(Tableau461014[[#This Row],[AGEN]:[TOURS]])</f>
        <v>96</v>
      </c>
    </row>
    <row r="27" spans="1:43" x14ac:dyDescent="0.25">
      <c r="A27" s="1" t="s">
        <v>52</v>
      </c>
      <c r="B27" s="1" t="s">
        <v>16</v>
      </c>
      <c r="C27" s="1" t="s">
        <v>5</v>
      </c>
      <c r="D27" s="1" t="s">
        <v>4</v>
      </c>
      <c r="E27" s="1" t="s">
        <v>0</v>
      </c>
      <c r="F27" s="1"/>
      <c r="G27" s="1"/>
      <c r="H27" s="1" t="s">
        <v>5</v>
      </c>
      <c r="I27" s="1" t="s">
        <v>4</v>
      </c>
      <c r="J27" s="1" t="s">
        <v>6</v>
      </c>
      <c r="K27" s="1" t="s">
        <v>0</v>
      </c>
      <c r="L27" s="1" t="s">
        <v>8</v>
      </c>
      <c r="M27" s="1" t="s">
        <v>10</v>
      </c>
      <c r="N27" s="1" t="s">
        <v>13</v>
      </c>
      <c r="O27" s="1" t="s">
        <v>7</v>
      </c>
      <c r="P27" s="1" t="s">
        <v>7</v>
      </c>
      <c r="Q27" s="1">
        <f>-100*(COUNTIF(t_BDD8[[#This Row],[ville 1 déjà faites]:[ville 8 déjà faites]],t_BDD8[[#This Row],[Attrib]]))*(t_BDD8[[#This Row],[Attrib]]&lt;&gt;"(rien)")-(t_BDD8[[#This Row],[Attrib]]="(rien)")</f>
        <v>-100</v>
      </c>
      <c r="R27" s="1"/>
      <c r="S27" s="1"/>
      <c r="T27" s="1"/>
      <c r="U27" s="1"/>
      <c r="V27" s="1"/>
      <c r="W27" s="1"/>
      <c r="X27" s="1"/>
      <c r="Y27" s="1"/>
      <c r="Z27" s="1"/>
      <c r="AA27" t="str">
        <f>"Total: "&amp;SUM(Tableau461014[[#Totals],[AGEN]:[TOURS]])</f>
        <v>Total: 206</v>
      </c>
      <c r="AB27" s="1">
        <f>SUBTOTAL(109,Tableau461014[AGEN])</f>
        <v>12</v>
      </c>
      <c r="AC27" s="1">
        <f>SUBTOTAL(109,Tableau461014[ANGLET])</f>
        <v>21</v>
      </c>
      <c r="AD27" s="1">
        <f>SUBTOTAL(109,Tableau461014[ANNECY])</f>
        <v>13</v>
      </c>
      <c r="AE27" s="1">
        <f>SUBTOTAL(109,Tableau461014[ARRAS])</f>
        <v>9</v>
      </c>
      <c r="AF27" s="1">
        <f>SUBTOTAL(109,Tableau461014[BORDEAUX])</f>
        <v>13</v>
      </c>
      <c r="AG27" s="1">
        <f>SUBTOTAL(109,Tableau461014[GRENOBLE])</f>
        <v>20</v>
      </c>
      <c r="AH27" s="1">
        <f>SUBTOTAL(109,Tableau461014[LIMOGES])</f>
        <v>13</v>
      </c>
      <c r="AI27" s="1">
        <f>SUBTOTAL(109,Tableau461014[LYON])</f>
        <v>14</v>
      </c>
      <c r="AJ27" s="1">
        <f>SUBTOTAL(109,Tableau461014[MARSEILLE])</f>
        <v>15</v>
      </c>
      <c r="AK27" s="1">
        <f>SUBTOTAL(109,Tableau461014[NANTES])</f>
        <v>10</v>
      </c>
      <c r="AL27" s="1">
        <f>SUBTOTAL(109,Tableau461014[ORLEANS])</f>
        <v>8</v>
      </c>
      <c r="AM27" s="1">
        <f>SUBTOTAL(109,Tableau461014[PARIS])</f>
        <v>23</v>
      </c>
      <c r="AN27" s="1">
        <f>SUBTOTAL(109,Tableau461014[THOUARS])</f>
        <v>4</v>
      </c>
      <c r="AO27" s="1">
        <f>SUBTOTAL(109,Tableau461014[TOULOUSE])</f>
        <v>23</v>
      </c>
      <c r="AP27" s="1">
        <f>SUBTOTAL(109,Tableau461014[TOURS])</f>
        <v>8</v>
      </c>
      <c r="AQ27" s="1">
        <f>SUBTOTAL(109,Tableau461014[Total])</f>
        <v>206</v>
      </c>
    </row>
    <row r="28" spans="1:43" x14ac:dyDescent="0.25">
      <c r="A28" s="1" t="s">
        <v>53</v>
      </c>
      <c r="B28" s="1" t="s">
        <v>16</v>
      </c>
      <c r="C28" s="1" t="s">
        <v>13</v>
      </c>
      <c r="D28" s="1" t="s">
        <v>0</v>
      </c>
      <c r="E28" s="1" t="s">
        <v>11</v>
      </c>
      <c r="F28" s="1"/>
      <c r="G28" s="1"/>
      <c r="H28" s="1" t="s">
        <v>13</v>
      </c>
      <c r="I28" s="1" t="s">
        <v>0</v>
      </c>
      <c r="J28" s="1" t="s">
        <v>11</v>
      </c>
      <c r="K28" s="1" t="s">
        <v>4</v>
      </c>
      <c r="L28" s="1" t="s">
        <v>5</v>
      </c>
      <c r="M28" s="1" t="s">
        <v>1</v>
      </c>
      <c r="N28" s="1" t="s">
        <v>8</v>
      </c>
      <c r="O28" s="1" t="s">
        <v>2</v>
      </c>
      <c r="P28" s="1" t="s">
        <v>2</v>
      </c>
      <c r="Q28" s="1">
        <f>-100*(COUNTIF(t_BDD8[[#This Row],[ville 1 déjà faites]:[ville 8 déjà faites]],t_BDD8[[#This Row],[Attrib]]))*(t_BDD8[[#This Row],[Attrib]]&lt;&gt;"(rien)")-(t_BDD8[[#This Row],[Attrib]]="(rien)")</f>
        <v>-100</v>
      </c>
      <c r="R28" s="1"/>
      <c r="S28" s="1"/>
      <c r="T28" s="1"/>
      <c r="U28" s="1"/>
      <c r="V28" s="1"/>
      <c r="W28" s="1"/>
      <c r="X28" s="1"/>
      <c r="Y28" s="1"/>
      <c r="Z28" s="1"/>
    </row>
    <row r="29" spans="1:43" x14ac:dyDescent="0.25">
      <c r="A29" s="1" t="s">
        <v>54</v>
      </c>
      <c r="B29" s="1" t="s">
        <v>16</v>
      </c>
      <c r="C29" s="1" t="s">
        <v>7</v>
      </c>
      <c r="D29" s="1" t="s">
        <v>3</v>
      </c>
      <c r="E29" s="1" t="s">
        <v>14</v>
      </c>
      <c r="F29" s="1"/>
      <c r="G29" s="1"/>
      <c r="H29" s="1" t="s">
        <v>7</v>
      </c>
      <c r="I29" s="1" t="s">
        <v>3</v>
      </c>
      <c r="J29" s="1" t="s">
        <v>14</v>
      </c>
      <c r="K29" s="1" t="s">
        <v>9</v>
      </c>
      <c r="L29" s="1" t="s">
        <v>11</v>
      </c>
      <c r="M29" s="1" t="s">
        <v>0</v>
      </c>
      <c r="N29" s="1" t="s">
        <v>13</v>
      </c>
      <c r="O29" s="1" t="s">
        <v>5</v>
      </c>
      <c r="P29" s="1" t="s">
        <v>5</v>
      </c>
      <c r="Q29" s="1">
        <f>-100*(COUNTIF(t_BDD8[[#This Row],[ville 1 déjà faites]:[ville 8 déjà faites]],t_BDD8[[#This Row],[Attrib]]))*(t_BDD8[[#This Row],[Attrib]]&lt;&gt;"(rien)")-(t_BDD8[[#This Row],[Attrib]]="(rien)")</f>
        <v>-100</v>
      </c>
      <c r="R29" s="1"/>
      <c r="S29" s="1"/>
      <c r="T29" s="1"/>
      <c r="U29" s="1"/>
      <c r="V29" s="1"/>
      <c r="W29" s="1"/>
      <c r="X29" s="1"/>
      <c r="Y29" s="1"/>
      <c r="Z29" s="1"/>
      <c r="AA29" t="s">
        <v>249</v>
      </c>
      <c r="AB29" s="1">
        <f>SUM(AB32:AP34)</f>
        <v>0</v>
      </c>
    </row>
    <row r="30" spans="1:43" x14ac:dyDescent="0.25">
      <c r="A30" s="1" t="s">
        <v>55</v>
      </c>
      <c r="B30" s="1" t="s">
        <v>16</v>
      </c>
      <c r="C30" s="1" t="s">
        <v>6</v>
      </c>
      <c r="D30" s="1" t="s">
        <v>4</v>
      </c>
      <c r="E30" s="1" t="s">
        <v>1</v>
      </c>
      <c r="F30" s="1"/>
      <c r="G30" s="1"/>
      <c r="H30" s="1" t="s">
        <v>6</v>
      </c>
      <c r="I30" s="1" t="s">
        <v>1</v>
      </c>
      <c r="J30" s="1" t="s">
        <v>4</v>
      </c>
      <c r="K30" s="1" t="s">
        <v>2</v>
      </c>
      <c r="L30" s="1" t="s">
        <v>7</v>
      </c>
      <c r="M30" s="1" t="s">
        <v>3</v>
      </c>
      <c r="N30" s="1" t="s">
        <v>5</v>
      </c>
      <c r="O30" s="1" t="s">
        <v>14</v>
      </c>
      <c r="P30" s="1" t="s">
        <v>14</v>
      </c>
      <c r="Q30" s="1">
        <f>-100*(COUNTIF(t_BDD8[[#This Row],[ville 1 déjà faites]:[ville 8 déjà faites]],t_BDD8[[#This Row],[Attrib]]))*(t_BDD8[[#This Row],[Attrib]]&lt;&gt;"(rien)")-(t_BDD8[[#This Row],[Attrib]]="(rien)")</f>
        <v>-100</v>
      </c>
      <c r="R30" s="1"/>
      <c r="S30" s="1"/>
      <c r="T30" s="1"/>
      <c r="U30" s="1"/>
      <c r="V30" s="1"/>
      <c r="W30" s="1"/>
      <c r="X30" s="1"/>
      <c r="Y30" s="1"/>
      <c r="Z30" s="1"/>
      <c r="AA30" t="s">
        <v>250</v>
      </c>
      <c r="AB30" s="1">
        <f>COUNTIF(AB32:AP34,"&gt;0")</f>
        <v>0</v>
      </c>
    </row>
    <row r="31" spans="1:43" x14ac:dyDescent="0.25">
      <c r="A31" s="1" t="s">
        <v>56</v>
      </c>
      <c r="B31" s="1" t="s">
        <v>16</v>
      </c>
      <c r="C31" s="1" t="s">
        <v>5</v>
      </c>
      <c r="D31" s="1" t="s">
        <v>5</v>
      </c>
      <c r="E31" s="1" t="s">
        <v>7</v>
      </c>
      <c r="F31" s="1"/>
      <c r="G31" s="1"/>
      <c r="H31" s="1" t="s">
        <v>5</v>
      </c>
      <c r="I31" s="1" t="s">
        <v>7</v>
      </c>
      <c r="J31" s="1" t="s">
        <v>2</v>
      </c>
      <c r="K31" s="1" t="s">
        <v>13</v>
      </c>
      <c r="L31" s="1" t="s">
        <v>11</v>
      </c>
      <c r="M31" s="1" t="s">
        <v>14</v>
      </c>
      <c r="N31" s="1" t="s">
        <v>6</v>
      </c>
      <c r="O31" s="1" t="s">
        <v>3</v>
      </c>
      <c r="P31" s="1" t="s">
        <v>3</v>
      </c>
      <c r="Q31" s="1">
        <f>-100*(COUNTIF(t_BDD8[[#This Row],[ville 1 déjà faites]:[ville 8 déjà faites]],t_BDD8[[#This Row],[Attrib]]))*(t_BDD8[[#This Row],[Attrib]]&lt;&gt;"(rien)")-(t_BDD8[[#This Row],[Attrib]]="(rien)")</f>
        <v>-100</v>
      </c>
      <c r="R31" s="1"/>
      <c r="S31" s="1"/>
      <c r="T31" s="1"/>
      <c r="U31" s="1"/>
      <c r="V31" s="1"/>
      <c r="W31" s="1"/>
      <c r="X31" s="1"/>
      <c r="Y31" s="1"/>
      <c r="Z31" s="1"/>
      <c r="AA31" s="49" t="s">
        <v>231</v>
      </c>
      <c r="AB31" s="50" t="s">
        <v>0</v>
      </c>
      <c r="AC31" s="50" t="s">
        <v>1</v>
      </c>
      <c r="AD31" s="50" t="s">
        <v>2</v>
      </c>
      <c r="AE31" s="50" t="s">
        <v>3</v>
      </c>
      <c r="AF31" s="50" t="s">
        <v>4</v>
      </c>
      <c r="AG31" s="50" t="s">
        <v>5</v>
      </c>
      <c r="AH31" s="50" t="s">
        <v>6</v>
      </c>
      <c r="AI31" s="50" t="s">
        <v>7</v>
      </c>
      <c r="AJ31" s="50" t="s">
        <v>8</v>
      </c>
      <c r="AK31" s="50" t="s">
        <v>9</v>
      </c>
      <c r="AL31" s="50" t="s">
        <v>10</v>
      </c>
      <c r="AM31" s="50" t="s">
        <v>11</v>
      </c>
      <c r="AN31" s="50" t="s">
        <v>12</v>
      </c>
      <c r="AO31" s="50" t="s">
        <v>13</v>
      </c>
      <c r="AP31" s="50" t="s">
        <v>14</v>
      </c>
    </row>
    <row r="32" spans="1:43" x14ac:dyDescent="0.25">
      <c r="A32" s="1" t="s">
        <v>57</v>
      </c>
      <c r="B32" s="1" t="s">
        <v>16</v>
      </c>
      <c r="C32" s="1" t="s">
        <v>12</v>
      </c>
      <c r="D32" s="1" t="s">
        <v>11</v>
      </c>
      <c r="E32" s="1" t="s">
        <v>6</v>
      </c>
      <c r="F32" s="1"/>
      <c r="G32" s="1"/>
      <c r="H32" s="1" t="s">
        <v>12</v>
      </c>
      <c r="I32" s="1" t="s">
        <v>11</v>
      </c>
      <c r="J32" s="1" t="s">
        <v>6</v>
      </c>
      <c r="K32" s="1" t="s">
        <v>3</v>
      </c>
      <c r="L32" s="1" t="s">
        <v>9</v>
      </c>
      <c r="M32" s="1" t="s">
        <v>13</v>
      </c>
      <c r="N32" s="1" t="s">
        <v>14</v>
      </c>
      <c r="O32" s="1" t="s">
        <v>0</v>
      </c>
      <c r="P32" s="1" t="s">
        <v>0</v>
      </c>
      <c r="Q32" s="1">
        <f>-100*(COUNTIF(t_BDD8[[#This Row],[ville 1 déjà faites]:[ville 8 déjà faites]],t_BDD8[[#This Row],[Attrib]]))*(t_BDD8[[#This Row],[Attrib]]&lt;&gt;"(rien)")-(t_BDD8[[#This Row],[Attrib]]="(rien)")</f>
        <v>-100</v>
      </c>
      <c r="R32" s="1"/>
      <c r="S32" s="1"/>
      <c r="T32" s="1"/>
      <c r="U32" s="1"/>
      <c r="V32" s="1"/>
      <c r="W32" s="1"/>
      <c r="X32" s="1"/>
      <c r="Y32" s="1"/>
      <c r="Z32" s="1"/>
      <c r="AA32" s="48" t="s">
        <v>16</v>
      </c>
      <c r="AB32" s="46">
        <f t="shared" ref="AB32:AP32" si="1">MAX(0,+AB18-AB24)</f>
        <v>0</v>
      </c>
      <c r="AC32" s="46">
        <f t="shared" si="1"/>
        <v>0</v>
      </c>
      <c r="AD32" s="46">
        <f t="shared" si="1"/>
        <v>0</v>
      </c>
      <c r="AE32" s="46">
        <f t="shared" si="1"/>
        <v>0</v>
      </c>
      <c r="AF32" s="46">
        <f t="shared" si="1"/>
        <v>0</v>
      </c>
      <c r="AG32" s="46">
        <f t="shared" si="1"/>
        <v>0</v>
      </c>
      <c r="AH32" s="46">
        <f t="shared" si="1"/>
        <v>0</v>
      </c>
      <c r="AI32" s="46">
        <f t="shared" si="1"/>
        <v>0</v>
      </c>
      <c r="AJ32" s="46">
        <f t="shared" si="1"/>
        <v>0</v>
      </c>
      <c r="AK32" s="46">
        <f t="shared" si="1"/>
        <v>0</v>
      </c>
      <c r="AL32" s="46">
        <f t="shared" si="1"/>
        <v>0</v>
      </c>
      <c r="AM32" s="46">
        <f t="shared" si="1"/>
        <v>0</v>
      </c>
      <c r="AN32" s="46">
        <f t="shared" si="1"/>
        <v>0</v>
      </c>
      <c r="AO32" s="46">
        <f t="shared" si="1"/>
        <v>0</v>
      </c>
      <c r="AP32" s="46">
        <f t="shared" si="1"/>
        <v>0</v>
      </c>
    </row>
    <row r="33" spans="1:42" x14ac:dyDescent="0.25">
      <c r="A33" s="1" t="s">
        <v>58</v>
      </c>
      <c r="B33" s="1" t="s">
        <v>16</v>
      </c>
      <c r="C33" s="1" t="s">
        <v>0</v>
      </c>
      <c r="D33" s="1" t="s">
        <v>6</v>
      </c>
      <c r="E33" s="1" t="s">
        <v>5</v>
      </c>
      <c r="F33" s="1"/>
      <c r="G33" s="1"/>
      <c r="H33" s="1" t="s">
        <v>0</v>
      </c>
      <c r="I33" s="1" t="s">
        <v>6</v>
      </c>
      <c r="J33" s="1" t="s">
        <v>5</v>
      </c>
      <c r="K33" s="1" t="s">
        <v>4</v>
      </c>
      <c r="L33" s="1" t="s">
        <v>1</v>
      </c>
      <c r="M33" s="1" t="s">
        <v>11</v>
      </c>
      <c r="N33" s="1" t="s">
        <v>9</v>
      </c>
      <c r="O33" s="1" t="s">
        <v>12</v>
      </c>
      <c r="P33" s="1" t="s">
        <v>12</v>
      </c>
      <c r="Q33" s="1">
        <f>-100*(COUNTIF(t_BDD8[[#This Row],[ville 1 déjà faites]:[ville 8 déjà faites]],t_BDD8[[#This Row],[Attrib]]))*(t_BDD8[[#This Row],[Attrib]]&lt;&gt;"(rien)")-(t_BDD8[[#This Row],[Attrib]]="(rien)")</f>
        <v>-100</v>
      </c>
      <c r="R33" s="1"/>
      <c r="S33" s="1"/>
      <c r="T33" s="1"/>
      <c r="U33" s="1"/>
      <c r="V33" s="1"/>
      <c r="W33" s="1"/>
      <c r="X33" s="1"/>
      <c r="Y33" s="1"/>
      <c r="Z33" s="1"/>
      <c r="AA33" s="5" t="s">
        <v>34</v>
      </c>
      <c r="AB33" s="46">
        <f t="shared" ref="AB33:AP33" si="2">MAX(0,+AB19-AB25)</f>
        <v>0</v>
      </c>
      <c r="AC33" s="46">
        <f t="shared" si="2"/>
        <v>0</v>
      </c>
      <c r="AD33" s="46">
        <f t="shared" si="2"/>
        <v>0</v>
      </c>
      <c r="AE33" s="46">
        <f t="shared" si="2"/>
        <v>0</v>
      </c>
      <c r="AF33" s="46">
        <f t="shared" si="2"/>
        <v>0</v>
      </c>
      <c r="AG33" s="46">
        <f t="shared" si="2"/>
        <v>0</v>
      </c>
      <c r="AH33" s="46">
        <f t="shared" si="2"/>
        <v>0</v>
      </c>
      <c r="AI33" s="46">
        <f t="shared" si="2"/>
        <v>0</v>
      </c>
      <c r="AJ33" s="46">
        <f t="shared" si="2"/>
        <v>0</v>
      </c>
      <c r="AK33" s="46">
        <f t="shared" si="2"/>
        <v>0</v>
      </c>
      <c r="AL33" s="46">
        <f t="shared" si="2"/>
        <v>0</v>
      </c>
      <c r="AM33" s="46">
        <f t="shared" si="2"/>
        <v>0</v>
      </c>
      <c r="AN33" s="46">
        <f t="shared" si="2"/>
        <v>0</v>
      </c>
      <c r="AO33" s="46">
        <f t="shared" si="2"/>
        <v>0</v>
      </c>
      <c r="AP33" s="46">
        <f t="shared" si="2"/>
        <v>0</v>
      </c>
    </row>
    <row r="34" spans="1:42" x14ac:dyDescent="0.25">
      <c r="A34" s="1" t="s">
        <v>59</v>
      </c>
      <c r="B34" s="1" t="s">
        <v>16</v>
      </c>
      <c r="C34" s="1" t="s">
        <v>1</v>
      </c>
      <c r="D34" s="1" t="s">
        <v>8</v>
      </c>
      <c r="E34" s="1" t="s">
        <v>14</v>
      </c>
      <c r="F34" s="1"/>
      <c r="G34" s="1"/>
      <c r="H34" s="1" t="s">
        <v>1</v>
      </c>
      <c r="I34" s="1" t="s">
        <v>8</v>
      </c>
      <c r="J34" s="1" t="s">
        <v>14</v>
      </c>
      <c r="K34" s="1" t="s">
        <v>0</v>
      </c>
      <c r="L34" s="1" t="s">
        <v>11</v>
      </c>
      <c r="M34" s="1" t="s">
        <v>4</v>
      </c>
      <c r="N34" s="1" t="s">
        <v>7</v>
      </c>
      <c r="O34" s="1" t="s">
        <v>6</v>
      </c>
      <c r="P34" s="1" t="s">
        <v>6</v>
      </c>
      <c r="Q34" s="1">
        <f>-100*(COUNTIF(t_BDD8[[#This Row],[ville 1 déjà faites]:[ville 8 déjà faites]],t_BDD8[[#This Row],[Attrib]]))*(t_BDD8[[#This Row],[Attrib]]&lt;&gt;"(rien)")-(t_BDD8[[#This Row],[Attrib]]="(rien)")</f>
        <v>-100</v>
      </c>
      <c r="R34" s="1"/>
      <c r="S34" s="1"/>
      <c r="T34" s="1"/>
      <c r="U34" s="1"/>
      <c r="V34" s="1"/>
      <c r="W34" s="1"/>
      <c r="X34" s="1"/>
      <c r="Y34" s="1"/>
      <c r="Z34" s="1"/>
      <c r="AA34" s="51" t="s">
        <v>33</v>
      </c>
      <c r="AB34" s="47">
        <f t="shared" ref="AB34:AP34" si="3">MAX(0,+AB20-AB26)</f>
        <v>0</v>
      </c>
      <c r="AC34" s="47">
        <f t="shared" si="3"/>
        <v>0</v>
      </c>
      <c r="AD34" s="47">
        <f t="shared" si="3"/>
        <v>0</v>
      </c>
      <c r="AE34" s="47">
        <f t="shared" si="3"/>
        <v>0</v>
      </c>
      <c r="AF34" s="47">
        <f t="shared" si="3"/>
        <v>0</v>
      </c>
      <c r="AG34" s="47">
        <f t="shared" si="3"/>
        <v>0</v>
      </c>
      <c r="AH34" s="47">
        <f t="shared" si="3"/>
        <v>0</v>
      </c>
      <c r="AI34" s="47">
        <f t="shared" si="3"/>
        <v>0</v>
      </c>
      <c r="AJ34" s="47">
        <f t="shared" si="3"/>
        <v>0</v>
      </c>
      <c r="AK34" s="47">
        <f t="shared" si="3"/>
        <v>0</v>
      </c>
      <c r="AL34" s="47">
        <f t="shared" si="3"/>
        <v>0</v>
      </c>
      <c r="AM34" s="47">
        <f t="shared" si="3"/>
        <v>0</v>
      </c>
      <c r="AN34" s="47">
        <f t="shared" si="3"/>
        <v>0</v>
      </c>
      <c r="AO34" s="47">
        <f t="shared" si="3"/>
        <v>0</v>
      </c>
      <c r="AP34" s="47">
        <f t="shared" si="3"/>
        <v>0</v>
      </c>
    </row>
    <row r="35" spans="1:42" x14ac:dyDescent="0.25">
      <c r="A35" s="1" t="s">
        <v>60</v>
      </c>
      <c r="B35" s="1" t="s">
        <v>16</v>
      </c>
      <c r="C35" s="1" t="s">
        <v>14</v>
      </c>
      <c r="D35" s="1" t="s">
        <v>0</v>
      </c>
      <c r="E35" s="1" t="s">
        <v>3</v>
      </c>
      <c r="F35" s="1"/>
      <c r="G35" s="1"/>
      <c r="H35" s="1" t="s">
        <v>14</v>
      </c>
      <c r="I35" s="1" t="s">
        <v>0</v>
      </c>
      <c r="J35" s="1" t="s">
        <v>4</v>
      </c>
      <c r="K35" s="1" t="s">
        <v>3</v>
      </c>
      <c r="L35" s="1" t="s">
        <v>6</v>
      </c>
      <c r="M35" s="1" t="s">
        <v>2</v>
      </c>
      <c r="N35" s="1" t="s">
        <v>1</v>
      </c>
      <c r="O35" s="1" t="s">
        <v>13</v>
      </c>
      <c r="P35" s="1" t="s">
        <v>13</v>
      </c>
      <c r="Q35" s="1">
        <f>-100*(COUNTIF(t_BDD8[[#This Row],[ville 1 déjà faites]:[ville 8 déjà faites]],t_BDD8[[#This Row],[Attrib]]))*(t_BDD8[[#This Row],[Attrib]]&lt;&gt;"(rien)")-(t_BDD8[[#This Row],[Attrib]]="(rien)")</f>
        <v>-100</v>
      </c>
      <c r="R35" s="1"/>
      <c r="S35" s="1"/>
      <c r="T35" s="1"/>
      <c r="U35" s="1"/>
      <c r="V35" s="1"/>
      <c r="W35" s="1"/>
      <c r="X35" s="1"/>
      <c r="Y35" s="1"/>
      <c r="Z35" s="1"/>
    </row>
    <row r="36" spans="1:42" x14ac:dyDescent="0.25">
      <c r="A36" s="1" t="s">
        <v>61</v>
      </c>
      <c r="B36" s="1" t="s">
        <v>16</v>
      </c>
      <c r="C36" s="1" t="s">
        <v>3</v>
      </c>
      <c r="D36" s="1" t="s">
        <v>11</v>
      </c>
      <c r="E36" s="1" t="s">
        <v>0</v>
      </c>
      <c r="F36" s="1"/>
      <c r="G36" s="1"/>
      <c r="H36" s="1" t="s">
        <v>3</v>
      </c>
      <c r="I36" s="1" t="s">
        <v>11</v>
      </c>
      <c r="J36" s="1" t="s">
        <v>0</v>
      </c>
      <c r="K36" s="1" t="s">
        <v>13</v>
      </c>
      <c r="L36" s="1" t="s">
        <v>14</v>
      </c>
      <c r="M36" s="1" t="s">
        <v>8</v>
      </c>
      <c r="N36" s="1" t="s">
        <v>2</v>
      </c>
      <c r="O36" s="1" t="s">
        <v>9</v>
      </c>
      <c r="P36" s="1" t="s">
        <v>9</v>
      </c>
      <c r="Q36" s="1">
        <f>-100*(COUNTIF(t_BDD8[[#This Row],[ville 1 déjà faites]:[ville 8 déjà faites]],t_BDD8[[#This Row],[Attrib]]))*(t_BDD8[[#This Row],[Attrib]]&lt;&gt;"(rien)")-(t_BDD8[[#This Row],[Attrib]]="(rien)")</f>
        <v>-100</v>
      </c>
      <c r="R36" s="1"/>
      <c r="S36" s="1"/>
      <c r="T36" s="1"/>
      <c r="U36" s="1"/>
      <c r="V36" s="1"/>
      <c r="W36" s="1"/>
      <c r="X36" s="1"/>
      <c r="Y36" s="1"/>
      <c r="Z36" s="1"/>
    </row>
    <row r="37" spans="1:42" x14ac:dyDescent="0.25">
      <c r="A37" s="1" t="s">
        <v>62</v>
      </c>
      <c r="B37" s="1" t="s">
        <v>16</v>
      </c>
      <c r="C37" s="1" t="s">
        <v>11</v>
      </c>
      <c r="D37" s="1" t="s">
        <v>5</v>
      </c>
      <c r="E37" s="1" t="s">
        <v>12</v>
      </c>
      <c r="F37" s="1"/>
      <c r="G37" s="1"/>
      <c r="H37" s="1" t="s">
        <v>11</v>
      </c>
      <c r="I37" s="1" t="s">
        <v>5</v>
      </c>
      <c r="J37" s="1" t="s">
        <v>1</v>
      </c>
      <c r="K37" s="1" t="s">
        <v>13</v>
      </c>
      <c r="L37" s="1" t="s">
        <v>12</v>
      </c>
      <c r="M37" s="1" t="s">
        <v>3</v>
      </c>
      <c r="N37" s="1" t="s">
        <v>7</v>
      </c>
      <c r="O37" s="1" t="s">
        <v>6</v>
      </c>
      <c r="P37" s="1" t="s">
        <v>6</v>
      </c>
      <c r="Q37" s="1">
        <f>-100*(COUNTIF(t_BDD8[[#This Row],[ville 1 déjà faites]:[ville 8 déjà faites]],t_BDD8[[#This Row],[Attrib]]))*(t_BDD8[[#This Row],[Attrib]]&lt;&gt;"(rien)")-(t_BDD8[[#This Row],[Attrib]]="(rien)")</f>
        <v>-100</v>
      </c>
      <c r="R37" s="1"/>
      <c r="S37" s="1"/>
      <c r="T37" s="1"/>
      <c r="U37" s="1"/>
      <c r="V37" s="1"/>
      <c r="W37" s="1"/>
      <c r="X37" s="1"/>
      <c r="Y37" s="1"/>
      <c r="Z37" s="1"/>
    </row>
    <row r="38" spans="1:42" x14ac:dyDescent="0.25">
      <c r="A38" s="1" t="s">
        <v>63</v>
      </c>
      <c r="B38" s="1" t="s">
        <v>16</v>
      </c>
      <c r="C38" s="1" t="s">
        <v>2</v>
      </c>
      <c r="D38" s="1" t="s">
        <v>6</v>
      </c>
      <c r="E38" s="1" t="s">
        <v>3</v>
      </c>
      <c r="F38" s="1"/>
      <c r="G38" s="1"/>
      <c r="H38" s="1" t="s">
        <v>2</v>
      </c>
      <c r="I38" s="1" t="s">
        <v>6</v>
      </c>
      <c r="J38" s="1" t="s">
        <v>3</v>
      </c>
      <c r="K38" s="1" t="s">
        <v>7</v>
      </c>
      <c r="L38" s="1" t="s">
        <v>8</v>
      </c>
      <c r="M38" s="1" t="s">
        <v>1</v>
      </c>
      <c r="N38" s="1" t="s">
        <v>10</v>
      </c>
      <c r="O38" s="1" t="s">
        <v>13</v>
      </c>
      <c r="P38" s="1" t="s">
        <v>13</v>
      </c>
      <c r="Q38" s="1">
        <f>-100*(COUNTIF(t_BDD8[[#This Row],[ville 1 déjà faites]:[ville 8 déjà faites]],t_BDD8[[#This Row],[Attrib]]))*(t_BDD8[[#This Row],[Attrib]]&lt;&gt;"(rien)")-(t_BDD8[[#This Row],[Attrib]]="(rien)")</f>
        <v>-100</v>
      </c>
      <c r="R38" s="1"/>
      <c r="S38" s="1"/>
      <c r="T38" s="1"/>
      <c r="U38" s="1"/>
      <c r="V38" s="1"/>
      <c r="W38" s="1"/>
      <c r="X38" s="1"/>
      <c r="Y38" s="1"/>
      <c r="Z38" s="1"/>
      <c r="AA38" s="3" t="s">
        <v>232</v>
      </c>
      <c r="AB38" s="4" t="s">
        <v>233</v>
      </c>
    </row>
    <row r="39" spans="1:42" x14ac:dyDescent="0.25">
      <c r="A39" s="1" t="s">
        <v>64</v>
      </c>
      <c r="B39" s="1" t="s">
        <v>16</v>
      </c>
      <c r="C39" s="1" t="s">
        <v>5</v>
      </c>
      <c r="D39" s="1" t="s">
        <v>1</v>
      </c>
      <c r="E39" s="1" t="s">
        <v>7</v>
      </c>
      <c r="F39" s="1"/>
      <c r="G39" s="1"/>
      <c r="H39" s="1" t="s">
        <v>5</v>
      </c>
      <c r="I39" s="1" t="s">
        <v>1</v>
      </c>
      <c r="J39" s="1" t="s">
        <v>7</v>
      </c>
      <c r="K39" s="1" t="s">
        <v>4</v>
      </c>
      <c r="L39" s="1" t="s">
        <v>3</v>
      </c>
      <c r="M39" s="1" t="s">
        <v>10</v>
      </c>
      <c r="N39" s="1" t="s">
        <v>2</v>
      </c>
      <c r="O39" s="1" t="s">
        <v>11</v>
      </c>
      <c r="P39" s="1" t="s">
        <v>11</v>
      </c>
      <c r="Q39" s="1">
        <f>-100*(COUNTIF(t_BDD8[[#This Row],[ville 1 déjà faites]:[ville 8 déjà faites]],t_BDD8[[#This Row],[Attrib]]))*(t_BDD8[[#This Row],[Attrib]]&lt;&gt;"(rien)")-(t_BDD8[[#This Row],[Attrib]]="(rien)")</f>
        <v>-100</v>
      </c>
      <c r="R39" s="1"/>
      <c r="S39" s="1"/>
      <c r="T39" s="1"/>
      <c r="U39" s="1"/>
      <c r="V39" s="1"/>
      <c r="W39" s="1"/>
      <c r="X39" s="1"/>
      <c r="Y39" s="1"/>
      <c r="Z39" s="1"/>
      <c r="AA39" s="5" t="s">
        <v>16</v>
      </c>
      <c r="AB39" s="6">
        <f>COUNTIF(t_BDD8[grade],AA39)</f>
        <v>39</v>
      </c>
    </row>
    <row r="40" spans="1:42" x14ac:dyDescent="0.25">
      <c r="A40" s="1" t="s">
        <v>65</v>
      </c>
      <c r="B40" s="1" t="s">
        <v>16</v>
      </c>
      <c r="C40" s="1" t="s">
        <v>3</v>
      </c>
      <c r="D40" s="1" t="s">
        <v>4</v>
      </c>
      <c r="E40" s="1" t="s">
        <v>11</v>
      </c>
      <c r="F40" s="1"/>
      <c r="G40" s="1"/>
      <c r="H40" s="1" t="s">
        <v>3</v>
      </c>
      <c r="I40" s="1" t="s">
        <v>4</v>
      </c>
      <c r="J40" s="1" t="s">
        <v>11</v>
      </c>
      <c r="K40" s="1" t="s">
        <v>8</v>
      </c>
      <c r="L40" s="1" t="s">
        <v>7</v>
      </c>
      <c r="M40" s="1" t="s">
        <v>6</v>
      </c>
      <c r="N40" s="1" t="s">
        <v>0</v>
      </c>
      <c r="O40" s="1" t="s">
        <v>9</v>
      </c>
      <c r="P40" s="1" t="s">
        <v>9</v>
      </c>
      <c r="Q40" s="1">
        <f>-100*(COUNTIF(t_BDD8[[#This Row],[ville 1 déjà faites]:[ville 8 déjà faites]],t_BDD8[[#This Row],[Attrib]]))*(t_BDD8[[#This Row],[Attrib]]&lt;&gt;"(rien)")-(t_BDD8[[#This Row],[Attrib]]="(rien)")</f>
        <v>-100</v>
      </c>
      <c r="R40" s="1"/>
      <c r="S40" s="1"/>
      <c r="T40" s="1"/>
      <c r="U40" s="1"/>
      <c r="V40" s="1"/>
      <c r="W40" s="1"/>
      <c r="X40" s="1"/>
      <c r="Y40" s="1"/>
      <c r="Z40" s="1"/>
      <c r="AA40" s="5" t="s">
        <v>34</v>
      </c>
      <c r="AB40" s="6">
        <f>COUNTIF(t_BDD8[grade],AA40)</f>
        <v>46</v>
      </c>
    </row>
    <row r="41" spans="1:42" x14ac:dyDescent="0.25">
      <c r="A41" s="1" t="s">
        <v>66</v>
      </c>
      <c r="B41" s="1" t="s">
        <v>16</v>
      </c>
      <c r="C41" s="1" t="s">
        <v>5</v>
      </c>
      <c r="D41" s="1" t="s">
        <v>5</v>
      </c>
      <c r="E41" s="1" t="s">
        <v>0</v>
      </c>
      <c r="F41" s="1"/>
      <c r="G41" s="1"/>
      <c r="H41" s="1" t="s">
        <v>5</v>
      </c>
      <c r="I41" s="1" t="s">
        <v>11</v>
      </c>
      <c r="J41" s="1" t="s">
        <v>2</v>
      </c>
      <c r="K41" s="1" t="s">
        <v>0</v>
      </c>
      <c r="L41" s="1" t="s">
        <v>6</v>
      </c>
      <c r="M41" s="1" t="s">
        <v>4</v>
      </c>
      <c r="N41" s="1" t="s">
        <v>14</v>
      </c>
      <c r="O41" s="1" t="s">
        <v>3</v>
      </c>
      <c r="P41" s="1" t="s">
        <v>3</v>
      </c>
      <c r="Q41" s="1">
        <f>-100*(COUNTIF(t_BDD8[[#This Row],[ville 1 déjà faites]:[ville 8 déjà faites]],t_BDD8[[#This Row],[Attrib]]))*(t_BDD8[[#This Row],[Attrib]]&lt;&gt;"(rien)")-(t_BDD8[[#This Row],[Attrib]]="(rien)")</f>
        <v>-100</v>
      </c>
      <c r="R41" s="1"/>
      <c r="S41" s="1"/>
      <c r="T41" s="1"/>
      <c r="U41" s="1"/>
      <c r="V41" s="1"/>
      <c r="W41" s="1"/>
      <c r="X41" s="1"/>
      <c r="Y41" s="1"/>
      <c r="Z41" s="1"/>
      <c r="AA41" s="7" t="s">
        <v>33</v>
      </c>
      <c r="AB41" s="8">
        <f>COUNTIF(t_BDD8[grade],AA41)</f>
        <v>105</v>
      </c>
    </row>
    <row r="42" spans="1:42" x14ac:dyDescent="0.25">
      <c r="A42" s="1" t="s">
        <v>67</v>
      </c>
      <c r="B42" s="1" t="s">
        <v>16</v>
      </c>
      <c r="C42" s="1" t="s">
        <v>8</v>
      </c>
      <c r="D42" s="1" t="s">
        <v>0</v>
      </c>
      <c r="E42" s="1" t="s">
        <v>12</v>
      </c>
      <c r="F42" s="1"/>
      <c r="G42" s="1"/>
      <c r="H42" s="1" t="s">
        <v>8</v>
      </c>
      <c r="I42" s="1" t="s">
        <v>7</v>
      </c>
      <c r="J42" s="1" t="s">
        <v>0</v>
      </c>
      <c r="K42" s="1" t="s">
        <v>12</v>
      </c>
      <c r="L42" s="1" t="s">
        <v>3</v>
      </c>
      <c r="M42" s="1" t="s">
        <v>6</v>
      </c>
      <c r="N42" s="1" t="s">
        <v>1</v>
      </c>
      <c r="O42" s="1" t="s">
        <v>4</v>
      </c>
      <c r="P42" s="1" t="s">
        <v>4</v>
      </c>
      <c r="Q42" s="1">
        <f>-100*(COUNTIF(t_BDD8[[#This Row],[ville 1 déjà faites]:[ville 8 déjà faites]],t_BDD8[[#This Row],[Attrib]]))*(t_BDD8[[#This Row],[Attrib]]&lt;&gt;"(rien)")-(t_BDD8[[#This Row],[Attrib]]="(rien)")</f>
        <v>-100</v>
      </c>
      <c r="R42" s="1"/>
      <c r="S42" s="1"/>
      <c r="T42" s="1"/>
      <c r="U42" s="1"/>
      <c r="V42" s="1"/>
      <c r="W42" s="1"/>
      <c r="X42" s="1"/>
      <c r="Y42" s="1"/>
      <c r="Z42" s="1"/>
      <c r="AA42" s="7" t="s">
        <v>15</v>
      </c>
      <c r="AB42" s="8">
        <f>SUBTOTAL(109,Tableau611[Nombre])</f>
        <v>190</v>
      </c>
    </row>
    <row r="43" spans="1:42" x14ac:dyDescent="0.25">
      <c r="A43" s="1" t="s">
        <v>68</v>
      </c>
      <c r="B43" s="1" t="s">
        <v>16</v>
      </c>
      <c r="C43" s="1" t="s">
        <v>11</v>
      </c>
      <c r="D43" s="1" t="s">
        <v>4</v>
      </c>
      <c r="E43" s="1" t="s">
        <v>12</v>
      </c>
      <c r="F43" s="1"/>
      <c r="G43" s="1"/>
      <c r="H43" s="1" t="s">
        <v>11</v>
      </c>
      <c r="I43" s="1" t="s">
        <v>9</v>
      </c>
      <c r="J43" s="1" t="s">
        <v>4</v>
      </c>
      <c r="K43" s="1" t="s">
        <v>3</v>
      </c>
      <c r="L43" s="1" t="s">
        <v>6</v>
      </c>
      <c r="M43" s="1" t="s">
        <v>12</v>
      </c>
      <c r="N43" s="1" t="s">
        <v>8</v>
      </c>
      <c r="O43" s="1" t="s">
        <v>14</v>
      </c>
      <c r="P43" s="1" t="s">
        <v>14</v>
      </c>
      <c r="Q43" s="1">
        <f>-100*(COUNTIF(t_BDD8[[#This Row],[ville 1 déjà faites]:[ville 8 déjà faites]],t_BDD8[[#This Row],[Attrib]]))*(t_BDD8[[#This Row],[Attrib]]&lt;&gt;"(rien)")-(t_BDD8[[#This Row],[Attrib]]="(rien)")</f>
        <v>-100</v>
      </c>
      <c r="R43" s="1"/>
      <c r="S43" s="1"/>
      <c r="T43" s="1"/>
      <c r="U43" s="1"/>
      <c r="V43" s="1"/>
      <c r="W43" s="1"/>
      <c r="X43" s="1"/>
      <c r="Y43" s="1"/>
      <c r="Z43" s="1"/>
    </row>
    <row r="44" spans="1:42" x14ac:dyDescent="0.25">
      <c r="A44" s="1" t="s">
        <v>69</v>
      </c>
      <c r="B44" s="1" t="s">
        <v>16</v>
      </c>
      <c r="C44" s="1" t="s">
        <v>0</v>
      </c>
      <c r="D44" s="1" t="s">
        <v>5</v>
      </c>
      <c r="E44" s="1" t="s">
        <v>3</v>
      </c>
      <c r="F44" s="1"/>
      <c r="G44" s="1"/>
      <c r="H44" s="1" t="s">
        <v>0</v>
      </c>
      <c r="I44" s="1" t="s">
        <v>5</v>
      </c>
      <c r="J44" s="1" t="s">
        <v>3</v>
      </c>
      <c r="K44" s="1" t="s">
        <v>14</v>
      </c>
      <c r="L44" s="1" t="s">
        <v>9</v>
      </c>
      <c r="M44" s="1" t="s">
        <v>4</v>
      </c>
      <c r="N44" s="1" t="s">
        <v>13</v>
      </c>
      <c r="O44" s="1" t="s">
        <v>6</v>
      </c>
      <c r="P44" s="1" t="s">
        <v>6</v>
      </c>
      <c r="Q44" s="1">
        <f>-100*(COUNTIF(t_BDD8[[#This Row],[ville 1 déjà faites]:[ville 8 déjà faites]],t_BDD8[[#This Row],[Attrib]]))*(t_BDD8[[#This Row],[Attrib]]&lt;&gt;"(rien)")-(t_BDD8[[#This Row],[Attrib]]="(rien)")</f>
        <v>-100</v>
      </c>
      <c r="R44" s="1"/>
      <c r="S44" s="1"/>
      <c r="T44" s="1"/>
      <c r="U44" s="1"/>
      <c r="V44" s="1"/>
      <c r="W44" s="1"/>
      <c r="X44" s="1"/>
      <c r="Y44" s="1"/>
      <c r="Z44" s="1"/>
    </row>
    <row r="45" spans="1:42" x14ac:dyDescent="0.25">
      <c r="A45" s="1" t="s">
        <v>70</v>
      </c>
      <c r="B45" s="1" t="s">
        <v>16</v>
      </c>
      <c r="C45" s="1" t="s">
        <v>13</v>
      </c>
      <c r="D45" s="1" t="s">
        <v>2</v>
      </c>
      <c r="E45" s="1" t="s">
        <v>7</v>
      </c>
      <c r="F45" s="1"/>
      <c r="G45" s="1"/>
      <c r="H45" s="1" t="s">
        <v>13</v>
      </c>
      <c r="I45" s="1" t="s">
        <v>2</v>
      </c>
      <c r="J45" s="1" t="s">
        <v>7</v>
      </c>
      <c r="K45" s="1" t="s">
        <v>9</v>
      </c>
      <c r="L45" s="1" t="s">
        <v>10</v>
      </c>
      <c r="M45" s="1" t="s">
        <v>14</v>
      </c>
      <c r="N45" s="1" t="s">
        <v>6</v>
      </c>
      <c r="O45" s="1" t="s">
        <v>8</v>
      </c>
      <c r="P45" s="1" t="s">
        <v>8</v>
      </c>
      <c r="Q45" s="1">
        <f>-100*(COUNTIF(t_BDD8[[#This Row],[ville 1 déjà faites]:[ville 8 déjà faites]],t_BDD8[[#This Row],[Attrib]]))*(t_BDD8[[#This Row],[Attrib]]&lt;&gt;"(rien)")-(t_BDD8[[#This Row],[Attrib]]="(rien)")</f>
        <v>-100</v>
      </c>
      <c r="R45" s="1"/>
      <c r="S45" s="1"/>
      <c r="T45" s="1"/>
      <c r="U45" s="1"/>
      <c r="V45" s="1"/>
      <c r="W45" s="1"/>
      <c r="X45" s="1"/>
      <c r="Y45" s="1"/>
      <c r="Z45" s="1"/>
    </row>
    <row r="46" spans="1:42" x14ac:dyDescent="0.25">
      <c r="A46" s="1" t="s">
        <v>71</v>
      </c>
      <c r="B46" s="1" t="s">
        <v>16</v>
      </c>
      <c r="C46" s="1" t="s">
        <v>11</v>
      </c>
      <c r="D46" s="1" t="s">
        <v>8</v>
      </c>
      <c r="E46" s="1" t="s">
        <v>1</v>
      </c>
      <c r="F46" s="1"/>
      <c r="G46" s="1"/>
      <c r="H46" s="1" t="s">
        <v>11</v>
      </c>
      <c r="I46" s="1" t="s">
        <v>8</v>
      </c>
      <c r="J46" s="1" t="s">
        <v>1</v>
      </c>
      <c r="K46" s="1" t="s">
        <v>14</v>
      </c>
      <c r="L46" s="1" t="s">
        <v>3</v>
      </c>
      <c r="M46" s="1" t="s">
        <v>4</v>
      </c>
      <c r="N46" s="1" t="s">
        <v>9</v>
      </c>
      <c r="O46" s="1" t="s">
        <v>13</v>
      </c>
      <c r="P46" s="1" t="s">
        <v>13</v>
      </c>
      <c r="Q46" s="1">
        <f>-100*(COUNTIF(t_BDD8[[#This Row],[ville 1 déjà faites]:[ville 8 déjà faites]],t_BDD8[[#This Row],[Attrib]]))*(t_BDD8[[#This Row],[Attrib]]&lt;&gt;"(rien)")-(t_BDD8[[#This Row],[Attrib]]="(rien)")</f>
        <v>-100</v>
      </c>
      <c r="R46" s="1"/>
      <c r="S46" s="1"/>
      <c r="T46" s="1"/>
      <c r="U46" s="1"/>
      <c r="V46" s="1"/>
      <c r="W46" s="1"/>
      <c r="X46" s="1"/>
      <c r="Y46" s="1"/>
      <c r="Z46" s="1"/>
    </row>
    <row r="47" spans="1:42" x14ac:dyDescent="0.25">
      <c r="A47" s="1" t="s">
        <v>72</v>
      </c>
      <c r="B47" s="1" t="s">
        <v>16</v>
      </c>
      <c r="C47" s="1" t="s">
        <v>10</v>
      </c>
      <c r="D47" s="1" t="s">
        <v>9</v>
      </c>
      <c r="E47" s="1" t="s">
        <v>0</v>
      </c>
      <c r="F47" s="1"/>
      <c r="G47" s="1"/>
      <c r="H47" s="1" t="s">
        <v>10</v>
      </c>
      <c r="I47" s="1" t="s">
        <v>9</v>
      </c>
      <c r="J47" s="1" t="s">
        <v>0</v>
      </c>
      <c r="K47" s="1" t="s">
        <v>1</v>
      </c>
      <c r="L47" s="1" t="s">
        <v>6</v>
      </c>
      <c r="M47" s="1" t="s">
        <v>3</v>
      </c>
      <c r="N47" s="1" t="s">
        <v>11</v>
      </c>
      <c r="O47" s="1" t="s">
        <v>2</v>
      </c>
      <c r="P47" s="1" t="s">
        <v>2</v>
      </c>
      <c r="Q47" s="1">
        <f>-100*(COUNTIF(t_BDD8[[#This Row],[ville 1 déjà faites]:[ville 8 déjà faites]],t_BDD8[[#This Row],[Attrib]]))*(t_BDD8[[#This Row],[Attrib]]&lt;&gt;"(rien)")-(t_BDD8[[#This Row],[Attrib]]="(rien)")</f>
        <v>-100</v>
      </c>
      <c r="R47" s="1"/>
      <c r="S47" s="1"/>
      <c r="T47" s="1"/>
      <c r="U47" s="1"/>
      <c r="V47" s="1"/>
      <c r="W47" s="1"/>
      <c r="X47" s="1"/>
      <c r="Y47" s="1"/>
      <c r="Z47" s="1"/>
    </row>
    <row r="48" spans="1:42" x14ac:dyDescent="0.25">
      <c r="A48" s="1" t="s">
        <v>73</v>
      </c>
      <c r="B48" s="1" t="s">
        <v>16</v>
      </c>
      <c r="C48" s="1" t="s">
        <v>6</v>
      </c>
      <c r="D48" s="1" t="s">
        <v>4</v>
      </c>
      <c r="E48" s="1" t="s">
        <v>13</v>
      </c>
      <c r="F48" s="1"/>
      <c r="G48" s="1"/>
      <c r="H48" s="1" t="s">
        <v>6</v>
      </c>
      <c r="I48" s="1" t="s">
        <v>13</v>
      </c>
      <c r="J48" s="1" t="s">
        <v>4</v>
      </c>
      <c r="K48" s="1" t="s">
        <v>5</v>
      </c>
      <c r="L48" s="1" t="s">
        <v>14</v>
      </c>
      <c r="M48" s="1" t="s">
        <v>7</v>
      </c>
      <c r="N48" s="1" t="s">
        <v>3</v>
      </c>
      <c r="O48" s="1" t="s">
        <v>0</v>
      </c>
      <c r="P48" s="1" t="s">
        <v>0</v>
      </c>
      <c r="Q48" s="1">
        <f>-100*(COUNTIF(t_BDD8[[#This Row],[ville 1 déjà faites]:[ville 8 déjà faites]],t_BDD8[[#This Row],[Attrib]]))*(t_BDD8[[#This Row],[Attrib]]&lt;&gt;"(rien)")-(t_BDD8[[#This Row],[Attrib]]="(rien)")</f>
        <v>-100</v>
      </c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 t="s">
        <v>74</v>
      </c>
      <c r="B49" s="1" t="s">
        <v>16</v>
      </c>
      <c r="C49" s="1" t="s">
        <v>2</v>
      </c>
      <c r="D49" s="1" t="s">
        <v>0</v>
      </c>
      <c r="E49" s="1" t="s">
        <v>13</v>
      </c>
      <c r="F49" s="1"/>
      <c r="G49" s="1"/>
      <c r="H49" s="1" t="s">
        <v>2</v>
      </c>
      <c r="I49" s="1" t="s">
        <v>0</v>
      </c>
      <c r="J49" s="1" t="s">
        <v>13</v>
      </c>
      <c r="K49" s="1" t="s">
        <v>6</v>
      </c>
      <c r="L49" s="1" t="s">
        <v>1</v>
      </c>
      <c r="M49" s="1" t="s">
        <v>8</v>
      </c>
      <c r="N49" s="1" t="s">
        <v>5</v>
      </c>
      <c r="O49" s="1" t="s">
        <v>7</v>
      </c>
      <c r="P49" s="1" t="s">
        <v>7</v>
      </c>
      <c r="Q49" s="1">
        <f>-100*(COUNTIF(t_BDD8[[#This Row],[ville 1 déjà faites]:[ville 8 déjà faites]],t_BDD8[[#This Row],[Attrib]]))*(t_BDD8[[#This Row],[Attrib]]&lt;&gt;"(rien)")-(t_BDD8[[#This Row],[Attrib]]="(rien)")</f>
        <v>-100</v>
      </c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 t="s">
        <v>75</v>
      </c>
      <c r="B50" s="1" t="s">
        <v>16</v>
      </c>
      <c r="C50" s="1" t="s">
        <v>14</v>
      </c>
      <c r="D50" s="1" t="s">
        <v>10</v>
      </c>
      <c r="E50" s="1" t="s">
        <v>13</v>
      </c>
      <c r="F50" s="1"/>
      <c r="G50" s="1"/>
      <c r="H50" s="1" t="s">
        <v>10</v>
      </c>
      <c r="I50" s="1" t="s">
        <v>14</v>
      </c>
      <c r="J50" s="1" t="s">
        <v>13</v>
      </c>
      <c r="K50" s="1" t="s">
        <v>6</v>
      </c>
      <c r="L50" s="1" t="s">
        <v>11</v>
      </c>
      <c r="M50" s="1" t="s">
        <v>2</v>
      </c>
      <c r="N50" s="1" t="s">
        <v>1</v>
      </c>
      <c r="O50" s="1" t="s">
        <v>8</v>
      </c>
      <c r="P50" s="1" t="s">
        <v>8</v>
      </c>
      <c r="Q50" s="1">
        <f>-100*(COUNTIF(t_BDD8[[#This Row],[ville 1 déjà faites]:[ville 8 déjà faites]],t_BDD8[[#This Row],[Attrib]]))*(t_BDD8[[#This Row],[Attrib]]&lt;&gt;"(rien)")-(t_BDD8[[#This Row],[Attrib]]="(rien)")</f>
        <v>-100</v>
      </c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 t="s">
        <v>76</v>
      </c>
      <c r="B51" s="1" t="s">
        <v>34</v>
      </c>
      <c r="C51" s="1" t="s">
        <v>13</v>
      </c>
      <c r="D51" s="1" t="s">
        <v>11</v>
      </c>
      <c r="E51" s="1" t="s">
        <v>8</v>
      </c>
      <c r="F51" s="1"/>
      <c r="G51" s="1"/>
      <c r="H51" s="1" t="s">
        <v>13</v>
      </c>
      <c r="I51" s="1" t="s">
        <v>11</v>
      </c>
      <c r="J51" s="1" t="s">
        <v>8</v>
      </c>
      <c r="K51" s="1" t="s">
        <v>7</v>
      </c>
      <c r="L51" s="1" t="s">
        <v>0</v>
      </c>
      <c r="M51" s="1" t="s">
        <v>2</v>
      </c>
      <c r="N51" s="1" t="s">
        <v>6</v>
      </c>
      <c r="O51" s="1" t="s">
        <v>1</v>
      </c>
      <c r="P51" s="1" t="s">
        <v>1</v>
      </c>
      <c r="Q51" s="1">
        <f>-100*(COUNTIF(t_BDD8[[#This Row],[ville 1 déjà faites]:[ville 8 déjà faites]],t_BDD8[[#This Row],[Attrib]]))*(t_BDD8[[#This Row],[Attrib]]&lt;&gt;"(rien)")-(t_BDD8[[#This Row],[Attrib]]="(rien)")</f>
        <v>-100</v>
      </c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 t="s">
        <v>77</v>
      </c>
      <c r="B52" s="1" t="s">
        <v>34</v>
      </c>
      <c r="C52" s="1" t="s">
        <v>1</v>
      </c>
      <c r="D52" s="1" t="s">
        <v>4</v>
      </c>
      <c r="E52" s="1" t="s">
        <v>8</v>
      </c>
      <c r="F52" s="1"/>
      <c r="G52" s="1"/>
      <c r="H52" s="1" t="s">
        <v>1</v>
      </c>
      <c r="I52" s="1" t="s">
        <v>4</v>
      </c>
      <c r="J52" s="1" t="s">
        <v>8</v>
      </c>
      <c r="K52" s="1" t="s">
        <v>7</v>
      </c>
      <c r="L52" s="1" t="s">
        <v>6</v>
      </c>
      <c r="M52" s="1" t="s">
        <v>11</v>
      </c>
      <c r="N52" s="1" t="s">
        <v>0</v>
      </c>
      <c r="O52" s="1" t="s">
        <v>10</v>
      </c>
      <c r="P52" s="1" t="s">
        <v>10</v>
      </c>
      <c r="Q52" s="1">
        <f>-100*(COUNTIF(t_BDD8[[#This Row],[ville 1 déjà faites]:[ville 8 déjà faites]],t_BDD8[[#This Row],[Attrib]]))*(t_BDD8[[#This Row],[Attrib]]&lt;&gt;"(rien)")-(t_BDD8[[#This Row],[Attrib]]="(rien)")</f>
        <v>-100</v>
      </c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 t="s">
        <v>78</v>
      </c>
      <c r="B53" s="1" t="s">
        <v>34</v>
      </c>
      <c r="C53" s="1" t="s">
        <v>14</v>
      </c>
      <c r="D53" s="1" t="s">
        <v>8</v>
      </c>
      <c r="E53" s="1" t="s">
        <v>2</v>
      </c>
      <c r="F53" s="1"/>
      <c r="G53" s="1"/>
      <c r="H53" s="1" t="s">
        <v>8</v>
      </c>
      <c r="I53" s="1" t="s">
        <v>14</v>
      </c>
      <c r="J53" s="1" t="s">
        <v>2</v>
      </c>
      <c r="K53" s="1" t="s">
        <v>11</v>
      </c>
      <c r="L53" s="1" t="s">
        <v>5</v>
      </c>
      <c r="M53" s="1" t="s">
        <v>7</v>
      </c>
      <c r="N53" s="1" t="s">
        <v>9</v>
      </c>
      <c r="O53" s="1" t="s">
        <v>3</v>
      </c>
      <c r="P53" s="1" t="s">
        <v>3</v>
      </c>
      <c r="Q53" s="1">
        <f>-100*(COUNTIF(t_BDD8[[#This Row],[ville 1 déjà faites]:[ville 8 déjà faites]],t_BDD8[[#This Row],[Attrib]]))*(t_BDD8[[#This Row],[Attrib]]&lt;&gt;"(rien)")-(t_BDD8[[#This Row],[Attrib]]="(rien)")</f>
        <v>-100</v>
      </c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 t="s">
        <v>79</v>
      </c>
      <c r="B54" s="1" t="s">
        <v>34</v>
      </c>
      <c r="C54" s="1" t="s">
        <v>8</v>
      </c>
      <c r="D54" s="1" t="s">
        <v>11</v>
      </c>
      <c r="E54" s="1" t="s">
        <v>11</v>
      </c>
      <c r="F54" s="1"/>
      <c r="G54" s="1"/>
      <c r="H54" s="1" t="s">
        <v>8</v>
      </c>
      <c r="I54" s="1" t="s">
        <v>11</v>
      </c>
      <c r="J54" s="1" t="s">
        <v>7</v>
      </c>
      <c r="K54" s="1" t="s">
        <v>3</v>
      </c>
      <c r="L54" s="1" t="s">
        <v>13</v>
      </c>
      <c r="M54" s="1" t="s">
        <v>14</v>
      </c>
      <c r="N54" s="1" t="s">
        <v>2</v>
      </c>
      <c r="O54" s="1" t="s">
        <v>0</v>
      </c>
      <c r="P54" s="1" t="s">
        <v>0</v>
      </c>
      <c r="Q54" s="1">
        <f>-100*(COUNTIF(t_BDD8[[#This Row],[ville 1 déjà faites]:[ville 8 déjà faites]],t_BDD8[[#This Row],[Attrib]]))*(t_BDD8[[#This Row],[Attrib]]&lt;&gt;"(rien)")-(t_BDD8[[#This Row],[Attrib]]="(rien)")</f>
        <v>-100</v>
      </c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 t="s">
        <v>80</v>
      </c>
      <c r="B55" s="1" t="s">
        <v>34</v>
      </c>
      <c r="C55" s="1" t="s">
        <v>10</v>
      </c>
      <c r="D55" s="1" t="s">
        <v>13</v>
      </c>
      <c r="E55" s="1" t="s">
        <v>5</v>
      </c>
      <c r="F55" s="1"/>
      <c r="G55" s="1"/>
      <c r="H55" s="1" t="s">
        <v>10</v>
      </c>
      <c r="I55" s="1" t="s">
        <v>13</v>
      </c>
      <c r="J55" s="1" t="s">
        <v>5</v>
      </c>
      <c r="K55" s="1" t="s">
        <v>6</v>
      </c>
      <c r="L55" s="1" t="s">
        <v>7</v>
      </c>
      <c r="M55" s="1" t="s">
        <v>11</v>
      </c>
      <c r="N55" s="1" t="s">
        <v>1</v>
      </c>
      <c r="O55" s="1" t="s">
        <v>14</v>
      </c>
      <c r="P55" s="1" t="s">
        <v>14</v>
      </c>
      <c r="Q55" s="1">
        <f>-100*(COUNTIF(t_BDD8[[#This Row],[ville 1 déjà faites]:[ville 8 déjà faites]],t_BDD8[[#This Row],[Attrib]]))*(t_BDD8[[#This Row],[Attrib]]&lt;&gt;"(rien)")-(t_BDD8[[#This Row],[Attrib]]="(rien)")</f>
        <v>-100</v>
      </c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 t="s">
        <v>81</v>
      </c>
      <c r="B56" s="1" t="s">
        <v>34</v>
      </c>
      <c r="C56" s="1" t="s">
        <v>6</v>
      </c>
      <c r="D56" s="1" t="s">
        <v>5</v>
      </c>
      <c r="E56" s="1" t="s">
        <v>9</v>
      </c>
      <c r="F56" s="1"/>
      <c r="G56" s="1"/>
      <c r="H56" s="1" t="s">
        <v>5</v>
      </c>
      <c r="I56" s="1" t="s">
        <v>6</v>
      </c>
      <c r="J56" s="1" t="s">
        <v>9</v>
      </c>
      <c r="K56" s="1" t="s">
        <v>1</v>
      </c>
      <c r="L56" s="1" t="s">
        <v>2</v>
      </c>
      <c r="M56" s="1" t="s">
        <v>0</v>
      </c>
      <c r="N56" s="1" t="s">
        <v>14</v>
      </c>
      <c r="O56" s="1" t="s">
        <v>4</v>
      </c>
      <c r="P56" s="1" t="s">
        <v>4</v>
      </c>
      <c r="Q56" s="1">
        <f>-100*(COUNTIF(t_BDD8[[#This Row],[ville 1 déjà faites]:[ville 8 déjà faites]],t_BDD8[[#This Row],[Attrib]]))*(t_BDD8[[#This Row],[Attrib]]&lt;&gt;"(rien)")-(t_BDD8[[#This Row],[Attrib]]="(rien)")</f>
        <v>-100</v>
      </c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 t="s">
        <v>82</v>
      </c>
      <c r="B57" s="1" t="s">
        <v>34</v>
      </c>
      <c r="C57" s="1" t="s">
        <v>2</v>
      </c>
      <c r="D57" s="1" t="s">
        <v>3</v>
      </c>
      <c r="E57" s="1" t="s">
        <v>5</v>
      </c>
      <c r="F57" s="1"/>
      <c r="G57" s="1"/>
      <c r="H57" s="1" t="s">
        <v>2</v>
      </c>
      <c r="I57" s="1" t="s">
        <v>3</v>
      </c>
      <c r="J57" s="1" t="s">
        <v>5</v>
      </c>
      <c r="K57" s="1" t="s">
        <v>10</v>
      </c>
      <c r="L57" s="1" t="s">
        <v>1</v>
      </c>
      <c r="M57" s="1" t="s">
        <v>11</v>
      </c>
      <c r="N57" s="1" t="s">
        <v>13</v>
      </c>
      <c r="O57" s="1" t="s">
        <v>8</v>
      </c>
      <c r="P57" s="1" t="s">
        <v>8</v>
      </c>
      <c r="Q57" s="1">
        <f>-100*(COUNTIF(t_BDD8[[#This Row],[ville 1 déjà faites]:[ville 8 déjà faites]],t_BDD8[[#This Row],[Attrib]]))*(t_BDD8[[#This Row],[Attrib]]&lt;&gt;"(rien)")-(t_BDD8[[#This Row],[Attrib]]="(rien)")</f>
        <v>-100</v>
      </c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 t="s">
        <v>83</v>
      </c>
      <c r="B58" s="1" t="s">
        <v>34</v>
      </c>
      <c r="C58" s="1" t="s">
        <v>0</v>
      </c>
      <c r="D58" s="1" t="s">
        <v>2</v>
      </c>
      <c r="E58" s="1" t="s">
        <v>6</v>
      </c>
      <c r="F58" s="1"/>
      <c r="G58" s="1"/>
      <c r="H58" s="1" t="s">
        <v>0</v>
      </c>
      <c r="I58" s="1" t="s">
        <v>2</v>
      </c>
      <c r="J58" s="1" t="s">
        <v>6</v>
      </c>
      <c r="K58" s="1" t="s">
        <v>8</v>
      </c>
      <c r="L58" s="1" t="s">
        <v>1</v>
      </c>
      <c r="M58" s="1" t="s">
        <v>7</v>
      </c>
      <c r="N58" s="1" t="s">
        <v>9</v>
      </c>
      <c r="O58" s="1" t="s">
        <v>13</v>
      </c>
      <c r="P58" s="1" t="s">
        <v>13</v>
      </c>
      <c r="Q58" s="1">
        <f>-100*(COUNTIF(t_BDD8[[#This Row],[ville 1 déjà faites]:[ville 8 déjà faites]],t_BDD8[[#This Row],[Attrib]]))*(t_BDD8[[#This Row],[Attrib]]&lt;&gt;"(rien)")-(t_BDD8[[#This Row],[Attrib]]="(rien)")</f>
        <v>-100</v>
      </c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 t="s">
        <v>84</v>
      </c>
      <c r="B59" s="1" t="s">
        <v>34</v>
      </c>
      <c r="C59" s="1" t="s">
        <v>10</v>
      </c>
      <c r="D59" s="1" t="s">
        <v>8</v>
      </c>
      <c r="E59" s="1" t="s">
        <v>13</v>
      </c>
      <c r="F59" s="1"/>
      <c r="G59" s="1"/>
      <c r="H59" s="1" t="s">
        <v>10</v>
      </c>
      <c r="I59" s="1" t="s">
        <v>8</v>
      </c>
      <c r="J59" s="1" t="s">
        <v>13</v>
      </c>
      <c r="K59" s="1" t="s">
        <v>2</v>
      </c>
      <c r="L59" s="1" t="s">
        <v>6</v>
      </c>
      <c r="M59" s="1" t="s">
        <v>7</v>
      </c>
      <c r="N59" s="1" t="s">
        <v>9</v>
      </c>
      <c r="O59" s="1" t="s">
        <v>4</v>
      </c>
      <c r="P59" s="1" t="s">
        <v>4</v>
      </c>
      <c r="Q59" s="1">
        <f>-100*(COUNTIF(t_BDD8[[#This Row],[ville 1 déjà faites]:[ville 8 déjà faites]],t_BDD8[[#This Row],[Attrib]]))*(t_BDD8[[#This Row],[Attrib]]&lt;&gt;"(rien)")-(t_BDD8[[#This Row],[Attrib]]="(rien)")</f>
        <v>-100</v>
      </c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 t="s">
        <v>85</v>
      </c>
      <c r="B60" s="1" t="s">
        <v>34</v>
      </c>
      <c r="C60" s="1" t="s">
        <v>5</v>
      </c>
      <c r="D60" s="1" t="s">
        <v>5</v>
      </c>
      <c r="E60" s="1" t="s">
        <v>7</v>
      </c>
      <c r="F60" s="1"/>
      <c r="G60" s="1"/>
      <c r="H60" s="1" t="s">
        <v>5</v>
      </c>
      <c r="I60" s="1" t="s">
        <v>7</v>
      </c>
      <c r="J60" s="1" t="s">
        <v>4</v>
      </c>
      <c r="K60" s="1" t="s">
        <v>8</v>
      </c>
      <c r="L60" s="1" t="s">
        <v>10</v>
      </c>
      <c r="M60" s="1" t="s">
        <v>3</v>
      </c>
      <c r="N60" s="1" t="s">
        <v>1</v>
      </c>
      <c r="O60" s="1" t="s">
        <v>14</v>
      </c>
      <c r="P60" s="1" t="s">
        <v>14</v>
      </c>
      <c r="Q60" s="1">
        <f>-100*(COUNTIF(t_BDD8[[#This Row],[ville 1 déjà faites]:[ville 8 déjà faites]],t_BDD8[[#This Row],[Attrib]]))*(t_BDD8[[#This Row],[Attrib]]&lt;&gt;"(rien)")-(t_BDD8[[#This Row],[Attrib]]="(rien)")</f>
        <v>-100</v>
      </c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 t="s">
        <v>86</v>
      </c>
      <c r="B61" s="1" t="s">
        <v>34</v>
      </c>
      <c r="C61" s="1" t="s">
        <v>12</v>
      </c>
      <c r="D61" s="1" t="s">
        <v>11</v>
      </c>
      <c r="E61" s="1" t="s">
        <v>6</v>
      </c>
      <c r="F61" s="1"/>
      <c r="G61" s="1"/>
      <c r="H61" s="1" t="s">
        <v>12</v>
      </c>
      <c r="I61" s="1" t="s">
        <v>11</v>
      </c>
      <c r="J61" s="1" t="s">
        <v>10</v>
      </c>
      <c r="K61" s="1" t="s">
        <v>6</v>
      </c>
      <c r="L61" s="1" t="s">
        <v>14</v>
      </c>
      <c r="M61" s="1" t="s">
        <v>13</v>
      </c>
      <c r="N61" s="1" t="s">
        <v>3</v>
      </c>
      <c r="O61" s="1" t="s">
        <v>7</v>
      </c>
      <c r="P61" s="1" t="s">
        <v>7</v>
      </c>
      <c r="Q61" s="1">
        <f>-100*(COUNTIF(t_BDD8[[#This Row],[ville 1 déjà faites]:[ville 8 déjà faites]],t_BDD8[[#This Row],[Attrib]]))*(t_BDD8[[#This Row],[Attrib]]&lt;&gt;"(rien)")-(t_BDD8[[#This Row],[Attrib]]="(rien)")</f>
        <v>-100</v>
      </c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 t="s">
        <v>87</v>
      </c>
      <c r="B62" s="1" t="s">
        <v>34</v>
      </c>
      <c r="C62" s="1" t="s">
        <v>0</v>
      </c>
      <c r="D62" s="1" t="s">
        <v>6</v>
      </c>
      <c r="E62" s="1" t="s">
        <v>5</v>
      </c>
      <c r="F62" s="1"/>
      <c r="G62" s="1"/>
      <c r="H62" s="1" t="s">
        <v>5</v>
      </c>
      <c r="I62" s="1" t="s">
        <v>0</v>
      </c>
      <c r="J62" s="1" t="s">
        <v>6</v>
      </c>
      <c r="K62" s="1" t="s">
        <v>7</v>
      </c>
      <c r="L62" s="1" t="s">
        <v>14</v>
      </c>
      <c r="M62" s="1" t="s">
        <v>10</v>
      </c>
      <c r="N62" s="1" t="s">
        <v>4</v>
      </c>
      <c r="O62" s="1" t="s">
        <v>1</v>
      </c>
      <c r="P62" s="1" t="s">
        <v>1</v>
      </c>
      <c r="Q62" s="1">
        <f>-100*(COUNTIF(t_BDD8[[#This Row],[ville 1 déjà faites]:[ville 8 déjà faites]],t_BDD8[[#This Row],[Attrib]]))*(t_BDD8[[#This Row],[Attrib]]&lt;&gt;"(rien)")-(t_BDD8[[#This Row],[Attrib]]="(rien)")</f>
        <v>-100</v>
      </c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 t="s">
        <v>88</v>
      </c>
      <c r="B63" s="1" t="s">
        <v>34</v>
      </c>
      <c r="C63" s="1" t="s">
        <v>13</v>
      </c>
      <c r="D63" s="1" t="s">
        <v>8</v>
      </c>
      <c r="E63" s="1" t="s">
        <v>14</v>
      </c>
      <c r="F63" s="1"/>
      <c r="G63" s="1"/>
      <c r="H63" s="1" t="s">
        <v>13</v>
      </c>
      <c r="I63" s="1" t="s">
        <v>8</v>
      </c>
      <c r="J63" s="1" t="s">
        <v>14</v>
      </c>
      <c r="K63" s="1" t="s">
        <v>7</v>
      </c>
      <c r="L63" s="1" t="s">
        <v>11</v>
      </c>
      <c r="M63" s="1" t="s">
        <v>6</v>
      </c>
      <c r="N63" s="1" t="s">
        <v>5</v>
      </c>
      <c r="O63" s="1" t="s">
        <v>0</v>
      </c>
      <c r="P63" s="1" t="s">
        <v>0</v>
      </c>
      <c r="Q63" s="1">
        <f>-100*(COUNTIF(t_BDD8[[#This Row],[ville 1 déjà faites]:[ville 8 déjà faites]],t_BDD8[[#This Row],[Attrib]]))*(t_BDD8[[#This Row],[Attrib]]&lt;&gt;"(rien)")-(t_BDD8[[#This Row],[Attrib]]="(rien)")</f>
        <v>-100</v>
      </c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 t="s">
        <v>89</v>
      </c>
      <c r="B64" s="1" t="s">
        <v>34</v>
      </c>
      <c r="C64" s="1" t="s">
        <v>14</v>
      </c>
      <c r="D64" s="1" t="s">
        <v>11</v>
      </c>
      <c r="E64" s="1" t="s">
        <v>3</v>
      </c>
      <c r="F64" s="1"/>
      <c r="G64" s="1"/>
      <c r="H64" s="1" t="s">
        <v>14</v>
      </c>
      <c r="I64" s="1" t="s">
        <v>11</v>
      </c>
      <c r="J64" s="1" t="s">
        <v>3</v>
      </c>
      <c r="K64" s="1" t="s">
        <v>4</v>
      </c>
      <c r="L64" s="1" t="s">
        <v>6</v>
      </c>
      <c r="M64" s="1" t="s">
        <v>5</v>
      </c>
      <c r="N64" s="1" t="s">
        <v>8</v>
      </c>
      <c r="O64" s="1" t="s">
        <v>13</v>
      </c>
      <c r="P64" s="1" t="s">
        <v>13</v>
      </c>
      <c r="Q64" s="1">
        <f>-100*(COUNTIF(t_BDD8[[#This Row],[ville 1 déjà faites]:[ville 8 déjà faites]],t_BDD8[[#This Row],[Attrib]]))*(t_BDD8[[#This Row],[Attrib]]&lt;&gt;"(rien)")-(t_BDD8[[#This Row],[Attrib]]="(rien)")</f>
        <v>-100</v>
      </c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 t="s">
        <v>90</v>
      </c>
      <c r="B65" s="1" t="s">
        <v>34</v>
      </c>
      <c r="C65" s="1" t="s">
        <v>3</v>
      </c>
      <c r="D65" s="1" t="s">
        <v>11</v>
      </c>
      <c r="E65" s="1" t="s">
        <v>9</v>
      </c>
      <c r="F65" s="1"/>
      <c r="G65" s="1"/>
      <c r="H65" s="1" t="s">
        <v>3</v>
      </c>
      <c r="I65" s="1" t="s">
        <v>11</v>
      </c>
      <c r="J65" s="1" t="s">
        <v>9</v>
      </c>
      <c r="K65" s="1" t="s">
        <v>10</v>
      </c>
      <c r="L65" s="1" t="s">
        <v>14</v>
      </c>
      <c r="M65" s="1" t="s">
        <v>0</v>
      </c>
      <c r="N65" s="1" t="s">
        <v>7</v>
      </c>
      <c r="O65" s="1" t="s">
        <v>5</v>
      </c>
      <c r="P65" s="1" t="s">
        <v>5</v>
      </c>
      <c r="Q65" s="1">
        <f>-100*(COUNTIF(t_BDD8[[#This Row],[ville 1 déjà faites]:[ville 8 déjà faites]],t_BDD8[[#This Row],[Attrib]]))*(t_BDD8[[#This Row],[Attrib]]&lt;&gt;"(rien)")-(t_BDD8[[#This Row],[Attrib]]="(rien)")</f>
        <v>-100</v>
      </c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 t="s">
        <v>91</v>
      </c>
      <c r="B66" s="1" t="s">
        <v>34</v>
      </c>
      <c r="C66" s="1" t="s">
        <v>11</v>
      </c>
      <c r="D66" s="1" t="s">
        <v>5</v>
      </c>
      <c r="E66" s="1" t="s">
        <v>12</v>
      </c>
      <c r="F66" s="1"/>
      <c r="G66" s="1"/>
      <c r="H66" s="1" t="s">
        <v>11</v>
      </c>
      <c r="I66" s="1" t="s">
        <v>5</v>
      </c>
      <c r="J66" s="1" t="s">
        <v>8</v>
      </c>
      <c r="K66" s="1" t="s">
        <v>12</v>
      </c>
      <c r="L66" s="1" t="s">
        <v>10</v>
      </c>
      <c r="M66" s="1" t="s">
        <v>7</v>
      </c>
      <c r="N66" s="1" t="s">
        <v>4</v>
      </c>
      <c r="O66" s="1" t="s">
        <v>3</v>
      </c>
      <c r="P66" s="1" t="s">
        <v>3</v>
      </c>
      <c r="Q66" s="1">
        <f>-100*(COUNTIF(t_BDD8[[#This Row],[ville 1 déjà faites]:[ville 8 déjà faites]],t_BDD8[[#This Row],[Attrib]]))*(t_BDD8[[#This Row],[Attrib]]&lt;&gt;"(rien)")-(t_BDD8[[#This Row],[Attrib]]="(rien)")</f>
        <v>-100</v>
      </c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 t="s">
        <v>92</v>
      </c>
      <c r="B67" s="1" t="s">
        <v>34</v>
      </c>
      <c r="C67" s="1" t="s">
        <v>1</v>
      </c>
      <c r="D67" s="1" t="s">
        <v>8</v>
      </c>
      <c r="E67" s="1" t="s">
        <v>14</v>
      </c>
      <c r="F67" s="1"/>
      <c r="G67" s="1"/>
      <c r="H67" s="1" t="s">
        <v>1</v>
      </c>
      <c r="I67" s="1" t="s">
        <v>8</v>
      </c>
      <c r="J67" s="1" t="s">
        <v>14</v>
      </c>
      <c r="K67" s="1" t="s">
        <v>9</v>
      </c>
      <c r="L67" s="1" t="s">
        <v>7</v>
      </c>
      <c r="M67" s="1" t="s">
        <v>5</v>
      </c>
      <c r="N67" s="1" t="s">
        <v>3</v>
      </c>
      <c r="O67" s="1" t="s">
        <v>12</v>
      </c>
      <c r="P67" s="1" t="s">
        <v>12</v>
      </c>
      <c r="Q67" s="1">
        <f>-100*(COUNTIF(t_BDD8[[#This Row],[ville 1 déjà faites]:[ville 8 déjà faites]],t_BDD8[[#This Row],[Attrib]]))*(t_BDD8[[#This Row],[Attrib]]&lt;&gt;"(rien)")-(t_BDD8[[#This Row],[Attrib]]="(rien)")</f>
        <v>-100</v>
      </c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 t="s">
        <v>93</v>
      </c>
      <c r="B68" s="1" t="s">
        <v>34</v>
      </c>
      <c r="C68" s="1" t="s">
        <v>14</v>
      </c>
      <c r="D68" s="1" t="s">
        <v>0</v>
      </c>
      <c r="E68" s="1" t="s">
        <v>3</v>
      </c>
      <c r="F68" s="1"/>
      <c r="G68" s="1"/>
      <c r="H68" s="1" t="s">
        <v>13</v>
      </c>
      <c r="I68" s="1" t="s">
        <v>14</v>
      </c>
      <c r="J68" s="1" t="s">
        <v>1</v>
      </c>
      <c r="K68" s="1" t="s">
        <v>0</v>
      </c>
      <c r="L68" s="1" t="s">
        <v>3</v>
      </c>
      <c r="M68" s="1" t="s">
        <v>11</v>
      </c>
      <c r="N68" s="1" t="s">
        <v>8</v>
      </c>
      <c r="O68" s="1" t="s">
        <v>9</v>
      </c>
      <c r="P68" s="1" t="s">
        <v>9</v>
      </c>
      <c r="Q68" s="1">
        <f>-100*(COUNTIF(t_BDD8[[#This Row],[ville 1 déjà faites]:[ville 8 déjà faites]],t_BDD8[[#This Row],[Attrib]]))*(t_BDD8[[#This Row],[Attrib]]&lt;&gt;"(rien)")-(t_BDD8[[#This Row],[Attrib]]="(rien)")</f>
        <v>-100</v>
      </c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 t="s">
        <v>94</v>
      </c>
      <c r="B69" s="1" t="s">
        <v>34</v>
      </c>
      <c r="C69" s="1" t="s">
        <v>0</v>
      </c>
      <c r="D69" s="1" t="s">
        <v>4</v>
      </c>
      <c r="E69" s="1" t="s">
        <v>1</v>
      </c>
      <c r="F69" s="1"/>
      <c r="G69" s="1"/>
      <c r="H69" s="1" t="s">
        <v>0</v>
      </c>
      <c r="I69" s="1" t="s">
        <v>1</v>
      </c>
      <c r="J69" s="1" t="s">
        <v>4</v>
      </c>
      <c r="K69" s="1" t="s">
        <v>14</v>
      </c>
      <c r="L69" s="1" t="s">
        <v>13</v>
      </c>
      <c r="M69" s="1" t="s">
        <v>7</v>
      </c>
      <c r="N69" s="1" t="s">
        <v>2</v>
      </c>
      <c r="O69" s="1" t="s">
        <v>10</v>
      </c>
      <c r="P69" s="1" t="s">
        <v>10</v>
      </c>
      <c r="Q69" s="1">
        <f>-100*(COUNTIF(t_BDD8[[#This Row],[ville 1 déjà faites]:[ville 8 déjà faites]],t_BDD8[[#This Row],[Attrib]]))*(t_BDD8[[#This Row],[Attrib]]&lt;&gt;"(rien)")-(t_BDD8[[#This Row],[Attrib]]="(rien)")</f>
        <v>-100</v>
      </c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 t="s">
        <v>95</v>
      </c>
      <c r="B70" s="1" t="s">
        <v>34</v>
      </c>
      <c r="C70" s="1" t="s">
        <v>14</v>
      </c>
      <c r="D70" s="1" t="s">
        <v>11</v>
      </c>
      <c r="E70" s="1" t="s">
        <v>5</v>
      </c>
      <c r="F70" s="1"/>
      <c r="G70" s="1"/>
      <c r="H70" s="1" t="s">
        <v>14</v>
      </c>
      <c r="I70" s="1" t="s">
        <v>5</v>
      </c>
      <c r="J70" s="1" t="s">
        <v>11</v>
      </c>
      <c r="K70" s="1" t="s">
        <v>1</v>
      </c>
      <c r="L70" s="1" t="s">
        <v>13</v>
      </c>
      <c r="M70" s="1" t="s">
        <v>10</v>
      </c>
      <c r="N70" s="1" t="s">
        <v>4</v>
      </c>
      <c r="O70" s="1" t="s">
        <v>8</v>
      </c>
      <c r="P70" s="1" t="s">
        <v>8</v>
      </c>
      <c r="Q70" s="1">
        <f>-100*(COUNTIF(t_BDD8[[#This Row],[ville 1 déjà faites]:[ville 8 déjà faites]],t_BDD8[[#This Row],[Attrib]]))*(t_BDD8[[#This Row],[Attrib]]&lt;&gt;"(rien)")-(t_BDD8[[#This Row],[Attrib]]="(rien)")</f>
        <v>-100</v>
      </c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 t="s">
        <v>96</v>
      </c>
      <c r="B71" s="1" t="s">
        <v>34</v>
      </c>
      <c r="C71" s="1" t="s">
        <v>9</v>
      </c>
      <c r="D71" s="1" t="s">
        <v>0</v>
      </c>
      <c r="E71" s="1" t="s">
        <v>7</v>
      </c>
      <c r="F71" s="1"/>
      <c r="G71" s="1"/>
      <c r="H71" s="1" t="s">
        <v>9</v>
      </c>
      <c r="I71" s="1" t="s">
        <v>7</v>
      </c>
      <c r="J71" s="1" t="s">
        <v>0</v>
      </c>
      <c r="K71" s="1" t="s">
        <v>1</v>
      </c>
      <c r="L71" s="1" t="s">
        <v>11</v>
      </c>
      <c r="M71" s="1" t="s">
        <v>8</v>
      </c>
      <c r="N71" s="1" t="s">
        <v>5</v>
      </c>
      <c r="O71" s="1" t="s">
        <v>13</v>
      </c>
      <c r="P71" s="1" t="s">
        <v>13</v>
      </c>
      <c r="Q71" s="1">
        <f>-100*(COUNTIF(t_BDD8[[#This Row],[ville 1 déjà faites]:[ville 8 déjà faites]],t_BDD8[[#This Row],[Attrib]]))*(t_BDD8[[#This Row],[Attrib]]&lt;&gt;"(rien)")-(t_BDD8[[#This Row],[Attrib]]="(rien)")</f>
        <v>-100</v>
      </c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 t="s">
        <v>97</v>
      </c>
      <c r="B72" s="1" t="s">
        <v>34</v>
      </c>
      <c r="C72" s="1" t="s">
        <v>1</v>
      </c>
      <c r="D72" s="1" t="s">
        <v>8</v>
      </c>
      <c r="E72" s="1" t="s">
        <v>8</v>
      </c>
      <c r="F72" s="1"/>
      <c r="G72" s="1"/>
      <c r="H72" s="1" t="s">
        <v>1</v>
      </c>
      <c r="I72" s="1" t="s">
        <v>8</v>
      </c>
      <c r="J72" s="1" t="s">
        <v>9</v>
      </c>
      <c r="K72" s="1" t="s">
        <v>3</v>
      </c>
      <c r="L72" s="1" t="s">
        <v>0</v>
      </c>
      <c r="M72" s="1" t="s">
        <v>6</v>
      </c>
      <c r="N72" s="1" t="s">
        <v>10</v>
      </c>
      <c r="O72" s="1" t="s">
        <v>11</v>
      </c>
      <c r="P72" s="1" t="s">
        <v>11</v>
      </c>
      <c r="Q72" s="1">
        <f>-100*(COUNTIF(t_BDD8[[#This Row],[ville 1 déjà faites]:[ville 8 déjà faites]],t_BDD8[[#This Row],[Attrib]]))*(t_BDD8[[#This Row],[Attrib]]&lt;&gt;"(rien)")-(t_BDD8[[#This Row],[Attrib]]="(rien)")</f>
        <v>-100</v>
      </c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 t="s">
        <v>98</v>
      </c>
      <c r="B73" s="1" t="s">
        <v>34</v>
      </c>
      <c r="C73" s="1" t="s">
        <v>9</v>
      </c>
      <c r="D73" s="1" t="s">
        <v>3</v>
      </c>
      <c r="E73" s="1" t="s">
        <v>11</v>
      </c>
      <c r="F73" s="1"/>
      <c r="G73" s="1"/>
      <c r="H73" s="1" t="s">
        <v>9</v>
      </c>
      <c r="I73" s="1" t="s">
        <v>3</v>
      </c>
      <c r="J73" s="1" t="s">
        <v>11</v>
      </c>
      <c r="K73" s="1" t="s">
        <v>6</v>
      </c>
      <c r="L73" s="1" t="s">
        <v>4</v>
      </c>
      <c r="M73" s="1" t="s">
        <v>1</v>
      </c>
      <c r="N73" s="1" t="s">
        <v>5</v>
      </c>
      <c r="O73" s="1" t="s">
        <v>2</v>
      </c>
      <c r="P73" s="1" t="s">
        <v>2</v>
      </c>
      <c r="Q73" s="1">
        <f>-100*(COUNTIF(t_BDD8[[#This Row],[ville 1 déjà faites]:[ville 8 déjà faites]],t_BDD8[[#This Row],[Attrib]]))*(t_BDD8[[#This Row],[Attrib]]&lt;&gt;"(rien)")-(t_BDD8[[#This Row],[Attrib]]="(rien)")</f>
        <v>-100</v>
      </c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 t="s">
        <v>99</v>
      </c>
      <c r="B74" s="1" t="s">
        <v>34</v>
      </c>
      <c r="C74" s="1" t="s">
        <v>3</v>
      </c>
      <c r="D74" s="1" t="s">
        <v>7</v>
      </c>
      <c r="E74" s="1" t="s">
        <v>2</v>
      </c>
      <c r="F74" s="1"/>
      <c r="G74" s="1"/>
      <c r="H74" s="1" t="s">
        <v>3</v>
      </c>
      <c r="I74" s="1" t="s">
        <v>7</v>
      </c>
      <c r="J74" s="1" t="s">
        <v>2</v>
      </c>
      <c r="K74" s="1" t="s">
        <v>4</v>
      </c>
      <c r="L74" s="1" t="s">
        <v>9</v>
      </c>
      <c r="M74" s="1" t="s">
        <v>10</v>
      </c>
      <c r="N74" s="1" t="s">
        <v>1</v>
      </c>
      <c r="O74" s="1" t="s">
        <v>5</v>
      </c>
      <c r="P74" s="1" t="s">
        <v>5</v>
      </c>
      <c r="Q74" s="1">
        <f>-100*(COUNTIF(t_BDD8[[#This Row],[ville 1 déjà faites]:[ville 8 déjà faites]],t_BDD8[[#This Row],[Attrib]]))*(t_BDD8[[#This Row],[Attrib]]&lt;&gt;"(rien)")-(t_BDD8[[#This Row],[Attrib]]="(rien)")</f>
        <v>-100</v>
      </c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 t="s">
        <v>100</v>
      </c>
      <c r="B75" s="1" t="s">
        <v>34</v>
      </c>
      <c r="C75" s="1" t="s">
        <v>11</v>
      </c>
      <c r="D75" s="1" t="s">
        <v>10</v>
      </c>
      <c r="E75" s="1" t="s">
        <v>1</v>
      </c>
      <c r="F75" s="1"/>
      <c r="G75" s="1"/>
      <c r="H75" s="1" t="s">
        <v>11</v>
      </c>
      <c r="I75" s="1" t="s">
        <v>1</v>
      </c>
      <c r="J75" s="1" t="s">
        <v>10</v>
      </c>
      <c r="K75" s="1" t="s">
        <v>9</v>
      </c>
      <c r="L75" s="1" t="s">
        <v>13</v>
      </c>
      <c r="M75" s="1" t="s">
        <v>8</v>
      </c>
      <c r="N75" s="1" t="s">
        <v>12</v>
      </c>
      <c r="O75" s="1" t="s">
        <v>6</v>
      </c>
      <c r="P75" s="1" t="s">
        <v>6</v>
      </c>
      <c r="Q75" s="1">
        <f>-100*(COUNTIF(t_BDD8[[#This Row],[ville 1 déjà faites]:[ville 8 déjà faites]],t_BDD8[[#This Row],[Attrib]]))*(t_BDD8[[#This Row],[Attrib]]&lt;&gt;"(rien)")-(t_BDD8[[#This Row],[Attrib]]="(rien)")</f>
        <v>-100</v>
      </c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 t="s">
        <v>101</v>
      </c>
      <c r="B76" s="1" t="s">
        <v>34</v>
      </c>
      <c r="C76" s="1" t="s">
        <v>4</v>
      </c>
      <c r="D76" s="1" t="s">
        <v>9</v>
      </c>
      <c r="E76" s="1" t="s">
        <v>5</v>
      </c>
      <c r="F76" s="1"/>
      <c r="G76" s="1"/>
      <c r="H76" s="1" t="s">
        <v>4</v>
      </c>
      <c r="I76" s="1" t="s">
        <v>9</v>
      </c>
      <c r="J76" s="1" t="s">
        <v>5</v>
      </c>
      <c r="K76" s="1" t="s">
        <v>1</v>
      </c>
      <c r="L76" s="1" t="s">
        <v>8</v>
      </c>
      <c r="M76" s="1" t="s">
        <v>3</v>
      </c>
      <c r="N76" s="1" t="s">
        <v>0</v>
      </c>
      <c r="O76" s="1" t="s">
        <v>14</v>
      </c>
      <c r="P76" s="1" t="s">
        <v>14</v>
      </c>
      <c r="Q76" s="1">
        <f>-100*(COUNTIF(t_BDD8[[#This Row],[ville 1 déjà faites]:[ville 8 déjà faites]],t_BDD8[[#This Row],[Attrib]]))*(t_BDD8[[#This Row],[Attrib]]&lt;&gt;"(rien)")-(t_BDD8[[#This Row],[Attrib]]="(rien)")</f>
        <v>-100</v>
      </c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 t="s">
        <v>102</v>
      </c>
      <c r="B77" s="1" t="s">
        <v>34</v>
      </c>
      <c r="C77" s="1" t="s">
        <v>6</v>
      </c>
      <c r="D77" s="1" t="s">
        <v>12</v>
      </c>
      <c r="E77" s="1" t="s">
        <v>5</v>
      </c>
      <c r="F77" s="1"/>
      <c r="G77" s="1"/>
      <c r="H77" s="1" t="s">
        <v>5</v>
      </c>
      <c r="I77" s="1" t="s">
        <v>6</v>
      </c>
      <c r="J77" s="1" t="s">
        <v>12</v>
      </c>
      <c r="K77" s="1" t="s">
        <v>13</v>
      </c>
      <c r="L77" s="1" t="s">
        <v>11</v>
      </c>
      <c r="M77" s="1" t="s">
        <v>9</v>
      </c>
      <c r="N77" s="1" t="s">
        <v>7</v>
      </c>
      <c r="O77" s="1" t="s">
        <v>8</v>
      </c>
      <c r="P77" s="1" t="s">
        <v>8</v>
      </c>
      <c r="Q77" s="1">
        <f>-100*(COUNTIF(t_BDD8[[#This Row],[ville 1 déjà faites]:[ville 8 déjà faites]],t_BDD8[[#This Row],[Attrib]]))*(t_BDD8[[#This Row],[Attrib]]&lt;&gt;"(rien)")-(t_BDD8[[#This Row],[Attrib]]="(rien)")</f>
        <v>-100</v>
      </c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 t="s">
        <v>103</v>
      </c>
      <c r="B78" s="1" t="s">
        <v>34</v>
      </c>
      <c r="C78" s="1" t="s">
        <v>13</v>
      </c>
      <c r="D78" s="1" t="s">
        <v>4</v>
      </c>
      <c r="E78" s="1" t="s">
        <v>1</v>
      </c>
      <c r="F78" s="1"/>
      <c r="G78" s="1"/>
      <c r="H78" s="1" t="s">
        <v>13</v>
      </c>
      <c r="I78" s="1" t="s">
        <v>4</v>
      </c>
      <c r="J78" s="1" t="s">
        <v>1</v>
      </c>
      <c r="K78" s="1" t="s">
        <v>3</v>
      </c>
      <c r="L78" s="1" t="s">
        <v>5</v>
      </c>
      <c r="M78" s="1" t="s">
        <v>2</v>
      </c>
      <c r="N78" s="1" t="s">
        <v>11</v>
      </c>
      <c r="O78" s="1" t="s">
        <v>0</v>
      </c>
      <c r="P78" s="1" t="s">
        <v>0</v>
      </c>
      <c r="Q78" s="1">
        <f>-100*(COUNTIF(t_BDD8[[#This Row],[ville 1 déjà faites]:[ville 8 déjà faites]],t_BDD8[[#This Row],[Attrib]]))*(t_BDD8[[#This Row],[Attrib]]&lt;&gt;"(rien)")-(t_BDD8[[#This Row],[Attrib]]="(rien)")</f>
        <v>-100</v>
      </c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 t="s">
        <v>104</v>
      </c>
      <c r="B79" s="1" t="s">
        <v>34</v>
      </c>
      <c r="C79" s="1" t="s">
        <v>0</v>
      </c>
      <c r="D79" s="1" t="s">
        <v>2</v>
      </c>
      <c r="E79" s="1" t="s">
        <v>13</v>
      </c>
      <c r="F79" s="1"/>
      <c r="G79" s="1"/>
      <c r="H79" s="1" t="s">
        <v>2</v>
      </c>
      <c r="I79" s="1" t="s">
        <v>0</v>
      </c>
      <c r="J79" s="1" t="s">
        <v>13</v>
      </c>
      <c r="K79" s="1" t="s">
        <v>5</v>
      </c>
      <c r="L79" s="1" t="s">
        <v>8</v>
      </c>
      <c r="M79" s="1" t="s">
        <v>14</v>
      </c>
      <c r="N79" s="1" t="s">
        <v>7</v>
      </c>
      <c r="O79" s="1" t="s">
        <v>11</v>
      </c>
      <c r="P79" s="1" t="s">
        <v>11</v>
      </c>
      <c r="Q79" s="1">
        <f>-100*(COUNTIF(t_BDD8[[#This Row],[ville 1 déjà faites]:[ville 8 déjà faites]],t_BDD8[[#This Row],[Attrib]]))*(t_BDD8[[#This Row],[Attrib]]&lt;&gt;"(rien)")-(t_BDD8[[#This Row],[Attrib]]="(rien)")</f>
        <v>-100</v>
      </c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 t="s">
        <v>105</v>
      </c>
      <c r="B80" s="1" t="s">
        <v>34</v>
      </c>
      <c r="C80" s="1" t="s">
        <v>6</v>
      </c>
      <c r="D80" s="1" t="s">
        <v>10</v>
      </c>
      <c r="E80" s="1" t="s">
        <v>0</v>
      </c>
      <c r="F80" s="1"/>
      <c r="G80" s="1"/>
      <c r="H80" s="1" t="s">
        <v>6</v>
      </c>
      <c r="I80" s="1" t="s">
        <v>10</v>
      </c>
      <c r="J80" s="1" t="s">
        <v>1</v>
      </c>
      <c r="K80" s="1" t="s">
        <v>0</v>
      </c>
      <c r="L80" s="1" t="s">
        <v>2</v>
      </c>
      <c r="M80" s="1" t="s">
        <v>13</v>
      </c>
      <c r="N80" s="1" t="s">
        <v>11</v>
      </c>
      <c r="O80" s="1" t="s">
        <v>5</v>
      </c>
      <c r="P80" s="1" t="s">
        <v>5</v>
      </c>
      <c r="Q80" s="1">
        <f>-100*(COUNTIF(t_BDD8[[#This Row],[ville 1 déjà faites]:[ville 8 déjà faites]],t_BDD8[[#This Row],[Attrib]]))*(t_BDD8[[#This Row],[Attrib]]&lt;&gt;"(rien)")-(t_BDD8[[#This Row],[Attrib]]="(rien)")</f>
        <v>-100</v>
      </c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 t="s">
        <v>106</v>
      </c>
      <c r="B81" s="1" t="s">
        <v>34</v>
      </c>
      <c r="C81" s="1" t="s">
        <v>6</v>
      </c>
      <c r="D81" s="1" t="s">
        <v>10</v>
      </c>
      <c r="E81" s="1" t="s">
        <v>3</v>
      </c>
      <c r="F81" s="1"/>
      <c r="G81" s="1"/>
      <c r="H81" s="1" t="s">
        <v>6</v>
      </c>
      <c r="I81" s="1" t="s">
        <v>10</v>
      </c>
      <c r="J81" s="1" t="s">
        <v>3</v>
      </c>
      <c r="K81" s="1" t="s">
        <v>13</v>
      </c>
      <c r="L81" s="1" t="s">
        <v>7</v>
      </c>
      <c r="M81" s="1" t="s">
        <v>5</v>
      </c>
      <c r="N81" s="1" t="s">
        <v>1</v>
      </c>
      <c r="O81" s="1" t="s">
        <v>4</v>
      </c>
      <c r="P81" s="1" t="s">
        <v>4</v>
      </c>
      <c r="Q81" s="1">
        <f>-100*(COUNTIF(t_BDD8[[#This Row],[ville 1 déjà faites]:[ville 8 déjà faites]],t_BDD8[[#This Row],[Attrib]]))*(t_BDD8[[#This Row],[Attrib]]&lt;&gt;"(rien)")-(t_BDD8[[#This Row],[Attrib]]="(rien)")</f>
        <v>-100</v>
      </c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 t="s">
        <v>107</v>
      </c>
      <c r="B82" s="1" t="s">
        <v>34</v>
      </c>
      <c r="C82" s="1" t="s">
        <v>9</v>
      </c>
      <c r="D82" s="1" t="s">
        <v>3</v>
      </c>
      <c r="E82" s="1" t="s">
        <v>11</v>
      </c>
      <c r="F82" s="1"/>
      <c r="G82" s="1"/>
      <c r="H82" s="1" t="s">
        <v>9</v>
      </c>
      <c r="I82" s="1" t="s">
        <v>3</v>
      </c>
      <c r="J82" s="1" t="s">
        <v>11</v>
      </c>
      <c r="K82" s="1" t="s">
        <v>4</v>
      </c>
      <c r="L82" s="1" t="s">
        <v>8</v>
      </c>
      <c r="M82" s="1" t="s">
        <v>0</v>
      </c>
      <c r="N82" s="1" t="s">
        <v>6</v>
      </c>
      <c r="O82" s="1" t="s">
        <v>2</v>
      </c>
      <c r="P82" s="1" t="s">
        <v>2</v>
      </c>
      <c r="Q82" s="1">
        <f>-100*(COUNTIF(t_BDD8[[#This Row],[ville 1 déjà faites]:[ville 8 déjà faites]],t_BDD8[[#This Row],[Attrib]]))*(t_BDD8[[#This Row],[Attrib]]&lt;&gt;"(rien)")-(t_BDD8[[#This Row],[Attrib]]="(rien)")</f>
        <v>-100</v>
      </c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 t="s">
        <v>108</v>
      </c>
      <c r="B83" s="1" t="s">
        <v>34</v>
      </c>
      <c r="C83" s="1" t="s">
        <v>3</v>
      </c>
      <c r="D83" s="1" t="s">
        <v>7</v>
      </c>
      <c r="E83" s="1" t="s">
        <v>2</v>
      </c>
      <c r="F83" s="1"/>
      <c r="G83" s="1"/>
      <c r="H83" s="1" t="s">
        <v>3</v>
      </c>
      <c r="I83" s="1" t="s">
        <v>7</v>
      </c>
      <c r="J83" s="1" t="s">
        <v>2</v>
      </c>
      <c r="K83" s="1" t="s">
        <v>13</v>
      </c>
      <c r="L83" s="1" t="s">
        <v>9</v>
      </c>
      <c r="M83" s="1" t="s">
        <v>14</v>
      </c>
      <c r="N83" s="1" t="s">
        <v>11</v>
      </c>
      <c r="O83" s="1" t="s">
        <v>1</v>
      </c>
      <c r="P83" s="1" t="s">
        <v>1</v>
      </c>
      <c r="Q83" s="1">
        <f>-100*(COUNTIF(t_BDD8[[#This Row],[ville 1 déjà faites]:[ville 8 déjà faites]],t_BDD8[[#This Row],[Attrib]]))*(t_BDD8[[#This Row],[Attrib]]&lt;&gt;"(rien)")-(t_BDD8[[#This Row],[Attrib]]="(rien)")</f>
        <v>-100</v>
      </c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 t="s">
        <v>109</v>
      </c>
      <c r="B84" s="1" t="s">
        <v>34</v>
      </c>
      <c r="C84" s="1" t="s">
        <v>11</v>
      </c>
      <c r="D84" s="1" t="s">
        <v>10</v>
      </c>
      <c r="E84" s="1" t="s">
        <v>1</v>
      </c>
      <c r="F84" s="1"/>
      <c r="G84" s="1"/>
      <c r="H84" s="1" t="s">
        <v>11</v>
      </c>
      <c r="I84" s="1" t="s">
        <v>10</v>
      </c>
      <c r="J84" s="1" t="s">
        <v>1</v>
      </c>
      <c r="K84" s="1" t="s">
        <v>14</v>
      </c>
      <c r="L84" s="1" t="s">
        <v>7</v>
      </c>
      <c r="M84" s="1" t="s">
        <v>9</v>
      </c>
      <c r="N84" s="1" t="s">
        <v>0</v>
      </c>
      <c r="O84" s="1" t="s">
        <v>5</v>
      </c>
      <c r="P84" s="1" t="s">
        <v>5</v>
      </c>
      <c r="Q84" s="1">
        <f>-100*(COUNTIF(t_BDD8[[#This Row],[ville 1 déjà faites]:[ville 8 déjà faites]],t_BDD8[[#This Row],[Attrib]]))*(t_BDD8[[#This Row],[Attrib]]&lt;&gt;"(rien)")-(t_BDD8[[#This Row],[Attrib]]="(rien)")</f>
        <v>-100</v>
      </c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 t="s">
        <v>110</v>
      </c>
      <c r="B85" s="1" t="s">
        <v>34</v>
      </c>
      <c r="C85" s="1" t="s">
        <v>4</v>
      </c>
      <c r="D85" s="1" t="s">
        <v>9</v>
      </c>
      <c r="E85" s="1" t="s">
        <v>5</v>
      </c>
      <c r="F85" s="1"/>
      <c r="G85" s="1"/>
      <c r="H85" s="1" t="s">
        <v>4</v>
      </c>
      <c r="I85" s="1" t="s">
        <v>9</v>
      </c>
      <c r="J85" s="1" t="s">
        <v>5</v>
      </c>
      <c r="K85" s="1" t="s">
        <v>13</v>
      </c>
      <c r="L85" s="1" t="s">
        <v>1</v>
      </c>
      <c r="M85" s="1" t="s">
        <v>3</v>
      </c>
      <c r="N85" s="1" t="s">
        <v>7</v>
      </c>
      <c r="O85" s="1" t="s">
        <v>6</v>
      </c>
      <c r="P85" s="1" t="s">
        <v>6</v>
      </c>
      <c r="Q85" s="1">
        <f>-100*(COUNTIF(t_BDD8[[#This Row],[ville 1 déjà faites]:[ville 8 déjà faites]],t_BDD8[[#This Row],[Attrib]]))*(t_BDD8[[#This Row],[Attrib]]&lt;&gt;"(rien)")-(t_BDD8[[#This Row],[Attrib]]="(rien)")</f>
        <v>-100</v>
      </c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 t="s">
        <v>111</v>
      </c>
      <c r="B86" s="1" t="s">
        <v>34</v>
      </c>
      <c r="C86" s="1" t="s">
        <v>6</v>
      </c>
      <c r="D86" s="1" t="s">
        <v>12</v>
      </c>
      <c r="E86" s="1" t="s">
        <v>5</v>
      </c>
      <c r="F86" s="1"/>
      <c r="G86" s="1"/>
      <c r="H86" s="1" t="s">
        <v>6</v>
      </c>
      <c r="I86" s="1" t="s">
        <v>12</v>
      </c>
      <c r="J86" s="1" t="s">
        <v>5</v>
      </c>
      <c r="K86" s="1" t="s">
        <v>7</v>
      </c>
      <c r="L86" s="1" t="s">
        <v>3</v>
      </c>
      <c r="M86" s="1" t="s">
        <v>4</v>
      </c>
      <c r="N86" s="1" t="s">
        <v>1</v>
      </c>
      <c r="O86" s="1" t="s">
        <v>13</v>
      </c>
      <c r="P86" s="1" t="s">
        <v>13</v>
      </c>
      <c r="Q86" s="1">
        <f>-100*(COUNTIF(t_BDD8[[#This Row],[ville 1 déjà faites]:[ville 8 déjà faites]],t_BDD8[[#This Row],[Attrib]]))*(t_BDD8[[#This Row],[Attrib]]&lt;&gt;"(rien)")-(t_BDD8[[#This Row],[Attrib]]="(rien)")</f>
        <v>-100</v>
      </c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 t="s">
        <v>112</v>
      </c>
      <c r="B87" s="1" t="s">
        <v>34</v>
      </c>
      <c r="C87" s="1" t="s">
        <v>8</v>
      </c>
      <c r="D87" s="1" t="s">
        <v>0</v>
      </c>
      <c r="E87" s="1" t="s">
        <v>12</v>
      </c>
      <c r="F87" s="1"/>
      <c r="G87" s="1"/>
      <c r="H87" s="1" t="s">
        <v>8</v>
      </c>
      <c r="I87" s="1" t="s">
        <v>5</v>
      </c>
      <c r="J87" s="1" t="s">
        <v>0</v>
      </c>
      <c r="K87" s="1" t="s">
        <v>1</v>
      </c>
      <c r="L87" s="1" t="s">
        <v>12</v>
      </c>
      <c r="M87" s="1" t="s">
        <v>4</v>
      </c>
      <c r="N87" s="1" t="s">
        <v>13</v>
      </c>
      <c r="O87" s="1" t="s">
        <v>7</v>
      </c>
      <c r="P87" s="1" t="s">
        <v>7</v>
      </c>
      <c r="Q87" s="1">
        <f>-100*(COUNTIF(t_BDD8[[#This Row],[ville 1 déjà faites]:[ville 8 déjà faites]],t_BDD8[[#This Row],[Attrib]]))*(t_BDD8[[#This Row],[Attrib]]&lt;&gt;"(rien)")-(t_BDD8[[#This Row],[Attrib]]="(rien)")</f>
        <v>-100</v>
      </c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 t="s">
        <v>113</v>
      </c>
      <c r="B88" s="1" t="s">
        <v>34</v>
      </c>
      <c r="C88" s="1" t="s">
        <v>11</v>
      </c>
      <c r="D88" s="1" t="s">
        <v>4</v>
      </c>
      <c r="E88" s="1" t="s">
        <v>12</v>
      </c>
      <c r="F88" s="1"/>
      <c r="G88" s="1"/>
      <c r="H88" s="1" t="s">
        <v>11</v>
      </c>
      <c r="I88" s="1" t="s">
        <v>4</v>
      </c>
      <c r="J88" s="1" t="s">
        <v>7</v>
      </c>
      <c r="K88" s="1" t="s">
        <v>13</v>
      </c>
      <c r="L88" s="1" t="s">
        <v>2</v>
      </c>
      <c r="M88" s="1" t="s">
        <v>12</v>
      </c>
      <c r="N88" s="1" t="s">
        <v>8</v>
      </c>
      <c r="O88" s="1" t="s">
        <v>6</v>
      </c>
      <c r="P88" s="1" t="s">
        <v>6</v>
      </c>
      <c r="Q88" s="1">
        <f>-100*(COUNTIF(t_BDD8[[#This Row],[ville 1 déjà faites]:[ville 8 déjà faites]],t_BDD8[[#This Row],[Attrib]]))*(t_BDD8[[#This Row],[Attrib]]&lt;&gt;"(rien)")-(t_BDD8[[#This Row],[Attrib]]="(rien)")</f>
        <v>-100</v>
      </c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 t="s">
        <v>114</v>
      </c>
      <c r="B89" s="1" t="s">
        <v>34</v>
      </c>
      <c r="C89" s="1" t="s">
        <v>0</v>
      </c>
      <c r="D89" s="1" t="s">
        <v>5</v>
      </c>
      <c r="E89" s="1" t="s">
        <v>3</v>
      </c>
      <c r="F89" s="1"/>
      <c r="G89" s="1"/>
      <c r="H89" s="1" t="s">
        <v>5</v>
      </c>
      <c r="I89" s="1" t="s">
        <v>0</v>
      </c>
      <c r="J89" s="1" t="s">
        <v>3</v>
      </c>
      <c r="K89" s="1" t="s">
        <v>8</v>
      </c>
      <c r="L89" s="1" t="s">
        <v>1</v>
      </c>
      <c r="M89" s="1" t="s">
        <v>6</v>
      </c>
      <c r="N89" s="1" t="s">
        <v>2</v>
      </c>
      <c r="O89" s="1" t="s">
        <v>9</v>
      </c>
      <c r="P89" s="1" t="s">
        <v>9</v>
      </c>
      <c r="Q89" s="1">
        <f>-100*(COUNTIF(t_BDD8[[#This Row],[ville 1 déjà faites]:[ville 8 déjà faites]],t_BDD8[[#This Row],[Attrib]]))*(t_BDD8[[#This Row],[Attrib]]&lt;&gt;"(rien)")-(t_BDD8[[#This Row],[Attrib]]="(rien)")</f>
        <v>-100</v>
      </c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 t="s">
        <v>115</v>
      </c>
      <c r="B90" s="1" t="s">
        <v>34</v>
      </c>
      <c r="C90" s="1" t="s">
        <v>13</v>
      </c>
      <c r="D90" s="1" t="s">
        <v>2</v>
      </c>
      <c r="E90" s="1" t="s">
        <v>7</v>
      </c>
      <c r="F90" s="1"/>
      <c r="G90" s="1"/>
      <c r="H90" s="1" t="s">
        <v>13</v>
      </c>
      <c r="I90" s="1" t="s">
        <v>2</v>
      </c>
      <c r="J90" s="1" t="s">
        <v>7</v>
      </c>
      <c r="K90" s="1" t="s">
        <v>11</v>
      </c>
      <c r="L90" s="1" t="s">
        <v>8</v>
      </c>
      <c r="M90" s="1" t="s">
        <v>5</v>
      </c>
      <c r="N90" s="1" t="s">
        <v>10</v>
      </c>
      <c r="O90" s="1" t="s">
        <v>9</v>
      </c>
      <c r="P90" s="1" t="s">
        <v>9</v>
      </c>
      <c r="Q90" s="1">
        <f>-100*(COUNTIF(t_BDD8[[#This Row],[ville 1 déjà faites]:[ville 8 déjà faites]],t_BDD8[[#This Row],[Attrib]]))*(t_BDD8[[#This Row],[Attrib]]&lt;&gt;"(rien)")-(t_BDD8[[#This Row],[Attrib]]="(rien)")</f>
        <v>-100</v>
      </c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 t="s">
        <v>116</v>
      </c>
      <c r="B91" s="1" t="s">
        <v>34</v>
      </c>
      <c r="C91" s="1" t="s">
        <v>11</v>
      </c>
      <c r="D91" s="1" t="s">
        <v>8</v>
      </c>
      <c r="E91" s="1" t="s">
        <v>1</v>
      </c>
      <c r="F91" s="1"/>
      <c r="G91" s="1"/>
      <c r="H91" s="1" t="s">
        <v>11</v>
      </c>
      <c r="I91" s="1" t="s">
        <v>8</v>
      </c>
      <c r="J91" s="1" t="s">
        <v>1</v>
      </c>
      <c r="K91" s="1" t="s">
        <v>9</v>
      </c>
      <c r="L91" s="1" t="s">
        <v>10</v>
      </c>
      <c r="M91" s="1" t="s">
        <v>2</v>
      </c>
      <c r="N91" s="1" t="s">
        <v>6</v>
      </c>
      <c r="O91" s="1" t="s">
        <v>13</v>
      </c>
      <c r="P91" s="1" t="s">
        <v>13</v>
      </c>
      <c r="Q91" s="1">
        <f>-100*(COUNTIF(t_BDD8[[#This Row],[ville 1 déjà faites]:[ville 8 déjà faites]],t_BDD8[[#This Row],[Attrib]]))*(t_BDD8[[#This Row],[Attrib]]&lt;&gt;"(rien)")-(t_BDD8[[#This Row],[Attrib]]="(rien)")</f>
        <v>-100</v>
      </c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 t="s">
        <v>117</v>
      </c>
      <c r="B92" s="1" t="s">
        <v>34</v>
      </c>
      <c r="C92" s="1" t="s">
        <v>10</v>
      </c>
      <c r="D92" s="1" t="s">
        <v>9</v>
      </c>
      <c r="E92" s="1" t="s">
        <v>0</v>
      </c>
      <c r="F92" s="1"/>
      <c r="G92" s="1"/>
      <c r="H92" s="1" t="s">
        <v>10</v>
      </c>
      <c r="I92" s="1" t="s">
        <v>9</v>
      </c>
      <c r="J92" s="1" t="s">
        <v>13</v>
      </c>
      <c r="K92" s="1" t="s">
        <v>0</v>
      </c>
      <c r="L92" s="1" t="s">
        <v>1</v>
      </c>
      <c r="M92" s="1" t="s">
        <v>5</v>
      </c>
      <c r="N92" s="1" t="s">
        <v>14</v>
      </c>
      <c r="O92" s="1" t="s">
        <v>2</v>
      </c>
      <c r="P92" s="1" t="s">
        <v>2</v>
      </c>
      <c r="Q92" s="1">
        <f>-100*(COUNTIF(t_BDD8[[#This Row],[ville 1 déjà faites]:[ville 8 déjà faites]],t_BDD8[[#This Row],[Attrib]]))*(t_BDD8[[#This Row],[Attrib]]&lt;&gt;"(rien)")-(t_BDD8[[#This Row],[Attrib]]="(rien)")</f>
        <v>-100</v>
      </c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 t="s">
        <v>118</v>
      </c>
      <c r="B93" s="1" t="s">
        <v>34</v>
      </c>
      <c r="C93" s="1" t="s">
        <v>6</v>
      </c>
      <c r="D93" s="1" t="s">
        <v>4</v>
      </c>
      <c r="E93" s="1" t="s">
        <v>13</v>
      </c>
      <c r="F93" s="1"/>
      <c r="G93" s="1"/>
      <c r="H93" s="1" t="s">
        <v>4</v>
      </c>
      <c r="I93" s="1" t="s">
        <v>6</v>
      </c>
      <c r="J93" s="1" t="s">
        <v>13</v>
      </c>
      <c r="K93" s="1" t="s">
        <v>2</v>
      </c>
      <c r="L93" s="1" t="s">
        <v>3</v>
      </c>
      <c r="M93" s="1" t="s">
        <v>9</v>
      </c>
      <c r="N93" s="1" t="s">
        <v>11</v>
      </c>
      <c r="O93" s="1" t="s">
        <v>1</v>
      </c>
      <c r="P93" s="1" t="s">
        <v>1</v>
      </c>
      <c r="Q93" s="1">
        <f>-100*(COUNTIF(t_BDD8[[#This Row],[ville 1 déjà faites]:[ville 8 déjà faites]],t_BDD8[[#This Row],[Attrib]]))*(t_BDD8[[#This Row],[Attrib]]&lt;&gt;"(rien)")-(t_BDD8[[#This Row],[Attrib]]="(rien)")</f>
        <v>-100</v>
      </c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 t="s">
        <v>119</v>
      </c>
      <c r="B94" s="1" t="s">
        <v>34</v>
      </c>
      <c r="C94" s="1" t="s">
        <v>2</v>
      </c>
      <c r="D94" s="1" t="s">
        <v>0</v>
      </c>
      <c r="E94" s="1" t="s">
        <v>13</v>
      </c>
      <c r="F94" s="1"/>
      <c r="G94" s="1"/>
      <c r="H94" s="1" t="s">
        <v>2</v>
      </c>
      <c r="I94" s="1" t="s">
        <v>13</v>
      </c>
      <c r="J94" s="1" t="s">
        <v>0</v>
      </c>
      <c r="K94" s="1" t="s">
        <v>14</v>
      </c>
      <c r="L94" s="1" t="s">
        <v>9</v>
      </c>
      <c r="M94" s="1" t="s">
        <v>11</v>
      </c>
      <c r="N94" s="1" t="s">
        <v>3</v>
      </c>
      <c r="O94" s="1" t="s">
        <v>10</v>
      </c>
      <c r="P94" s="1" t="s">
        <v>10</v>
      </c>
      <c r="Q94" s="1">
        <f>-100*(COUNTIF(t_BDD8[[#This Row],[ville 1 déjà faites]:[ville 8 déjà faites]],t_BDD8[[#This Row],[Attrib]]))*(t_BDD8[[#This Row],[Attrib]]&lt;&gt;"(rien)")-(t_BDD8[[#This Row],[Attrib]]="(rien)")</f>
        <v>-100</v>
      </c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 t="s">
        <v>120</v>
      </c>
      <c r="B95" s="1" t="s">
        <v>34</v>
      </c>
      <c r="C95" s="1" t="s">
        <v>14</v>
      </c>
      <c r="D95" s="1" t="s">
        <v>10</v>
      </c>
      <c r="E95" s="1" t="s">
        <v>13</v>
      </c>
      <c r="F95" s="1"/>
      <c r="G95" s="1"/>
      <c r="H95" s="1" t="s">
        <v>14</v>
      </c>
      <c r="I95" s="1" t="s">
        <v>13</v>
      </c>
      <c r="J95" s="1" t="s">
        <v>10</v>
      </c>
      <c r="K95" s="1" t="s">
        <v>11</v>
      </c>
      <c r="L95" s="1" t="s">
        <v>0</v>
      </c>
      <c r="M95" s="1" t="s">
        <v>1</v>
      </c>
      <c r="N95" s="1" t="s">
        <v>5</v>
      </c>
      <c r="O95" s="1" t="s">
        <v>3</v>
      </c>
      <c r="P95" s="1" t="s">
        <v>3</v>
      </c>
      <c r="Q95" s="1">
        <f>-100*(COUNTIF(t_BDD8[[#This Row],[ville 1 déjà faites]:[ville 8 déjà faites]],t_BDD8[[#This Row],[Attrib]]))*(t_BDD8[[#This Row],[Attrib]]&lt;&gt;"(rien)")-(t_BDD8[[#This Row],[Attrib]]="(rien)")</f>
        <v>-100</v>
      </c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 t="s">
        <v>121</v>
      </c>
      <c r="B96" s="1" t="s">
        <v>34</v>
      </c>
      <c r="C96" s="1" t="s">
        <v>0</v>
      </c>
      <c r="D96" s="1" t="s">
        <v>2</v>
      </c>
      <c r="E96" s="1" t="s">
        <v>6</v>
      </c>
      <c r="F96" s="1"/>
      <c r="G96" s="1"/>
      <c r="H96" s="1" t="s">
        <v>0</v>
      </c>
      <c r="I96" s="1" t="s">
        <v>2</v>
      </c>
      <c r="J96" s="1" t="s">
        <v>6</v>
      </c>
      <c r="K96" s="1" t="s">
        <v>5</v>
      </c>
      <c r="L96" s="1" t="s">
        <v>7</v>
      </c>
      <c r="M96" s="1" t="s">
        <v>4</v>
      </c>
      <c r="N96" s="1" t="s">
        <v>10</v>
      </c>
      <c r="O96" s="1" t="s">
        <v>1</v>
      </c>
      <c r="P96" s="1" t="s">
        <v>1</v>
      </c>
      <c r="Q96" s="1">
        <f>-100*(COUNTIF(t_BDD8[[#This Row],[ville 1 déjà faites]:[ville 8 déjà faites]],t_BDD8[[#This Row],[Attrib]]))*(t_BDD8[[#This Row],[Attrib]]&lt;&gt;"(rien)")-(t_BDD8[[#This Row],[Attrib]]="(rien)")</f>
        <v>-100</v>
      </c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 t="s">
        <v>122</v>
      </c>
      <c r="B97" s="1" t="s">
        <v>33</v>
      </c>
      <c r="C97" s="1" t="s">
        <v>10</v>
      </c>
      <c r="D97" s="1" t="s">
        <v>8</v>
      </c>
      <c r="E97" s="1" t="s">
        <v>13</v>
      </c>
      <c r="F97" s="1"/>
      <c r="G97" s="1"/>
      <c r="H97" s="1" t="s">
        <v>13</v>
      </c>
      <c r="I97" s="1" t="s">
        <v>10</v>
      </c>
      <c r="J97" s="1" t="s">
        <v>8</v>
      </c>
      <c r="K97" s="1" t="s">
        <v>251</v>
      </c>
      <c r="L97" s="1" t="s">
        <v>11</v>
      </c>
      <c r="M97" s="1" t="s">
        <v>6</v>
      </c>
      <c r="N97" s="1" t="s">
        <v>1</v>
      </c>
      <c r="O97" s="1" t="s">
        <v>5</v>
      </c>
      <c r="P97" s="1" t="s">
        <v>5</v>
      </c>
      <c r="Q97" s="1">
        <f>-100*(COUNTIF(t_BDD8[[#This Row],[ville 1 déjà faites]:[ville 8 déjà faites]],t_BDD8[[#This Row],[Attrib]]))*(t_BDD8[[#This Row],[Attrib]]&lt;&gt;"(rien)")-(t_BDD8[[#This Row],[Attrib]]="(rien)")</f>
        <v>-100</v>
      </c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 t="s">
        <v>123</v>
      </c>
      <c r="B98" s="1" t="s">
        <v>33</v>
      </c>
      <c r="C98" s="1" t="s">
        <v>5</v>
      </c>
      <c r="D98" s="1" t="s">
        <v>5</v>
      </c>
      <c r="E98" s="1" t="s">
        <v>7</v>
      </c>
      <c r="F98" s="1"/>
      <c r="G98" s="1"/>
      <c r="H98" s="1" t="s">
        <v>5</v>
      </c>
      <c r="I98" s="1" t="s">
        <v>13</v>
      </c>
      <c r="J98" s="1" t="s">
        <v>7</v>
      </c>
      <c r="K98" s="1" t="s">
        <v>11</v>
      </c>
      <c r="L98" s="1" t="s">
        <v>1</v>
      </c>
      <c r="M98" s="1" t="s">
        <v>8</v>
      </c>
      <c r="N98" s="1" t="s">
        <v>6</v>
      </c>
      <c r="O98" s="1" t="s">
        <v>251</v>
      </c>
      <c r="P98" s="1" t="s">
        <v>251</v>
      </c>
      <c r="Q98" s="1">
        <f>-100*(COUNTIF(t_BDD8[[#This Row],[ville 1 déjà faites]:[ville 8 déjà faites]],t_BDD8[[#This Row],[Attrib]]))*(t_BDD8[[#This Row],[Attrib]]&lt;&gt;"(rien)")-(t_BDD8[[#This Row],[Attrib]]="(rien)")</f>
        <v>-1</v>
      </c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 t="s">
        <v>124</v>
      </c>
      <c r="B99" s="1" t="s">
        <v>33</v>
      </c>
      <c r="C99" s="1" t="s">
        <v>12</v>
      </c>
      <c r="D99" s="1" t="s">
        <v>11</v>
      </c>
      <c r="E99" s="1" t="s">
        <v>6</v>
      </c>
      <c r="F99" s="1"/>
      <c r="G99" s="1"/>
      <c r="H99" s="1" t="s">
        <v>12</v>
      </c>
      <c r="I99" s="1" t="s">
        <v>11</v>
      </c>
      <c r="J99" s="1" t="s">
        <v>1</v>
      </c>
      <c r="K99" s="1" t="s">
        <v>13</v>
      </c>
      <c r="L99" s="1" t="s">
        <v>6</v>
      </c>
      <c r="M99" s="1" t="s">
        <v>251</v>
      </c>
      <c r="N99" s="1" t="s">
        <v>2</v>
      </c>
      <c r="O99" s="1" t="s">
        <v>8</v>
      </c>
      <c r="P99" s="1" t="s">
        <v>8</v>
      </c>
      <c r="Q99" s="1">
        <f>-100*(COUNTIF(t_BDD8[[#This Row],[ville 1 déjà faites]:[ville 8 déjà faites]],t_BDD8[[#This Row],[Attrib]]))*(t_BDD8[[#This Row],[Attrib]]&lt;&gt;"(rien)")-(t_BDD8[[#This Row],[Attrib]]="(rien)")</f>
        <v>-100</v>
      </c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 t="s">
        <v>125</v>
      </c>
      <c r="B100" s="1" t="s">
        <v>33</v>
      </c>
      <c r="C100" s="1" t="s">
        <v>0</v>
      </c>
      <c r="D100" s="1" t="s">
        <v>6</v>
      </c>
      <c r="E100" s="1" t="s">
        <v>5</v>
      </c>
      <c r="F100" s="1"/>
      <c r="G100" s="1"/>
      <c r="H100" s="1" t="s">
        <v>0</v>
      </c>
      <c r="I100" s="1" t="s">
        <v>1</v>
      </c>
      <c r="J100" s="1" t="s">
        <v>5</v>
      </c>
      <c r="K100" s="1" t="s">
        <v>11</v>
      </c>
      <c r="L100" s="1" t="s">
        <v>6</v>
      </c>
      <c r="M100" s="1" t="s">
        <v>13</v>
      </c>
      <c r="N100" s="1" t="s">
        <v>2</v>
      </c>
      <c r="O100" s="1" t="s">
        <v>9</v>
      </c>
      <c r="P100" s="1" t="s">
        <v>9</v>
      </c>
      <c r="Q100" s="1">
        <f>-100*(COUNTIF(t_BDD8[[#This Row],[ville 1 déjà faites]:[ville 8 déjà faites]],t_BDD8[[#This Row],[Attrib]]))*(t_BDD8[[#This Row],[Attrib]]&lt;&gt;"(rien)")-(t_BDD8[[#This Row],[Attrib]]="(rien)")</f>
        <v>-100</v>
      </c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 t="s">
        <v>126</v>
      </c>
      <c r="B101" s="1" t="s">
        <v>33</v>
      </c>
      <c r="C101" s="1" t="s">
        <v>13</v>
      </c>
      <c r="D101" s="1" t="s">
        <v>8</v>
      </c>
      <c r="E101" s="1" t="s">
        <v>14</v>
      </c>
      <c r="F101" s="1"/>
      <c r="G101" s="1"/>
      <c r="H101" s="1" t="s">
        <v>13</v>
      </c>
      <c r="I101" s="1" t="s">
        <v>8</v>
      </c>
      <c r="J101" s="1" t="s">
        <v>251</v>
      </c>
      <c r="K101" s="1" t="s">
        <v>14</v>
      </c>
      <c r="L101" s="1" t="s">
        <v>7</v>
      </c>
      <c r="M101" s="1" t="s">
        <v>4</v>
      </c>
      <c r="N101" s="1" t="s">
        <v>5</v>
      </c>
      <c r="O101" s="1" t="s">
        <v>0</v>
      </c>
      <c r="P101" s="1" t="s">
        <v>0</v>
      </c>
      <c r="Q101" s="1">
        <f>-100*(COUNTIF(t_BDD8[[#This Row],[ville 1 déjà faites]:[ville 8 déjà faites]],t_BDD8[[#This Row],[Attrib]]))*(t_BDD8[[#This Row],[Attrib]]&lt;&gt;"(rien)")-(t_BDD8[[#This Row],[Attrib]]="(rien)")</f>
        <v>-100</v>
      </c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 t="s">
        <v>127</v>
      </c>
      <c r="B102" s="1" t="s">
        <v>33</v>
      </c>
      <c r="C102" s="1" t="s">
        <v>14</v>
      </c>
      <c r="D102" s="1" t="s">
        <v>11</v>
      </c>
      <c r="E102" s="1" t="s">
        <v>3</v>
      </c>
      <c r="F102" s="1"/>
      <c r="G102" s="1"/>
      <c r="H102" s="1" t="s">
        <v>14</v>
      </c>
      <c r="I102" s="1" t="s">
        <v>11</v>
      </c>
      <c r="J102" s="1" t="s">
        <v>251</v>
      </c>
      <c r="K102" s="1" t="s">
        <v>4</v>
      </c>
      <c r="L102" s="1" t="s">
        <v>1</v>
      </c>
      <c r="M102" s="1" t="s">
        <v>3</v>
      </c>
      <c r="N102" s="1" t="s">
        <v>13</v>
      </c>
      <c r="O102" s="1" t="s">
        <v>5</v>
      </c>
      <c r="P102" s="1" t="s">
        <v>5</v>
      </c>
      <c r="Q102" s="1">
        <f>-100*(COUNTIF(t_BDD8[[#This Row],[ville 1 déjà faites]:[ville 8 déjà faites]],t_BDD8[[#This Row],[Attrib]]))*(t_BDD8[[#This Row],[Attrib]]&lt;&gt;"(rien)")-(t_BDD8[[#This Row],[Attrib]]="(rien)")</f>
        <v>-100</v>
      </c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 t="s">
        <v>128</v>
      </c>
      <c r="B103" s="1" t="s">
        <v>33</v>
      </c>
      <c r="C103" s="1" t="s">
        <v>3</v>
      </c>
      <c r="D103" s="1" t="s">
        <v>11</v>
      </c>
      <c r="E103" s="1" t="s">
        <v>9</v>
      </c>
      <c r="F103" s="1"/>
      <c r="G103" s="1"/>
      <c r="H103" s="1" t="s">
        <v>1</v>
      </c>
      <c r="I103" s="1" t="s">
        <v>11</v>
      </c>
      <c r="J103" s="1" t="s">
        <v>3</v>
      </c>
      <c r="K103" s="1" t="s">
        <v>9</v>
      </c>
      <c r="L103" s="1" t="s">
        <v>251</v>
      </c>
      <c r="M103" s="1" t="s">
        <v>4</v>
      </c>
      <c r="N103" s="1" t="s">
        <v>251</v>
      </c>
      <c r="O103" s="1" t="s">
        <v>13</v>
      </c>
      <c r="P103" s="1" t="s">
        <v>13</v>
      </c>
      <c r="Q103" s="1">
        <f>-100*(COUNTIF(t_BDD8[[#This Row],[ville 1 déjà faites]:[ville 8 déjà faites]],t_BDD8[[#This Row],[Attrib]]))*(t_BDD8[[#This Row],[Attrib]]&lt;&gt;"(rien)")-(t_BDD8[[#This Row],[Attrib]]="(rien)")</f>
        <v>-100</v>
      </c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 t="s">
        <v>129</v>
      </c>
      <c r="B104" s="1" t="s">
        <v>33</v>
      </c>
      <c r="C104" s="1" t="s">
        <v>11</v>
      </c>
      <c r="D104" s="1" t="s">
        <v>5</v>
      </c>
      <c r="E104" s="1" t="s">
        <v>12</v>
      </c>
      <c r="F104" s="1"/>
      <c r="G104" s="1"/>
      <c r="H104" s="1" t="s">
        <v>11</v>
      </c>
      <c r="I104" s="1" t="s">
        <v>5</v>
      </c>
      <c r="J104" s="1" t="s">
        <v>13</v>
      </c>
      <c r="K104" s="1" t="s">
        <v>1</v>
      </c>
      <c r="L104" s="1" t="s">
        <v>8</v>
      </c>
      <c r="M104" s="1" t="s">
        <v>12</v>
      </c>
      <c r="N104" s="1" t="s">
        <v>251</v>
      </c>
      <c r="O104" s="1" t="s">
        <v>2</v>
      </c>
      <c r="P104" s="1" t="s">
        <v>2</v>
      </c>
      <c r="Q104" s="1">
        <f>-100*(COUNTIF(t_BDD8[[#This Row],[ville 1 déjà faites]:[ville 8 déjà faites]],t_BDD8[[#This Row],[Attrib]]))*(t_BDD8[[#This Row],[Attrib]]&lt;&gt;"(rien)")-(t_BDD8[[#This Row],[Attrib]]="(rien)")</f>
        <v>-100</v>
      </c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 t="s">
        <v>130</v>
      </c>
      <c r="B105" s="1" t="s">
        <v>33</v>
      </c>
      <c r="C105" s="1" t="s">
        <v>8</v>
      </c>
      <c r="D105" s="1" t="s">
        <v>11</v>
      </c>
      <c r="E105" s="1" t="s">
        <v>11</v>
      </c>
      <c r="F105" s="1"/>
      <c r="G105" s="1"/>
      <c r="H105" s="1" t="s">
        <v>1</v>
      </c>
      <c r="I105" s="1" t="s">
        <v>8</v>
      </c>
      <c r="J105" s="1" t="s">
        <v>11</v>
      </c>
      <c r="K105" s="1" t="s">
        <v>13</v>
      </c>
      <c r="L105" s="1" t="s">
        <v>4</v>
      </c>
      <c r="M105" s="1" t="s">
        <v>9</v>
      </c>
      <c r="N105" s="1" t="s">
        <v>2</v>
      </c>
      <c r="O105" s="1" t="s">
        <v>251</v>
      </c>
      <c r="P105" s="1" t="s">
        <v>251</v>
      </c>
      <c r="Q105" s="1">
        <f>-100*(COUNTIF(t_BDD8[[#This Row],[ville 1 déjà faites]:[ville 8 déjà faites]],t_BDD8[[#This Row],[Attrib]]))*(t_BDD8[[#This Row],[Attrib]]&lt;&gt;"(rien)")-(t_BDD8[[#This Row],[Attrib]]="(rien)")</f>
        <v>-1</v>
      </c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 t="s">
        <v>131</v>
      </c>
      <c r="B106" s="1" t="s">
        <v>33</v>
      </c>
      <c r="C106" s="1" t="s">
        <v>10</v>
      </c>
      <c r="D106" s="1" t="s">
        <v>13</v>
      </c>
      <c r="E106" s="1" t="s">
        <v>5</v>
      </c>
      <c r="F106" s="1"/>
      <c r="G106" s="1"/>
      <c r="H106" s="1" t="s">
        <v>10</v>
      </c>
      <c r="I106" s="1" t="s">
        <v>13</v>
      </c>
      <c r="J106" s="1" t="s">
        <v>5</v>
      </c>
      <c r="K106" s="1" t="s">
        <v>1</v>
      </c>
      <c r="L106" s="1" t="s">
        <v>11</v>
      </c>
      <c r="M106" s="1" t="s">
        <v>4</v>
      </c>
      <c r="N106" s="1" t="s">
        <v>251</v>
      </c>
      <c r="O106" s="1" t="s">
        <v>0</v>
      </c>
      <c r="P106" s="1" t="s">
        <v>0</v>
      </c>
      <c r="Q106" s="1">
        <f>-100*(COUNTIF(t_BDD8[[#This Row],[ville 1 déjà faites]:[ville 8 déjà faites]],t_BDD8[[#This Row],[Attrib]]))*(t_BDD8[[#This Row],[Attrib]]&lt;&gt;"(rien)")-(t_BDD8[[#This Row],[Attrib]]="(rien)")</f>
        <v>-100</v>
      </c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 t="s">
        <v>132</v>
      </c>
      <c r="B107" s="1" t="s">
        <v>33</v>
      </c>
      <c r="C107" s="1" t="s">
        <v>6</v>
      </c>
      <c r="D107" s="1" t="s">
        <v>5</v>
      </c>
      <c r="E107" s="1" t="s">
        <v>9</v>
      </c>
      <c r="F107" s="1"/>
      <c r="G107" s="1"/>
      <c r="H107" s="1" t="s">
        <v>5</v>
      </c>
      <c r="I107" s="1" t="s">
        <v>13</v>
      </c>
      <c r="J107" s="1" t="s">
        <v>6</v>
      </c>
      <c r="K107" s="1" t="s">
        <v>9</v>
      </c>
      <c r="L107" s="1" t="s">
        <v>251</v>
      </c>
      <c r="M107" s="1" t="s">
        <v>0</v>
      </c>
      <c r="N107" s="1" t="s">
        <v>11</v>
      </c>
      <c r="O107" s="1" t="s">
        <v>1</v>
      </c>
      <c r="P107" s="1" t="s">
        <v>1</v>
      </c>
      <c r="Q107" s="1">
        <f>-100*(COUNTIF(t_BDD8[[#This Row],[ville 1 déjà faites]:[ville 8 déjà faites]],t_BDD8[[#This Row],[Attrib]]))*(t_BDD8[[#This Row],[Attrib]]&lt;&gt;"(rien)")-(t_BDD8[[#This Row],[Attrib]]="(rien)")</f>
        <v>-100</v>
      </c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 t="s">
        <v>133</v>
      </c>
      <c r="B108" s="1" t="s">
        <v>33</v>
      </c>
      <c r="C108" s="1" t="s">
        <v>2</v>
      </c>
      <c r="D108" s="1" t="s">
        <v>3</v>
      </c>
      <c r="E108" s="1" t="s">
        <v>5</v>
      </c>
      <c r="F108" s="1"/>
      <c r="G108" s="1"/>
      <c r="H108" s="1" t="s">
        <v>5</v>
      </c>
      <c r="I108" s="1" t="s">
        <v>2</v>
      </c>
      <c r="J108" s="1" t="s">
        <v>11</v>
      </c>
      <c r="K108" s="1" t="s">
        <v>3</v>
      </c>
      <c r="L108" s="1" t="s">
        <v>13</v>
      </c>
      <c r="M108" s="1" t="s">
        <v>1</v>
      </c>
      <c r="N108" s="1" t="s">
        <v>251</v>
      </c>
      <c r="O108" s="1" t="s">
        <v>8</v>
      </c>
      <c r="P108" s="1" t="s">
        <v>8</v>
      </c>
      <c r="Q108" s="1">
        <f>-100*(COUNTIF(t_BDD8[[#This Row],[ville 1 déjà faites]:[ville 8 déjà faites]],t_BDD8[[#This Row],[Attrib]]))*(t_BDD8[[#This Row],[Attrib]]&lt;&gt;"(rien)")-(t_BDD8[[#This Row],[Attrib]]="(rien)")</f>
        <v>-100</v>
      </c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 t="s">
        <v>134</v>
      </c>
      <c r="B109" s="1" t="s">
        <v>33</v>
      </c>
      <c r="C109" s="1" t="s">
        <v>1</v>
      </c>
      <c r="D109" s="1" t="s">
        <v>8</v>
      </c>
      <c r="E109" s="1" t="s">
        <v>14</v>
      </c>
      <c r="F109" s="1"/>
      <c r="G109" s="1"/>
      <c r="H109" s="1" t="s">
        <v>1</v>
      </c>
      <c r="I109" s="1" t="s">
        <v>8</v>
      </c>
      <c r="J109" s="1" t="s">
        <v>14</v>
      </c>
      <c r="K109" s="1" t="s">
        <v>5</v>
      </c>
      <c r="L109" s="1" t="s">
        <v>11</v>
      </c>
      <c r="M109" s="1" t="s">
        <v>2</v>
      </c>
      <c r="N109" s="1" t="s">
        <v>13</v>
      </c>
      <c r="O109" s="1" t="s">
        <v>251</v>
      </c>
      <c r="P109" s="1" t="s">
        <v>251</v>
      </c>
      <c r="Q109" s="1">
        <f>-100*(COUNTIF(t_BDD8[[#This Row],[ville 1 déjà faites]:[ville 8 déjà faites]],t_BDD8[[#This Row],[Attrib]]))*(t_BDD8[[#This Row],[Attrib]]&lt;&gt;"(rien)")-(t_BDD8[[#This Row],[Attrib]]="(rien)")</f>
        <v>-1</v>
      </c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 t="s">
        <v>135</v>
      </c>
      <c r="B110" s="1" t="s">
        <v>33</v>
      </c>
      <c r="C110" s="1" t="s">
        <v>14</v>
      </c>
      <c r="D110" s="1" t="s">
        <v>0</v>
      </c>
      <c r="E110" s="1" t="s">
        <v>3</v>
      </c>
      <c r="F110" s="1"/>
      <c r="G110" s="1"/>
      <c r="H110" s="1" t="s">
        <v>1</v>
      </c>
      <c r="I110" s="1" t="s">
        <v>0</v>
      </c>
      <c r="J110" s="1" t="s">
        <v>14</v>
      </c>
      <c r="K110" s="1" t="s">
        <v>7</v>
      </c>
      <c r="L110" s="1" t="s">
        <v>2</v>
      </c>
      <c r="M110" s="1" t="s">
        <v>13</v>
      </c>
      <c r="N110" s="1" t="s">
        <v>3</v>
      </c>
      <c r="O110" s="1" t="s">
        <v>4</v>
      </c>
      <c r="P110" s="1" t="s">
        <v>4</v>
      </c>
      <c r="Q110" s="1">
        <f>-100*(COUNTIF(t_BDD8[[#This Row],[ville 1 déjà faites]:[ville 8 déjà faites]],t_BDD8[[#This Row],[Attrib]]))*(t_BDD8[[#This Row],[Attrib]]&lt;&gt;"(rien)")-(t_BDD8[[#This Row],[Attrib]]="(rien)")</f>
        <v>-100</v>
      </c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 t="s">
        <v>136</v>
      </c>
      <c r="B111" s="1" t="s">
        <v>33</v>
      </c>
      <c r="C111" s="1" t="s">
        <v>3</v>
      </c>
      <c r="D111" s="1" t="s">
        <v>11</v>
      </c>
      <c r="E111" s="1" t="s">
        <v>0</v>
      </c>
      <c r="F111" s="1"/>
      <c r="G111" s="1"/>
      <c r="H111" s="1" t="s">
        <v>3</v>
      </c>
      <c r="I111" s="1" t="s">
        <v>11</v>
      </c>
      <c r="J111" s="1" t="s">
        <v>0</v>
      </c>
      <c r="K111" s="1" t="s">
        <v>13</v>
      </c>
      <c r="L111" s="1" t="s">
        <v>4</v>
      </c>
      <c r="M111" s="1" t="s">
        <v>1</v>
      </c>
      <c r="N111" s="1" t="s">
        <v>5</v>
      </c>
      <c r="O111" s="1" t="s">
        <v>251</v>
      </c>
      <c r="P111" s="1" t="s">
        <v>251</v>
      </c>
      <c r="Q111" s="1">
        <f>-100*(COUNTIF(t_BDD8[[#This Row],[ville 1 déjà faites]:[ville 8 déjà faites]],t_BDD8[[#This Row],[Attrib]]))*(t_BDD8[[#This Row],[Attrib]]&lt;&gt;"(rien)")-(t_BDD8[[#This Row],[Attrib]]="(rien)")</f>
        <v>-1</v>
      </c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 t="s">
        <v>137</v>
      </c>
      <c r="B112" s="1" t="s">
        <v>33</v>
      </c>
      <c r="C112" s="1" t="s">
        <v>11</v>
      </c>
      <c r="D112" s="1" t="s">
        <v>5</v>
      </c>
      <c r="E112" s="1" t="s">
        <v>12</v>
      </c>
      <c r="F112" s="1"/>
      <c r="G112" s="1"/>
      <c r="H112" s="1" t="s">
        <v>11</v>
      </c>
      <c r="I112" s="1" t="s">
        <v>5</v>
      </c>
      <c r="J112" s="1" t="s">
        <v>13</v>
      </c>
      <c r="K112" s="1" t="s">
        <v>8</v>
      </c>
      <c r="L112" s="1" t="s">
        <v>7</v>
      </c>
      <c r="M112" s="1" t="s">
        <v>12</v>
      </c>
      <c r="N112" s="1" t="s">
        <v>4</v>
      </c>
      <c r="O112" s="1" t="s">
        <v>1</v>
      </c>
      <c r="P112" s="1" t="s">
        <v>1</v>
      </c>
      <c r="Q112" s="1">
        <f>-100*(COUNTIF(t_BDD8[[#This Row],[ville 1 déjà faites]:[ville 8 déjà faites]],t_BDD8[[#This Row],[Attrib]]))*(t_BDD8[[#This Row],[Attrib]]&lt;&gt;"(rien)")-(t_BDD8[[#This Row],[Attrib]]="(rien)")</f>
        <v>-100</v>
      </c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 t="s">
        <v>138</v>
      </c>
      <c r="B113" s="1" t="s">
        <v>33</v>
      </c>
      <c r="C113" s="1" t="s">
        <v>2</v>
      </c>
      <c r="D113" s="1" t="s">
        <v>6</v>
      </c>
      <c r="E113" s="1" t="s">
        <v>3</v>
      </c>
      <c r="F113" s="1"/>
      <c r="G113" s="1"/>
      <c r="H113" s="1" t="s">
        <v>2</v>
      </c>
      <c r="I113" s="1" t="s">
        <v>13</v>
      </c>
      <c r="J113" s="1" t="s">
        <v>251</v>
      </c>
      <c r="K113" s="1" t="s">
        <v>11</v>
      </c>
      <c r="L113" s="1" t="s">
        <v>6</v>
      </c>
      <c r="M113" s="1" t="s">
        <v>7</v>
      </c>
      <c r="N113" s="1" t="s">
        <v>8</v>
      </c>
      <c r="O113" s="1" t="s">
        <v>1</v>
      </c>
      <c r="P113" s="1" t="s">
        <v>1</v>
      </c>
      <c r="Q113" s="1">
        <f>-100*(COUNTIF(t_BDD8[[#This Row],[ville 1 déjà faites]:[ville 8 déjà faites]],t_BDD8[[#This Row],[Attrib]]))*(t_BDD8[[#This Row],[Attrib]]&lt;&gt;"(rien)")-(t_BDD8[[#This Row],[Attrib]]="(rien)")</f>
        <v>-100</v>
      </c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 t="s">
        <v>139</v>
      </c>
      <c r="B114" s="1" t="s">
        <v>33</v>
      </c>
      <c r="C114" s="1" t="s">
        <v>5</v>
      </c>
      <c r="D114" s="1" t="s">
        <v>1</v>
      </c>
      <c r="E114" s="1" t="s">
        <v>7</v>
      </c>
      <c r="F114" s="1"/>
      <c r="G114" s="1"/>
      <c r="H114" s="1" t="s">
        <v>5</v>
      </c>
      <c r="I114" s="1" t="s">
        <v>1</v>
      </c>
      <c r="J114" s="1" t="s">
        <v>7</v>
      </c>
      <c r="K114" s="1" t="s">
        <v>11</v>
      </c>
      <c r="L114" s="1" t="s">
        <v>2</v>
      </c>
      <c r="M114" s="1" t="s">
        <v>8</v>
      </c>
      <c r="N114" s="1" t="s">
        <v>13</v>
      </c>
      <c r="O114" s="1" t="s">
        <v>251</v>
      </c>
      <c r="P114" s="1" t="s">
        <v>251</v>
      </c>
      <c r="Q114" s="1">
        <f>-100*(COUNTIF(t_BDD8[[#This Row],[ville 1 déjà faites]:[ville 8 déjà faites]],t_BDD8[[#This Row],[Attrib]]))*(t_BDD8[[#This Row],[Attrib]]&lt;&gt;"(rien)")-(t_BDD8[[#This Row],[Attrib]]="(rien)")</f>
        <v>-1</v>
      </c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 t="s">
        <v>140</v>
      </c>
      <c r="B115" s="1" t="s">
        <v>33</v>
      </c>
      <c r="C115" s="1" t="s">
        <v>3</v>
      </c>
      <c r="D115" s="1" t="s">
        <v>4</v>
      </c>
      <c r="E115" s="1" t="s">
        <v>11</v>
      </c>
      <c r="F115" s="1"/>
      <c r="G115" s="1"/>
      <c r="H115" s="1" t="s">
        <v>251</v>
      </c>
      <c r="I115" s="1" t="s">
        <v>4</v>
      </c>
      <c r="J115" s="1" t="s">
        <v>3</v>
      </c>
      <c r="K115" s="1" t="s">
        <v>11</v>
      </c>
      <c r="L115" s="1" t="s">
        <v>5</v>
      </c>
      <c r="M115" s="1" t="s">
        <v>0</v>
      </c>
      <c r="N115" s="1" t="s">
        <v>9</v>
      </c>
      <c r="O115" s="1" t="s">
        <v>1</v>
      </c>
      <c r="P115" s="1" t="s">
        <v>1</v>
      </c>
      <c r="Q115" s="1">
        <f>-100*(COUNTIF(t_BDD8[[#This Row],[ville 1 déjà faites]:[ville 8 déjà faites]],t_BDD8[[#This Row],[Attrib]]))*(t_BDD8[[#This Row],[Attrib]]&lt;&gt;"(rien)")-(t_BDD8[[#This Row],[Attrib]]="(rien)")</f>
        <v>-100</v>
      </c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 t="s">
        <v>141</v>
      </c>
      <c r="B116" s="1" t="s">
        <v>33</v>
      </c>
      <c r="C116" s="1" t="s">
        <v>5</v>
      </c>
      <c r="D116" s="1" t="s">
        <v>5</v>
      </c>
      <c r="E116" s="1" t="s">
        <v>0</v>
      </c>
      <c r="F116" s="1"/>
      <c r="G116" s="1"/>
      <c r="H116" s="1" t="s">
        <v>5</v>
      </c>
      <c r="I116" s="1" t="s">
        <v>251</v>
      </c>
      <c r="J116" s="1" t="s">
        <v>11</v>
      </c>
      <c r="K116" s="1" t="s">
        <v>0</v>
      </c>
      <c r="L116" s="1" t="s">
        <v>13</v>
      </c>
      <c r="M116" s="1" t="s">
        <v>2</v>
      </c>
      <c r="N116" s="1" t="s">
        <v>1</v>
      </c>
      <c r="O116" s="1" t="s">
        <v>6</v>
      </c>
      <c r="P116" s="1" t="s">
        <v>6</v>
      </c>
      <c r="Q116" s="1">
        <f>-100*(COUNTIF(t_BDD8[[#This Row],[ville 1 déjà faites]:[ville 8 déjà faites]],t_BDD8[[#This Row],[Attrib]]))*(t_BDD8[[#This Row],[Attrib]]&lt;&gt;"(rien)")-(t_BDD8[[#This Row],[Attrib]]="(rien)")</f>
        <v>-100</v>
      </c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 t="s">
        <v>142</v>
      </c>
      <c r="B117" s="1" t="s">
        <v>33</v>
      </c>
      <c r="C117" s="1" t="s">
        <v>8</v>
      </c>
      <c r="D117" s="1" t="s">
        <v>0</v>
      </c>
      <c r="E117" s="1" t="s">
        <v>12</v>
      </c>
      <c r="F117" s="1"/>
      <c r="G117" s="1"/>
      <c r="H117" s="1" t="s">
        <v>8</v>
      </c>
      <c r="I117" s="1" t="s">
        <v>0</v>
      </c>
      <c r="J117" s="1" t="s">
        <v>251</v>
      </c>
      <c r="K117" s="1" t="s">
        <v>12</v>
      </c>
      <c r="L117" s="1" t="s">
        <v>5</v>
      </c>
      <c r="M117" s="1" t="s">
        <v>2</v>
      </c>
      <c r="N117" s="1" t="s">
        <v>13</v>
      </c>
      <c r="O117" s="1" t="s">
        <v>1</v>
      </c>
      <c r="P117" s="1" t="s">
        <v>1</v>
      </c>
      <c r="Q117" s="1">
        <f>-100*(COUNTIF(t_BDD8[[#This Row],[ville 1 déjà faites]:[ville 8 déjà faites]],t_BDD8[[#This Row],[Attrib]]))*(t_BDD8[[#This Row],[Attrib]]&lt;&gt;"(rien)")-(t_BDD8[[#This Row],[Attrib]]="(rien)")</f>
        <v>-100</v>
      </c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 t="s">
        <v>143</v>
      </c>
      <c r="B118" s="1" t="s">
        <v>33</v>
      </c>
      <c r="C118" s="1" t="s">
        <v>11</v>
      </c>
      <c r="D118" s="1" t="s">
        <v>4</v>
      </c>
      <c r="E118" s="1" t="s">
        <v>12</v>
      </c>
      <c r="F118" s="1"/>
      <c r="G118" s="1"/>
      <c r="H118" s="1" t="s">
        <v>11</v>
      </c>
      <c r="I118" s="1" t="s">
        <v>251</v>
      </c>
      <c r="J118" s="1" t="s">
        <v>4</v>
      </c>
      <c r="K118" s="1" t="s">
        <v>1</v>
      </c>
      <c r="L118" s="1" t="s">
        <v>12</v>
      </c>
      <c r="M118" s="1" t="s">
        <v>2</v>
      </c>
      <c r="N118" s="1" t="s">
        <v>5</v>
      </c>
      <c r="O118" s="1" t="s">
        <v>13</v>
      </c>
      <c r="P118" s="1" t="s">
        <v>13</v>
      </c>
      <c r="Q118" s="1">
        <f>-100*(COUNTIF(t_BDD8[[#This Row],[ville 1 déjà faites]:[ville 8 déjà faites]],t_BDD8[[#This Row],[Attrib]]))*(t_BDD8[[#This Row],[Attrib]]&lt;&gt;"(rien)")-(t_BDD8[[#This Row],[Attrib]]="(rien)")</f>
        <v>-100</v>
      </c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 t="s">
        <v>144</v>
      </c>
      <c r="B119" s="1" t="s">
        <v>33</v>
      </c>
      <c r="C119" s="1" t="s">
        <v>0</v>
      </c>
      <c r="D119" s="1" t="s">
        <v>5</v>
      </c>
      <c r="E119" s="1" t="s">
        <v>3</v>
      </c>
      <c r="F119" s="1"/>
      <c r="G119" s="1"/>
      <c r="H119" s="1" t="s">
        <v>0</v>
      </c>
      <c r="I119" s="1" t="s">
        <v>5</v>
      </c>
      <c r="J119" s="1" t="s">
        <v>11</v>
      </c>
      <c r="K119" s="1" t="s">
        <v>4</v>
      </c>
      <c r="L119" s="1" t="s">
        <v>7</v>
      </c>
      <c r="M119" s="1" t="s">
        <v>13</v>
      </c>
      <c r="N119" s="1" t="s">
        <v>3</v>
      </c>
      <c r="O119" s="1" t="s">
        <v>1</v>
      </c>
      <c r="P119" s="1" t="s">
        <v>1</v>
      </c>
      <c r="Q119" s="1">
        <f>-100*(COUNTIF(t_BDD8[[#This Row],[ville 1 déjà faites]:[ville 8 déjà faites]],t_BDD8[[#This Row],[Attrib]]))*(t_BDD8[[#This Row],[Attrib]]&lt;&gt;"(rien)")-(t_BDD8[[#This Row],[Attrib]]="(rien)")</f>
        <v>-100</v>
      </c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 t="s">
        <v>145</v>
      </c>
      <c r="B120" s="1" t="s">
        <v>33</v>
      </c>
      <c r="C120" s="1" t="s">
        <v>6</v>
      </c>
      <c r="D120" s="1" t="s">
        <v>10</v>
      </c>
      <c r="E120" s="1" t="s">
        <v>0</v>
      </c>
      <c r="F120" s="1"/>
      <c r="G120" s="1"/>
      <c r="H120" s="1" t="s">
        <v>251</v>
      </c>
      <c r="I120" s="1" t="s">
        <v>1</v>
      </c>
      <c r="J120" s="1" t="s">
        <v>6</v>
      </c>
      <c r="K120" s="1" t="s">
        <v>11</v>
      </c>
      <c r="L120" s="1" t="s">
        <v>0</v>
      </c>
      <c r="M120" s="1" t="s">
        <v>9</v>
      </c>
      <c r="N120" s="1" t="s">
        <v>13</v>
      </c>
      <c r="O120" s="1" t="s">
        <v>10</v>
      </c>
      <c r="P120" s="1" t="s">
        <v>10</v>
      </c>
      <c r="Q120" s="1">
        <f>-100*(COUNTIF(t_BDD8[[#This Row],[ville 1 déjà faites]:[ville 8 déjà faites]],t_BDD8[[#This Row],[Attrib]]))*(t_BDD8[[#This Row],[Attrib]]&lt;&gt;"(rien)")-(t_BDD8[[#This Row],[Attrib]]="(rien)")</f>
        <v>-100</v>
      </c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 t="s">
        <v>146</v>
      </c>
      <c r="B121" s="1" t="s">
        <v>33</v>
      </c>
      <c r="C121" s="1" t="s">
        <v>6</v>
      </c>
      <c r="D121" s="1" t="s">
        <v>10</v>
      </c>
      <c r="E121" s="1" t="s">
        <v>3</v>
      </c>
      <c r="F121" s="1"/>
      <c r="G121" s="1"/>
      <c r="H121" s="1" t="s">
        <v>6</v>
      </c>
      <c r="I121" s="1" t="s">
        <v>251</v>
      </c>
      <c r="J121" s="1" t="s">
        <v>251</v>
      </c>
      <c r="K121" s="1" t="s">
        <v>13</v>
      </c>
      <c r="L121" s="1" t="s">
        <v>11</v>
      </c>
      <c r="M121" s="1" t="s">
        <v>1</v>
      </c>
      <c r="N121" s="1" t="s">
        <v>3</v>
      </c>
      <c r="O121" s="1" t="s">
        <v>5</v>
      </c>
      <c r="P121" s="1" t="s">
        <v>5</v>
      </c>
      <c r="Q121" s="1">
        <f>-100*(COUNTIF(t_BDD8[[#This Row],[ville 1 déjà faites]:[ville 8 déjà faites]],t_BDD8[[#This Row],[Attrib]]))*(t_BDD8[[#This Row],[Attrib]]&lt;&gt;"(rien)")-(t_BDD8[[#This Row],[Attrib]]="(rien)")</f>
        <v>-100</v>
      </c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 t="s">
        <v>147</v>
      </c>
      <c r="B122" s="1" t="s">
        <v>33</v>
      </c>
      <c r="C122" s="1" t="s">
        <v>9</v>
      </c>
      <c r="D122" s="1" t="s">
        <v>3</v>
      </c>
      <c r="E122" s="1" t="s">
        <v>11</v>
      </c>
      <c r="F122" s="1"/>
      <c r="G122" s="1"/>
      <c r="H122" s="1" t="s">
        <v>9</v>
      </c>
      <c r="I122" s="1" t="s">
        <v>11</v>
      </c>
      <c r="J122" s="1" t="s">
        <v>1</v>
      </c>
      <c r="K122" s="1" t="s">
        <v>3</v>
      </c>
      <c r="L122" s="1" t="s">
        <v>5</v>
      </c>
      <c r="M122" s="1" t="s">
        <v>13</v>
      </c>
      <c r="N122" s="1" t="s">
        <v>4</v>
      </c>
      <c r="O122" s="1" t="s">
        <v>251</v>
      </c>
      <c r="P122" s="1" t="s">
        <v>251</v>
      </c>
      <c r="Q122" s="1">
        <f>-100*(COUNTIF(t_BDD8[[#This Row],[ville 1 déjà faites]:[ville 8 déjà faites]],t_BDD8[[#This Row],[Attrib]]))*(t_BDD8[[#This Row],[Attrib]]&lt;&gt;"(rien)")-(t_BDD8[[#This Row],[Attrib]]="(rien)")</f>
        <v>-1</v>
      </c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 t="s">
        <v>148</v>
      </c>
      <c r="B123" s="1" t="s">
        <v>33</v>
      </c>
      <c r="C123" s="1" t="s">
        <v>3</v>
      </c>
      <c r="D123" s="1" t="s">
        <v>7</v>
      </c>
      <c r="E123" s="1" t="s">
        <v>2</v>
      </c>
      <c r="F123" s="1"/>
      <c r="G123" s="1"/>
      <c r="H123" s="1" t="s">
        <v>7</v>
      </c>
      <c r="I123" s="1" t="s">
        <v>251</v>
      </c>
      <c r="J123" s="1" t="s">
        <v>3</v>
      </c>
      <c r="K123" s="1" t="s">
        <v>2</v>
      </c>
      <c r="L123" s="1" t="s">
        <v>0</v>
      </c>
      <c r="M123" s="1" t="s">
        <v>1</v>
      </c>
      <c r="N123" s="1" t="s">
        <v>4</v>
      </c>
      <c r="O123" s="1" t="s">
        <v>6</v>
      </c>
      <c r="P123" s="1" t="s">
        <v>6</v>
      </c>
      <c r="Q123" s="1">
        <f>-100*(COUNTIF(t_BDD8[[#This Row],[ville 1 déjà faites]:[ville 8 déjà faites]],t_BDD8[[#This Row],[Attrib]]))*(t_BDD8[[#This Row],[Attrib]]&lt;&gt;"(rien)")-(t_BDD8[[#This Row],[Attrib]]="(rien)")</f>
        <v>-100</v>
      </c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 t="s">
        <v>149</v>
      </c>
      <c r="B124" s="1" t="s">
        <v>33</v>
      </c>
      <c r="C124" s="1" t="s">
        <v>11</v>
      </c>
      <c r="D124" s="1" t="s">
        <v>10</v>
      </c>
      <c r="E124" s="1" t="s">
        <v>1</v>
      </c>
      <c r="F124" s="1"/>
      <c r="G124" s="1"/>
      <c r="H124" s="1" t="s">
        <v>11</v>
      </c>
      <c r="I124" s="1" t="s">
        <v>1</v>
      </c>
      <c r="J124" s="1" t="s">
        <v>251</v>
      </c>
      <c r="K124" s="1" t="s">
        <v>10</v>
      </c>
      <c r="L124" s="1" t="s">
        <v>251</v>
      </c>
      <c r="M124" s="1" t="s">
        <v>13</v>
      </c>
      <c r="N124" s="1" t="s">
        <v>5</v>
      </c>
      <c r="O124" s="1" t="s">
        <v>251</v>
      </c>
      <c r="P124" s="1" t="s">
        <v>251</v>
      </c>
      <c r="Q124" s="1">
        <f>-100*(COUNTIF(t_BDD8[[#This Row],[ville 1 déjà faites]:[ville 8 déjà faites]],t_BDD8[[#This Row],[Attrib]]))*(t_BDD8[[#This Row],[Attrib]]&lt;&gt;"(rien)")-(t_BDD8[[#This Row],[Attrib]]="(rien)")</f>
        <v>-1</v>
      </c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 t="s">
        <v>150</v>
      </c>
      <c r="B125" s="1" t="s">
        <v>33</v>
      </c>
      <c r="C125" s="1" t="s">
        <v>6</v>
      </c>
      <c r="D125" s="1" t="s">
        <v>10</v>
      </c>
      <c r="E125" s="1" t="s">
        <v>0</v>
      </c>
      <c r="F125" s="1"/>
      <c r="G125" s="1"/>
      <c r="H125" s="1" t="s">
        <v>251</v>
      </c>
      <c r="I125" s="1" t="s">
        <v>6</v>
      </c>
      <c r="J125" s="1" t="s">
        <v>11</v>
      </c>
      <c r="K125" s="1" t="s">
        <v>1</v>
      </c>
      <c r="L125" s="1" t="s">
        <v>10</v>
      </c>
      <c r="M125" s="1" t="s">
        <v>0</v>
      </c>
      <c r="N125" s="1" t="s">
        <v>13</v>
      </c>
      <c r="O125" s="1" t="s">
        <v>5</v>
      </c>
      <c r="P125" s="1" t="s">
        <v>5</v>
      </c>
      <c r="Q125" s="1">
        <f>-100*(COUNTIF(t_BDD8[[#This Row],[ville 1 déjà faites]:[ville 8 déjà faites]],t_BDD8[[#This Row],[Attrib]]))*(t_BDD8[[#This Row],[Attrib]]&lt;&gt;"(rien)")-(t_BDD8[[#This Row],[Attrib]]="(rien)")</f>
        <v>-100</v>
      </c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 t="s">
        <v>151</v>
      </c>
      <c r="B126" s="1" t="s">
        <v>33</v>
      </c>
      <c r="C126" s="1" t="s">
        <v>6</v>
      </c>
      <c r="D126" s="1" t="s">
        <v>10</v>
      </c>
      <c r="E126" s="1" t="s">
        <v>3</v>
      </c>
      <c r="F126" s="1"/>
      <c r="G126" s="1"/>
      <c r="H126" s="1" t="s">
        <v>251</v>
      </c>
      <c r="I126" s="1" t="s">
        <v>6</v>
      </c>
      <c r="J126" s="1" t="s">
        <v>1</v>
      </c>
      <c r="K126" s="1" t="s">
        <v>4</v>
      </c>
      <c r="L126" s="1" t="s">
        <v>14</v>
      </c>
      <c r="M126" s="1" t="s">
        <v>5</v>
      </c>
      <c r="N126" s="1" t="s">
        <v>10</v>
      </c>
      <c r="O126" s="1" t="s">
        <v>3</v>
      </c>
      <c r="P126" s="1" t="s">
        <v>3</v>
      </c>
      <c r="Q126" s="1">
        <f>-100*(COUNTIF(t_BDD8[[#This Row],[ville 1 déjà faites]:[ville 8 déjà faites]],t_BDD8[[#This Row],[Attrib]]))*(t_BDD8[[#This Row],[Attrib]]&lt;&gt;"(rien)")-(t_BDD8[[#This Row],[Attrib]]="(rien)")</f>
        <v>-100</v>
      </c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 t="s">
        <v>152</v>
      </c>
      <c r="B127" s="1" t="s">
        <v>33</v>
      </c>
      <c r="C127" s="1" t="s">
        <v>9</v>
      </c>
      <c r="D127" s="1" t="s">
        <v>3</v>
      </c>
      <c r="E127" s="1" t="s">
        <v>11</v>
      </c>
      <c r="F127" s="1"/>
      <c r="G127" s="1"/>
      <c r="H127" s="1" t="s">
        <v>9</v>
      </c>
      <c r="I127" s="1" t="s">
        <v>1</v>
      </c>
      <c r="J127" s="1" t="s">
        <v>11</v>
      </c>
      <c r="K127" s="1" t="s">
        <v>3</v>
      </c>
      <c r="L127" s="1" t="s">
        <v>13</v>
      </c>
      <c r="M127" s="1" t="s">
        <v>251</v>
      </c>
      <c r="N127" s="1" t="s">
        <v>0</v>
      </c>
      <c r="O127" s="1" t="s">
        <v>251</v>
      </c>
      <c r="P127" s="1" t="s">
        <v>251</v>
      </c>
      <c r="Q127" s="1">
        <f>-100*(COUNTIF(t_BDD8[[#This Row],[ville 1 déjà faites]:[ville 8 déjà faites]],t_BDD8[[#This Row],[Attrib]]))*(t_BDD8[[#This Row],[Attrib]]&lt;&gt;"(rien)")-(t_BDD8[[#This Row],[Attrib]]="(rien)")</f>
        <v>-1</v>
      </c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 t="s">
        <v>153</v>
      </c>
      <c r="B128" s="1" t="s">
        <v>33</v>
      </c>
      <c r="C128" s="1" t="s">
        <v>3</v>
      </c>
      <c r="D128" s="1" t="s">
        <v>7</v>
      </c>
      <c r="E128" s="1" t="s">
        <v>2</v>
      </c>
      <c r="F128" s="1"/>
      <c r="G128" s="1"/>
      <c r="H128" s="1" t="s">
        <v>3</v>
      </c>
      <c r="I128" s="1" t="s">
        <v>7</v>
      </c>
      <c r="J128" s="1" t="s">
        <v>11</v>
      </c>
      <c r="K128" s="1" t="s">
        <v>2</v>
      </c>
      <c r="L128" s="1" t="s">
        <v>1</v>
      </c>
      <c r="M128" s="1" t="s">
        <v>13</v>
      </c>
      <c r="N128" s="1" t="s">
        <v>6</v>
      </c>
      <c r="O128" s="1" t="s">
        <v>0</v>
      </c>
      <c r="P128" s="1" t="s">
        <v>0</v>
      </c>
      <c r="Q128" s="1">
        <f>-100*(COUNTIF(t_BDD8[[#This Row],[ville 1 déjà faites]:[ville 8 déjà faites]],t_BDD8[[#This Row],[Attrib]]))*(t_BDD8[[#This Row],[Attrib]]&lt;&gt;"(rien)")-(t_BDD8[[#This Row],[Attrib]]="(rien)")</f>
        <v>-100</v>
      </c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 t="s">
        <v>154</v>
      </c>
      <c r="B129" s="1" t="s">
        <v>33</v>
      </c>
      <c r="C129" s="1" t="s">
        <v>11</v>
      </c>
      <c r="D129" s="1" t="s">
        <v>10</v>
      </c>
      <c r="E129" s="1" t="s">
        <v>1</v>
      </c>
      <c r="F129" s="1"/>
      <c r="G129" s="1"/>
      <c r="H129" s="1" t="s">
        <v>11</v>
      </c>
      <c r="I129" s="1" t="s">
        <v>1</v>
      </c>
      <c r="J129" s="1" t="s">
        <v>8</v>
      </c>
      <c r="K129" s="1" t="s">
        <v>5</v>
      </c>
      <c r="L129" s="1" t="s">
        <v>10</v>
      </c>
      <c r="M129" s="1" t="s">
        <v>13</v>
      </c>
      <c r="N129" s="1" t="s">
        <v>9</v>
      </c>
      <c r="O129" s="1" t="s">
        <v>251</v>
      </c>
      <c r="P129" s="1" t="s">
        <v>251</v>
      </c>
      <c r="Q129" s="1">
        <f>-100*(COUNTIF(t_BDD8[[#This Row],[ville 1 déjà faites]:[ville 8 déjà faites]],t_BDD8[[#This Row],[Attrib]]))*(t_BDD8[[#This Row],[Attrib]]&lt;&gt;"(rien)")-(t_BDD8[[#This Row],[Attrib]]="(rien)")</f>
        <v>-1</v>
      </c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 t="s">
        <v>155</v>
      </c>
      <c r="B130" s="1" t="s">
        <v>33</v>
      </c>
      <c r="C130" s="1" t="s">
        <v>4</v>
      </c>
      <c r="D130" s="1" t="s">
        <v>9</v>
      </c>
      <c r="E130" s="1" t="s">
        <v>5</v>
      </c>
      <c r="F130" s="1"/>
      <c r="G130" s="1"/>
      <c r="H130" s="1" t="s">
        <v>4</v>
      </c>
      <c r="I130" s="1" t="s">
        <v>5</v>
      </c>
      <c r="J130" s="1" t="s">
        <v>9</v>
      </c>
      <c r="K130" s="1" t="s">
        <v>13</v>
      </c>
      <c r="L130" s="1" t="s">
        <v>11</v>
      </c>
      <c r="M130" s="1" t="s">
        <v>7</v>
      </c>
      <c r="N130" s="1" t="s">
        <v>1</v>
      </c>
      <c r="O130" s="1" t="s">
        <v>8</v>
      </c>
      <c r="P130" s="1" t="s">
        <v>8</v>
      </c>
      <c r="Q130" s="1">
        <f>-100*(COUNTIF(t_BDD8[[#This Row],[ville 1 déjà faites]:[ville 8 déjà faites]],t_BDD8[[#This Row],[Attrib]]))*(t_BDD8[[#This Row],[Attrib]]&lt;&gt;"(rien)")-(t_BDD8[[#This Row],[Attrib]]="(rien)")</f>
        <v>-100</v>
      </c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 t="s">
        <v>156</v>
      </c>
      <c r="B131" s="1" t="s">
        <v>33</v>
      </c>
      <c r="C131" s="1" t="s">
        <v>6</v>
      </c>
      <c r="D131" s="1" t="s">
        <v>12</v>
      </c>
      <c r="E131" s="1" t="s">
        <v>5</v>
      </c>
      <c r="F131" s="1"/>
      <c r="G131" s="1"/>
      <c r="H131" s="1" t="s">
        <v>1</v>
      </c>
      <c r="I131" s="1" t="s">
        <v>12</v>
      </c>
      <c r="J131" s="1" t="s">
        <v>5</v>
      </c>
      <c r="K131" s="1" t="s">
        <v>6</v>
      </c>
      <c r="L131" s="1" t="s">
        <v>11</v>
      </c>
      <c r="M131" s="1" t="s">
        <v>13</v>
      </c>
      <c r="N131" s="1" t="s">
        <v>251</v>
      </c>
      <c r="O131" s="1" t="s">
        <v>4</v>
      </c>
      <c r="P131" s="1" t="s">
        <v>4</v>
      </c>
      <c r="Q131" s="1">
        <f>-100*(COUNTIF(t_BDD8[[#This Row],[ville 1 déjà faites]:[ville 8 déjà faites]],t_BDD8[[#This Row],[Attrib]]))*(t_BDD8[[#This Row],[Attrib]]&lt;&gt;"(rien)")-(t_BDD8[[#This Row],[Attrib]]="(rien)")</f>
        <v>-100</v>
      </c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 t="s">
        <v>157</v>
      </c>
      <c r="B132" s="1" t="s">
        <v>33</v>
      </c>
      <c r="C132" s="1" t="s">
        <v>8</v>
      </c>
      <c r="D132" s="1" t="s">
        <v>0</v>
      </c>
      <c r="E132" s="1" t="s">
        <v>12</v>
      </c>
      <c r="F132" s="1"/>
      <c r="G132" s="1"/>
      <c r="H132" s="1" t="s">
        <v>8</v>
      </c>
      <c r="I132" s="1" t="s">
        <v>0</v>
      </c>
      <c r="J132" s="1" t="s">
        <v>13</v>
      </c>
      <c r="K132" s="1" t="s">
        <v>1</v>
      </c>
      <c r="L132" s="1" t="s">
        <v>9</v>
      </c>
      <c r="M132" s="1" t="s">
        <v>11</v>
      </c>
      <c r="N132" s="1" t="s">
        <v>5</v>
      </c>
      <c r="O132" s="1" t="s">
        <v>7</v>
      </c>
      <c r="P132" s="1" t="s">
        <v>7</v>
      </c>
      <c r="Q132" s="1">
        <f>-100*(COUNTIF(t_BDD8[[#This Row],[ville 1 déjà faites]:[ville 8 déjà faites]],t_BDD8[[#This Row],[Attrib]]))*(t_BDD8[[#This Row],[Attrib]]&lt;&gt;"(rien)")-(t_BDD8[[#This Row],[Attrib]]="(rien)")</f>
        <v>-100</v>
      </c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 t="s">
        <v>158</v>
      </c>
      <c r="B133" s="1" t="s">
        <v>33</v>
      </c>
      <c r="C133" s="1" t="s">
        <v>11</v>
      </c>
      <c r="D133" s="1" t="s">
        <v>4</v>
      </c>
      <c r="E133" s="1" t="s">
        <v>12</v>
      </c>
      <c r="F133" s="1"/>
      <c r="G133" s="1"/>
      <c r="H133" s="1" t="s">
        <v>251</v>
      </c>
      <c r="I133" s="1" t="s">
        <v>11</v>
      </c>
      <c r="J133" s="1" t="s">
        <v>4</v>
      </c>
      <c r="K133" s="1" t="s">
        <v>9</v>
      </c>
      <c r="L133" s="1" t="s">
        <v>6</v>
      </c>
      <c r="M133" s="1" t="s">
        <v>1</v>
      </c>
      <c r="N133" s="1" t="s">
        <v>14</v>
      </c>
      <c r="O133" s="1" t="s">
        <v>13</v>
      </c>
      <c r="P133" s="1" t="s">
        <v>13</v>
      </c>
      <c r="Q133" s="1">
        <f>-100*(COUNTIF(t_BDD8[[#This Row],[ville 1 déjà faites]:[ville 8 déjà faites]],t_BDD8[[#This Row],[Attrib]]))*(t_BDD8[[#This Row],[Attrib]]&lt;&gt;"(rien)")-(t_BDD8[[#This Row],[Attrib]]="(rien)")</f>
        <v>-100</v>
      </c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 t="s">
        <v>159</v>
      </c>
      <c r="B134" s="1" t="s">
        <v>33</v>
      </c>
      <c r="C134" s="1" t="s">
        <v>0</v>
      </c>
      <c r="D134" s="1" t="s">
        <v>5</v>
      </c>
      <c r="E134" s="1" t="s">
        <v>3</v>
      </c>
      <c r="F134" s="1"/>
      <c r="G134" s="1"/>
      <c r="H134" s="1" t="s">
        <v>0</v>
      </c>
      <c r="I134" s="1" t="s">
        <v>5</v>
      </c>
      <c r="J134" s="1" t="s">
        <v>8</v>
      </c>
      <c r="K134" s="1" t="s">
        <v>13</v>
      </c>
      <c r="L134" s="1" t="s">
        <v>2</v>
      </c>
      <c r="M134" s="1" t="s">
        <v>1</v>
      </c>
      <c r="N134" s="1" t="s">
        <v>11</v>
      </c>
      <c r="O134" s="1" t="s">
        <v>3</v>
      </c>
      <c r="P134" s="1" t="s">
        <v>3</v>
      </c>
      <c r="Q134" s="1">
        <f>-100*(COUNTIF(t_BDD8[[#This Row],[ville 1 déjà faites]:[ville 8 déjà faites]],t_BDD8[[#This Row],[Attrib]]))*(t_BDD8[[#This Row],[Attrib]]&lt;&gt;"(rien)")-(t_BDD8[[#This Row],[Attrib]]="(rien)")</f>
        <v>-100</v>
      </c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 t="s">
        <v>160</v>
      </c>
      <c r="B135" s="1" t="s">
        <v>33</v>
      </c>
      <c r="C135" s="1" t="s">
        <v>13</v>
      </c>
      <c r="D135" s="1" t="s">
        <v>2</v>
      </c>
      <c r="E135" s="1" t="s">
        <v>7</v>
      </c>
      <c r="F135" s="1"/>
      <c r="G135" s="1"/>
      <c r="H135" s="1" t="s">
        <v>13</v>
      </c>
      <c r="I135" s="1" t="s">
        <v>2</v>
      </c>
      <c r="J135" s="1" t="s">
        <v>7</v>
      </c>
      <c r="K135" s="1" t="s">
        <v>14</v>
      </c>
      <c r="L135" s="1" t="s">
        <v>11</v>
      </c>
      <c r="M135" s="1" t="s">
        <v>4</v>
      </c>
      <c r="N135" s="1" t="s">
        <v>1</v>
      </c>
      <c r="O135" s="1" t="s">
        <v>6</v>
      </c>
      <c r="P135" s="1" t="s">
        <v>6</v>
      </c>
      <c r="Q135" s="1">
        <f>-100*(COUNTIF(t_BDD8[[#This Row],[ville 1 déjà faites]:[ville 8 déjà faites]],t_BDD8[[#This Row],[Attrib]]))*(t_BDD8[[#This Row],[Attrib]]&lt;&gt;"(rien)")-(t_BDD8[[#This Row],[Attrib]]="(rien)")</f>
        <v>-100</v>
      </c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 t="s">
        <v>161</v>
      </c>
      <c r="B136" s="1" t="s">
        <v>33</v>
      </c>
      <c r="C136" s="1" t="s">
        <v>11</v>
      </c>
      <c r="D136" s="1" t="s">
        <v>8</v>
      </c>
      <c r="E136" s="1" t="s">
        <v>1</v>
      </c>
      <c r="F136" s="1"/>
      <c r="G136" s="1"/>
      <c r="H136" s="1" t="s">
        <v>11</v>
      </c>
      <c r="I136" s="1" t="s">
        <v>8</v>
      </c>
      <c r="J136" s="1" t="s">
        <v>1</v>
      </c>
      <c r="K136" s="1" t="s">
        <v>13</v>
      </c>
      <c r="L136" s="1" t="s">
        <v>7</v>
      </c>
      <c r="M136" s="1" t="s">
        <v>251</v>
      </c>
      <c r="N136" s="1" t="s">
        <v>5</v>
      </c>
      <c r="O136" s="1" t="s">
        <v>2</v>
      </c>
      <c r="P136" s="1" t="s">
        <v>2</v>
      </c>
      <c r="Q136" s="1">
        <f>-100*(COUNTIF(t_BDD8[[#This Row],[ville 1 déjà faites]:[ville 8 déjà faites]],t_BDD8[[#This Row],[Attrib]]))*(t_BDD8[[#This Row],[Attrib]]&lt;&gt;"(rien)")-(t_BDD8[[#This Row],[Attrib]]="(rien)")</f>
        <v>-100</v>
      </c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 t="s">
        <v>162</v>
      </c>
      <c r="B137" s="1" t="s">
        <v>33</v>
      </c>
      <c r="C137" s="1" t="s">
        <v>10</v>
      </c>
      <c r="D137" s="1" t="s">
        <v>9</v>
      </c>
      <c r="E137" s="1" t="s">
        <v>0</v>
      </c>
      <c r="F137" s="1"/>
      <c r="G137" s="1"/>
      <c r="H137" s="1" t="s">
        <v>1</v>
      </c>
      <c r="I137" s="1" t="s">
        <v>13</v>
      </c>
      <c r="J137" s="1" t="s">
        <v>10</v>
      </c>
      <c r="K137" s="1" t="s">
        <v>9</v>
      </c>
      <c r="L137" s="1" t="s">
        <v>0</v>
      </c>
      <c r="M137" s="1" t="s">
        <v>5</v>
      </c>
      <c r="N137" s="1" t="s">
        <v>11</v>
      </c>
      <c r="O137" s="1" t="s">
        <v>251</v>
      </c>
      <c r="P137" s="1" t="s">
        <v>251</v>
      </c>
      <c r="Q137" s="1">
        <f>-100*(COUNTIF(t_BDD8[[#This Row],[ville 1 déjà faites]:[ville 8 déjà faites]],t_BDD8[[#This Row],[Attrib]]))*(t_BDD8[[#This Row],[Attrib]]&lt;&gt;"(rien)")-(t_BDD8[[#This Row],[Attrib]]="(rien)")</f>
        <v>-1</v>
      </c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 t="s">
        <v>163</v>
      </c>
      <c r="B138" s="1" t="s">
        <v>33</v>
      </c>
      <c r="C138" s="1" t="s">
        <v>6</v>
      </c>
      <c r="D138" s="1" t="s">
        <v>4</v>
      </c>
      <c r="E138" s="1" t="s">
        <v>13</v>
      </c>
      <c r="F138" s="1"/>
      <c r="G138" s="1"/>
      <c r="H138" s="1" t="s">
        <v>13</v>
      </c>
      <c r="I138" s="1" t="s">
        <v>4</v>
      </c>
      <c r="J138" s="1" t="s">
        <v>11</v>
      </c>
      <c r="K138" s="1" t="s">
        <v>6</v>
      </c>
      <c r="L138" s="1" t="s">
        <v>1</v>
      </c>
      <c r="M138" s="1" t="s">
        <v>8</v>
      </c>
      <c r="N138" s="1" t="s">
        <v>2</v>
      </c>
      <c r="O138" s="1" t="s">
        <v>0</v>
      </c>
      <c r="P138" s="1" t="s">
        <v>0</v>
      </c>
      <c r="Q138" s="1">
        <f>-100*(COUNTIF(t_BDD8[[#This Row],[ville 1 déjà faites]:[ville 8 déjà faites]],t_BDD8[[#This Row],[Attrib]]))*(t_BDD8[[#This Row],[Attrib]]&lt;&gt;"(rien)")-(t_BDD8[[#This Row],[Attrib]]="(rien)")</f>
        <v>-100</v>
      </c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 t="s">
        <v>164</v>
      </c>
      <c r="B139" s="1" t="s">
        <v>33</v>
      </c>
      <c r="C139" s="1" t="s">
        <v>2</v>
      </c>
      <c r="D139" s="1" t="s">
        <v>0</v>
      </c>
      <c r="E139" s="1" t="s">
        <v>13</v>
      </c>
      <c r="F139" s="1"/>
      <c r="G139" s="1"/>
      <c r="H139" s="1" t="s">
        <v>2</v>
      </c>
      <c r="I139" s="1" t="s">
        <v>13</v>
      </c>
      <c r="J139" s="1" t="s">
        <v>0</v>
      </c>
      <c r="K139" s="1" t="s">
        <v>251</v>
      </c>
      <c r="L139" s="1" t="s">
        <v>9</v>
      </c>
      <c r="M139" s="1" t="s">
        <v>11</v>
      </c>
      <c r="N139" s="1" t="s">
        <v>1</v>
      </c>
      <c r="O139" s="1" t="s">
        <v>251</v>
      </c>
      <c r="P139" s="1" t="s">
        <v>251</v>
      </c>
      <c r="Q139" s="1">
        <f>-100*(COUNTIF(t_BDD8[[#This Row],[ville 1 déjà faites]:[ville 8 déjà faites]],t_BDD8[[#This Row],[Attrib]]))*(t_BDD8[[#This Row],[Attrib]]&lt;&gt;"(rien)")-(t_BDD8[[#This Row],[Attrib]]="(rien)")</f>
        <v>-1</v>
      </c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 t="s">
        <v>165</v>
      </c>
      <c r="B140" s="1" t="s">
        <v>33</v>
      </c>
      <c r="C140" s="1" t="s">
        <v>14</v>
      </c>
      <c r="D140" s="1" t="s">
        <v>10</v>
      </c>
      <c r="E140" s="1" t="s">
        <v>13</v>
      </c>
      <c r="F140" s="1"/>
      <c r="G140" s="1"/>
      <c r="H140" s="1" t="s">
        <v>13</v>
      </c>
      <c r="I140" s="1" t="s">
        <v>14</v>
      </c>
      <c r="J140" s="1" t="s">
        <v>251</v>
      </c>
      <c r="K140" s="1" t="s">
        <v>11</v>
      </c>
      <c r="L140" s="1" t="s">
        <v>8</v>
      </c>
      <c r="M140" s="1" t="s">
        <v>251</v>
      </c>
      <c r="N140" s="1" t="s">
        <v>7</v>
      </c>
      <c r="O140" s="1" t="s">
        <v>10</v>
      </c>
      <c r="P140" s="1" t="s">
        <v>10</v>
      </c>
      <c r="Q140" s="1">
        <f>-100*(COUNTIF(t_BDD8[[#This Row],[ville 1 déjà faites]:[ville 8 déjà faites]],t_BDD8[[#This Row],[Attrib]]))*(t_BDD8[[#This Row],[Attrib]]&lt;&gt;"(rien)")-(t_BDD8[[#This Row],[Attrib]]="(rien)")</f>
        <v>-100</v>
      </c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 t="s">
        <v>166</v>
      </c>
      <c r="B141" s="1" t="s">
        <v>33</v>
      </c>
      <c r="C141" s="1" t="s">
        <v>11</v>
      </c>
      <c r="D141" s="1" t="s">
        <v>8</v>
      </c>
      <c r="E141" s="1" t="s">
        <v>1</v>
      </c>
      <c r="F141" s="1"/>
      <c r="G141" s="1"/>
      <c r="H141" s="1" t="s">
        <v>1</v>
      </c>
      <c r="I141" s="1" t="s">
        <v>11</v>
      </c>
      <c r="J141" s="1" t="s">
        <v>8</v>
      </c>
      <c r="K141" s="1" t="s">
        <v>251</v>
      </c>
      <c r="L141" s="1" t="s">
        <v>9</v>
      </c>
      <c r="M141" s="1" t="s">
        <v>0</v>
      </c>
      <c r="N141" s="1" t="s">
        <v>13</v>
      </c>
      <c r="O141" s="1" t="s">
        <v>5</v>
      </c>
      <c r="P141" s="1" t="s">
        <v>5</v>
      </c>
      <c r="Q141" s="1">
        <f>-100*(COUNTIF(t_BDD8[[#This Row],[ville 1 déjà faites]:[ville 8 déjà faites]],t_BDD8[[#This Row],[Attrib]]))*(t_BDD8[[#This Row],[Attrib]]&lt;&gt;"(rien)")-(t_BDD8[[#This Row],[Attrib]]="(rien)")</f>
        <v>-100</v>
      </c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 t="s">
        <v>167</v>
      </c>
      <c r="B142" s="1" t="s">
        <v>33</v>
      </c>
      <c r="C142" s="1" t="s">
        <v>6</v>
      </c>
      <c r="D142" s="1" t="s">
        <v>10</v>
      </c>
      <c r="E142" s="1" t="s">
        <v>0</v>
      </c>
      <c r="F142" s="1"/>
      <c r="G142" s="1"/>
      <c r="H142" s="1" t="s">
        <v>6</v>
      </c>
      <c r="I142" s="1" t="s">
        <v>1</v>
      </c>
      <c r="J142" s="1" t="s">
        <v>11</v>
      </c>
      <c r="K142" s="1" t="s">
        <v>0</v>
      </c>
      <c r="L142" s="1" t="s">
        <v>13</v>
      </c>
      <c r="M142" s="1" t="s">
        <v>251</v>
      </c>
      <c r="N142" s="1" t="s">
        <v>251</v>
      </c>
      <c r="O142" s="1" t="s">
        <v>10</v>
      </c>
      <c r="P142" s="1" t="s">
        <v>10</v>
      </c>
      <c r="Q142" s="1">
        <f>-100*(COUNTIF(t_BDD8[[#This Row],[ville 1 déjà faites]:[ville 8 déjà faites]],t_BDD8[[#This Row],[Attrib]]))*(t_BDD8[[#This Row],[Attrib]]&lt;&gt;"(rien)")-(t_BDD8[[#This Row],[Attrib]]="(rien)")</f>
        <v>-100</v>
      </c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 t="s">
        <v>168</v>
      </c>
      <c r="B143" s="1" t="s">
        <v>33</v>
      </c>
      <c r="C143" s="1" t="s">
        <v>6</v>
      </c>
      <c r="D143" s="1" t="s">
        <v>10</v>
      </c>
      <c r="E143" s="1" t="s">
        <v>3</v>
      </c>
      <c r="F143" s="1"/>
      <c r="G143" s="1"/>
      <c r="H143" s="1" t="s">
        <v>251</v>
      </c>
      <c r="I143" s="1" t="s">
        <v>251</v>
      </c>
      <c r="J143" s="1" t="s">
        <v>251</v>
      </c>
      <c r="K143" s="1" t="s">
        <v>6</v>
      </c>
      <c r="L143" s="1" t="s">
        <v>8</v>
      </c>
      <c r="M143" s="1" t="s">
        <v>13</v>
      </c>
      <c r="N143" s="1" t="s">
        <v>10</v>
      </c>
      <c r="O143" s="1" t="s">
        <v>5</v>
      </c>
      <c r="P143" s="1" t="s">
        <v>5</v>
      </c>
      <c r="Q143" s="1">
        <f>-100*(COUNTIF(t_BDD8[[#This Row],[ville 1 déjà faites]:[ville 8 déjà faites]],t_BDD8[[#This Row],[Attrib]]))*(t_BDD8[[#This Row],[Attrib]]&lt;&gt;"(rien)")-(t_BDD8[[#This Row],[Attrib]]="(rien)")</f>
        <v>-100</v>
      </c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 t="s">
        <v>169</v>
      </c>
      <c r="B144" s="1" t="s">
        <v>33</v>
      </c>
      <c r="C144" s="1" t="s">
        <v>9</v>
      </c>
      <c r="D144" s="1" t="s">
        <v>3</v>
      </c>
      <c r="E144" s="1" t="s">
        <v>11</v>
      </c>
      <c r="F144" s="1"/>
      <c r="G144" s="1"/>
      <c r="H144" s="1" t="s">
        <v>9</v>
      </c>
      <c r="I144" s="1" t="s">
        <v>1</v>
      </c>
      <c r="J144" s="1" t="s">
        <v>11</v>
      </c>
      <c r="K144" s="1" t="s">
        <v>13</v>
      </c>
      <c r="L144" s="1" t="s">
        <v>3</v>
      </c>
      <c r="M144" s="1" t="s">
        <v>251</v>
      </c>
      <c r="N144" s="1" t="s">
        <v>8</v>
      </c>
      <c r="O144" s="1" t="s">
        <v>0</v>
      </c>
      <c r="P144" s="1" t="s">
        <v>0</v>
      </c>
      <c r="Q144" s="1">
        <f>-100*(COUNTIF(t_BDD8[[#This Row],[ville 1 déjà faites]:[ville 8 déjà faites]],t_BDD8[[#This Row],[Attrib]]))*(t_BDD8[[#This Row],[Attrib]]&lt;&gt;"(rien)")-(t_BDD8[[#This Row],[Attrib]]="(rien)")</f>
        <v>-100</v>
      </c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 t="s">
        <v>170</v>
      </c>
      <c r="B145" s="1" t="s">
        <v>33</v>
      </c>
      <c r="C145" s="1" t="s">
        <v>8</v>
      </c>
      <c r="D145" s="1" t="s">
        <v>11</v>
      </c>
      <c r="E145" s="1" t="s">
        <v>11</v>
      </c>
      <c r="F145" s="1"/>
      <c r="G145" s="1"/>
      <c r="H145" s="1" t="s">
        <v>8</v>
      </c>
      <c r="I145" s="1" t="s">
        <v>11</v>
      </c>
      <c r="J145" s="1" t="s">
        <v>1</v>
      </c>
      <c r="K145" s="1" t="s">
        <v>7</v>
      </c>
      <c r="L145" s="1" t="s">
        <v>13</v>
      </c>
      <c r="M145" s="1" t="s">
        <v>5</v>
      </c>
      <c r="N145" s="1" t="s">
        <v>251</v>
      </c>
      <c r="O145" s="1" t="s">
        <v>251</v>
      </c>
      <c r="P145" s="1" t="s">
        <v>251</v>
      </c>
      <c r="Q145" s="1">
        <f>-100*(COUNTIF(t_BDD8[[#This Row],[ville 1 déjà faites]:[ville 8 déjà faites]],t_BDD8[[#This Row],[Attrib]]))*(t_BDD8[[#This Row],[Attrib]]&lt;&gt;"(rien)")-(t_BDD8[[#This Row],[Attrib]]="(rien)")</f>
        <v>-1</v>
      </c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 t="s">
        <v>171</v>
      </c>
      <c r="B146" s="1" t="s">
        <v>33</v>
      </c>
      <c r="C146" s="1" t="s">
        <v>10</v>
      </c>
      <c r="D146" s="1" t="s">
        <v>13</v>
      </c>
      <c r="E146" s="1" t="s">
        <v>5</v>
      </c>
      <c r="F146" s="1"/>
      <c r="G146" s="1"/>
      <c r="H146" s="1" t="s">
        <v>10</v>
      </c>
      <c r="I146" s="1" t="s">
        <v>13</v>
      </c>
      <c r="J146" s="1" t="s">
        <v>5</v>
      </c>
      <c r="K146" s="1" t="s">
        <v>11</v>
      </c>
      <c r="L146" s="1" t="s">
        <v>8</v>
      </c>
      <c r="M146" s="1" t="s">
        <v>1</v>
      </c>
      <c r="N146" s="1" t="s">
        <v>6</v>
      </c>
      <c r="O146" s="1" t="s">
        <v>251</v>
      </c>
      <c r="P146" s="1" t="s">
        <v>251</v>
      </c>
      <c r="Q146" s="1">
        <f>-100*(COUNTIF(t_BDD8[[#This Row],[ville 1 déjà faites]:[ville 8 déjà faites]],t_BDD8[[#This Row],[Attrib]]))*(t_BDD8[[#This Row],[Attrib]]&lt;&gt;"(rien)")-(t_BDD8[[#This Row],[Attrib]]="(rien)")</f>
        <v>-1</v>
      </c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 t="s">
        <v>172</v>
      </c>
      <c r="B147" s="1" t="s">
        <v>33</v>
      </c>
      <c r="C147" s="1" t="s">
        <v>6</v>
      </c>
      <c r="D147" s="1" t="s">
        <v>5</v>
      </c>
      <c r="E147" s="1" t="s">
        <v>9</v>
      </c>
      <c r="F147" s="1"/>
      <c r="G147" s="1"/>
      <c r="H147" s="1" t="s">
        <v>5</v>
      </c>
      <c r="I147" s="1" t="s">
        <v>251</v>
      </c>
      <c r="J147" s="1" t="s">
        <v>13</v>
      </c>
      <c r="K147" s="1" t="s">
        <v>6</v>
      </c>
      <c r="L147" s="1" t="s">
        <v>9</v>
      </c>
      <c r="M147" s="1" t="s">
        <v>14</v>
      </c>
      <c r="N147" s="1" t="s">
        <v>0</v>
      </c>
      <c r="O147" s="1" t="s">
        <v>8</v>
      </c>
      <c r="P147" s="1" t="s">
        <v>8</v>
      </c>
      <c r="Q147" s="1">
        <f>-100*(COUNTIF(t_BDD8[[#This Row],[ville 1 déjà faites]:[ville 8 déjà faites]],t_BDD8[[#This Row],[Attrib]]))*(t_BDD8[[#This Row],[Attrib]]&lt;&gt;"(rien)")-(t_BDD8[[#This Row],[Attrib]]="(rien)")</f>
        <v>-100</v>
      </c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 t="s">
        <v>173</v>
      </c>
      <c r="B148" s="1" t="s">
        <v>33</v>
      </c>
      <c r="C148" s="1" t="s">
        <v>2</v>
      </c>
      <c r="D148" s="1" t="s">
        <v>3</v>
      </c>
      <c r="E148" s="1" t="s">
        <v>5</v>
      </c>
      <c r="F148" s="1"/>
      <c r="G148" s="1"/>
      <c r="H148" s="1" t="s">
        <v>2</v>
      </c>
      <c r="I148" s="1" t="s">
        <v>13</v>
      </c>
      <c r="J148" s="1" t="s">
        <v>5</v>
      </c>
      <c r="K148" s="1" t="s">
        <v>1</v>
      </c>
      <c r="L148" s="1" t="s">
        <v>3</v>
      </c>
      <c r="M148" s="1" t="s">
        <v>11</v>
      </c>
      <c r="N148" s="1" t="s">
        <v>251</v>
      </c>
      <c r="O148" s="1" t="s">
        <v>7</v>
      </c>
      <c r="P148" s="1" t="s">
        <v>7</v>
      </c>
      <c r="Q148" s="1">
        <f>-100*(COUNTIF(t_BDD8[[#This Row],[ville 1 déjà faites]:[ville 8 déjà faites]],t_BDD8[[#This Row],[Attrib]]))*(t_BDD8[[#This Row],[Attrib]]&lt;&gt;"(rien)")-(t_BDD8[[#This Row],[Attrib]]="(rien)")</f>
        <v>-100</v>
      </c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 t="s">
        <v>174</v>
      </c>
      <c r="B149" s="1" t="s">
        <v>33</v>
      </c>
      <c r="C149" s="1" t="s">
        <v>8</v>
      </c>
      <c r="D149" s="1" t="s">
        <v>0</v>
      </c>
      <c r="E149" s="1" t="s">
        <v>12</v>
      </c>
      <c r="F149" s="1"/>
      <c r="G149" s="1"/>
      <c r="H149" s="1" t="s">
        <v>8</v>
      </c>
      <c r="I149" s="1" t="s">
        <v>0</v>
      </c>
      <c r="J149" s="1" t="s">
        <v>11</v>
      </c>
      <c r="K149" s="1" t="s">
        <v>1</v>
      </c>
      <c r="L149" s="1" t="s">
        <v>12</v>
      </c>
      <c r="M149" s="1" t="s">
        <v>9</v>
      </c>
      <c r="N149" s="1" t="s">
        <v>5</v>
      </c>
      <c r="O149" s="1" t="s">
        <v>13</v>
      </c>
      <c r="P149" s="1" t="s">
        <v>13</v>
      </c>
      <c r="Q149" s="1">
        <f>-100*(COUNTIF(t_BDD8[[#This Row],[ville 1 déjà faites]:[ville 8 déjà faites]],t_BDD8[[#This Row],[Attrib]]))*(t_BDD8[[#This Row],[Attrib]]&lt;&gt;"(rien)")-(t_BDD8[[#This Row],[Attrib]]="(rien)")</f>
        <v>-100</v>
      </c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 t="s">
        <v>175</v>
      </c>
      <c r="B150" s="1" t="s">
        <v>33</v>
      </c>
      <c r="C150" s="1" t="s">
        <v>11</v>
      </c>
      <c r="D150" s="1" t="s">
        <v>4</v>
      </c>
      <c r="E150" s="1" t="s">
        <v>12</v>
      </c>
      <c r="F150" s="1"/>
      <c r="G150" s="1"/>
      <c r="H150" s="1" t="s">
        <v>251</v>
      </c>
      <c r="I150" s="1" t="s">
        <v>11</v>
      </c>
      <c r="J150" s="1" t="s">
        <v>4</v>
      </c>
      <c r="K150" s="1" t="s">
        <v>5</v>
      </c>
      <c r="L150" s="1" t="s">
        <v>14</v>
      </c>
      <c r="M150" s="1" t="s">
        <v>7</v>
      </c>
      <c r="N150" s="1" t="s">
        <v>12</v>
      </c>
      <c r="O150" s="1" t="s">
        <v>13</v>
      </c>
      <c r="P150" s="1" t="s">
        <v>13</v>
      </c>
      <c r="Q150" s="1">
        <f>-100*(COUNTIF(t_BDD8[[#This Row],[ville 1 déjà faites]:[ville 8 déjà faites]],t_BDD8[[#This Row],[Attrib]]))*(t_BDD8[[#This Row],[Attrib]]&lt;&gt;"(rien)")-(t_BDD8[[#This Row],[Attrib]]="(rien)")</f>
        <v>-100</v>
      </c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 t="s">
        <v>176</v>
      </c>
      <c r="B151" s="1" t="s">
        <v>33</v>
      </c>
      <c r="C151" s="1" t="s">
        <v>0</v>
      </c>
      <c r="D151" s="1" t="s">
        <v>5</v>
      </c>
      <c r="E151" s="1" t="s">
        <v>3</v>
      </c>
      <c r="F151" s="1"/>
      <c r="G151" s="1"/>
      <c r="H151" s="1" t="s">
        <v>0</v>
      </c>
      <c r="I151" s="1" t="s">
        <v>5</v>
      </c>
      <c r="J151" s="1" t="s">
        <v>8</v>
      </c>
      <c r="K151" s="1" t="s">
        <v>1</v>
      </c>
      <c r="L151" s="1" t="s">
        <v>13</v>
      </c>
      <c r="M151" s="1" t="s">
        <v>3</v>
      </c>
      <c r="N151" s="1" t="s">
        <v>11</v>
      </c>
      <c r="O151" s="1" t="s">
        <v>2</v>
      </c>
      <c r="P151" s="1" t="s">
        <v>2</v>
      </c>
      <c r="Q151" s="1">
        <f>-100*(COUNTIF(t_BDD8[[#This Row],[ville 1 déjà faites]:[ville 8 déjà faites]],t_BDD8[[#This Row],[Attrib]]))*(t_BDD8[[#This Row],[Attrib]]&lt;&gt;"(rien)")-(t_BDD8[[#This Row],[Attrib]]="(rien)")</f>
        <v>-100</v>
      </c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 t="s">
        <v>177</v>
      </c>
      <c r="B152" s="1" t="s">
        <v>33</v>
      </c>
      <c r="C152" s="1" t="s">
        <v>13</v>
      </c>
      <c r="D152" s="1" t="s">
        <v>2</v>
      </c>
      <c r="E152" s="1" t="s">
        <v>7</v>
      </c>
      <c r="F152" s="1"/>
      <c r="G152" s="1"/>
      <c r="H152" s="1" t="s">
        <v>13</v>
      </c>
      <c r="I152" s="1" t="s">
        <v>2</v>
      </c>
      <c r="J152" s="1" t="s">
        <v>7</v>
      </c>
      <c r="K152" s="1" t="s">
        <v>11</v>
      </c>
      <c r="L152" s="1" t="s">
        <v>8</v>
      </c>
      <c r="M152" s="1" t="s">
        <v>6</v>
      </c>
      <c r="N152" s="1" t="s">
        <v>5</v>
      </c>
      <c r="O152" s="1" t="s">
        <v>14</v>
      </c>
      <c r="P152" s="1" t="s">
        <v>14</v>
      </c>
      <c r="Q152" s="1">
        <f>-100*(COUNTIF(t_BDD8[[#This Row],[ville 1 déjà faites]:[ville 8 déjà faites]],t_BDD8[[#This Row],[Attrib]]))*(t_BDD8[[#This Row],[Attrib]]&lt;&gt;"(rien)")-(t_BDD8[[#This Row],[Attrib]]="(rien)")</f>
        <v>-100</v>
      </c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 t="s">
        <v>178</v>
      </c>
      <c r="B153" s="1" t="s">
        <v>33</v>
      </c>
      <c r="C153" s="1" t="s">
        <v>11</v>
      </c>
      <c r="D153" s="1" t="s">
        <v>8</v>
      </c>
      <c r="E153" s="1" t="s">
        <v>1</v>
      </c>
      <c r="F153" s="1"/>
      <c r="G153" s="1"/>
      <c r="H153" s="1" t="s">
        <v>1</v>
      </c>
      <c r="I153" s="1" t="s">
        <v>11</v>
      </c>
      <c r="J153" s="1" t="s">
        <v>8</v>
      </c>
      <c r="K153" s="1" t="s">
        <v>5</v>
      </c>
      <c r="L153" s="1" t="s">
        <v>13</v>
      </c>
      <c r="M153" s="1" t="s">
        <v>251</v>
      </c>
      <c r="N153" s="1" t="s">
        <v>4</v>
      </c>
      <c r="O153" s="1" t="s">
        <v>2</v>
      </c>
      <c r="P153" s="1" t="s">
        <v>2</v>
      </c>
      <c r="Q153" s="1">
        <f>-100*(COUNTIF(t_BDD8[[#This Row],[ville 1 déjà faites]:[ville 8 déjà faites]],t_BDD8[[#This Row],[Attrib]]))*(t_BDD8[[#This Row],[Attrib]]&lt;&gt;"(rien)")-(t_BDD8[[#This Row],[Attrib]]="(rien)")</f>
        <v>-100</v>
      </c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 t="s">
        <v>179</v>
      </c>
      <c r="B154" s="1" t="s">
        <v>33</v>
      </c>
      <c r="C154" s="1" t="s">
        <v>10</v>
      </c>
      <c r="D154" s="1" t="s">
        <v>9</v>
      </c>
      <c r="E154" s="1" t="s">
        <v>0</v>
      </c>
      <c r="F154" s="1"/>
      <c r="G154" s="1"/>
      <c r="H154" s="1" t="s">
        <v>9</v>
      </c>
      <c r="I154" s="1" t="s">
        <v>13</v>
      </c>
      <c r="J154" s="1" t="s">
        <v>10</v>
      </c>
      <c r="K154" s="1" t="s">
        <v>0</v>
      </c>
      <c r="L154" s="1" t="s">
        <v>1</v>
      </c>
      <c r="M154" s="1" t="s">
        <v>5</v>
      </c>
      <c r="N154" s="1" t="s">
        <v>8</v>
      </c>
      <c r="O154" s="1" t="s">
        <v>7</v>
      </c>
      <c r="P154" s="1" t="s">
        <v>7</v>
      </c>
      <c r="Q154" s="1">
        <f>-100*(COUNTIF(t_BDD8[[#This Row],[ville 1 déjà faites]:[ville 8 déjà faites]],t_BDD8[[#This Row],[Attrib]]))*(t_BDD8[[#This Row],[Attrib]]&lt;&gt;"(rien)")-(t_BDD8[[#This Row],[Attrib]]="(rien)")</f>
        <v>-100</v>
      </c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 t="s">
        <v>180</v>
      </c>
      <c r="B155" s="1" t="s">
        <v>33</v>
      </c>
      <c r="C155" s="1" t="s">
        <v>6</v>
      </c>
      <c r="D155" s="1" t="s">
        <v>4</v>
      </c>
      <c r="E155" s="1" t="s">
        <v>13</v>
      </c>
      <c r="F155" s="1"/>
      <c r="G155" s="1"/>
      <c r="H155" s="1" t="s">
        <v>6</v>
      </c>
      <c r="I155" s="1" t="s">
        <v>4</v>
      </c>
      <c r="J155" s="1" t="s">
        <v>13</v>
      </c>
      <c r="K155" s="1" t="s">
        <v>1</v>
      </c>
      <c r="L155" s="1" t="s">
        <v>5</v>
      </c>
      <c r="M155" s="1" t="s">
        <v>9</v>
      </c>
      <c r="N155" s="1" t="s">
        <v>7</v>
      </c>
      <c r="O155" s="1" t="s">
        <v>11</v>
      </c>
      <c r="P155" s="1" t="s">
        <v>11</v>
      </c>
      <c r="Q155" s="1">
        <f>-100*(COUNTIF(t_BDD8[[#This Row],[ville 1 déjà faites]:[ville 8 déjà faites]],t_BDD8[[#This Row],[Attrib]]))*(t_BDD8[[#This Row],[Attrib]]&lt;&gt;"(rien)")-(t_BDD8[[#This Row],[Attrib]]="(rien)")</f>
        <v>-100</v>
      </c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 t="s">
        <v>181</v>
      </c>
      <c r="B156" s="1" t="s">
        <v>33</v>
      </c>
      <c r="C156" s="1" t="s">
        <v>2</v>
      </c>
      <c r="D156" s="1" t="s">
        <v>0</v>
      </c>
      <c r="E156" s="1" t="s">
        <v>13</v>
      </c>
      <c r="F156" s="1"/>
      <c r="G156" s="1"/>
      <c r="H156" s="1" t="s">
        <v>13</v>
      </c>
      <c r="I156" s="1" t="s">
        <v>2</v>
      </c>
      <c r="J156" s="1" t="s">
        <v>0</v>
      </c>
      <c r="K156" s="1" t="s">
        <v>4</v>
      </c>
      <c r="L156" s="1" t="s">
        <v>1</v>
      </c>
      <c r="M156" s="1" t="s">
        <v>5</v>
      </c>
      <c r="N156" s="1" t="s">
        <v>9</v>
      </c>
      <c r="O156" s="1" t="s">
        <v>6</v>
      </c>
      <c r="P156" s="1" t="s">
        <v>6</v>
      </c>
      <c r="Q156" s="1">
        <f>-100*(COUNTIF(t_BDD8[[#This Row],[ville 1 déjà faites]:[ville 8 déjà faites]],t_BDD8[[#This Row],[Attrib]]))*(t_BDD8[[#This Row],[Attrib]]&lt;&gt;"(rien)")-(t_BDD8[[#This Row],[Attrib]]="(rien)")</f>
        <v>-100</v>
      </c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 t="s">
        <v>182</v>
      </c>
      <c r="B157" s="1" t="s">
        <v>33</v>
      </c>
      <c r="C157" s="1" t="s">
        <v>14</v>
      </c>
      <c r="D157" s="1" t="s">
        <v>10</v>
      </c>
      <c r="E157" s="1" t="s">
        <v>13</v>
      </c>
      <c r="F157" s="1"/>
      <c r="G157" s="1"/>
      <c r="H157" s="1" t="s">
        <v>14</v>
      </c>
      <c r="I157" s="1" t="s">
        <v>13</v>
      </c>
      <c r="J157" s="1" t="s">
        <v>5</v>
      </c>
      <c r="K157" s="1" t="s">
        <v>4</v>
      </c>
      <c r="L157" s="1" t="s">
        <v>251</v>
      </c>
      <c r="M157" s="1" t="s">
        <v>10</v>
      </c>
      <c r="N157" s="1" t="s">
        <v>1</v>
      </c>
      <c r="O157" s="1" t="s">
        <v>8</v>
      </c>
      <c r="P157" s="1" t="s">
        <v>8</v>
      </c>
      <c r="Q157" s="1">
        <f>-100*(COUNTIF(t_BDD8[[#This Row],[ville 1 déjà faites]:[ville 8 déjà faites]],t_BDD8[[#This Row],[Attrib]]))*(t_BDD8[[#This Row],[Attrib]]&lt;&gt;"(rien)")-(t_BDD8[[#This Row],[Attrib]]="(rien)")</f>
        <v>-100</v>
      </c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 t="s">
        <v>183</v>
      </c>
      <c r="B158" s="1" t="s">
        <v>33</v>
      </c>
      <c r="C158" s="1" t="s">
        <v>3</v>
      </c>
      <c r="D158" s="1" t="s">
        <v>7</v>
      </c>
      <c r="E158" s="1" t="s">
        <v>2</v>
      </c>
      <c r="F158" s="1"/>
      <c r="G158" s="1"/>
      <c r="H158" s="1" t="s">
        <v>3</v>
      </c>
      <c r="I158" s="1" t="s">
        <v>7</v>
      </c>
      <c r="J158" s="1" t="s">
        <v>2</v>
      </c>
      <c r="K158" s="1" t="s">
        <v>13</v>
      </c>
      <c r="L158" s="1" t="s">
        <v>8</v>
      </c>
      <c r="M158" s="1" t="s">
        <v>11</v>
      </c>
      <c r="N158" s="1" t="s">
        <v>1</v>
      </c>
      <c r="O158" s="1" t="s">
        <v>9</v>
      </c>
      <c r="P158" s="1" t="s">
        <v>9</v>
      </c>
      <c r="Q158" s="1">
        <f>-100*(COUNTIF(t_BDD8[[#This Row],[ville 1 déjà faites]:[ville 8 déjà faites]],t_BDD8[[#This Row],[Attrib]]))*(t_BDD8[[#This Row],[Attrib]]&lt;&gt;"(rien)")-(t_BDD8[[#This Row],[Attrib]]="(rien)")</f>
        <v>-100</v>
      </c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 t="s">
        <v>184</v>
      </c>
      <c r="B159" s="1" t="s">
        <v>33</v>
      </c>
      <c r="C159" s="1" t="s">
        <v>11</v>
      </c>
      <c r="D159" s="1" t="s">
        <v>10</v>
      </c>
      <c r="E159" s="1" t="s">
        <v>1</v>
      </c>
      <c r="F159" s="1"/>
      <c r="G159" s="1"/>
      <c r="H159" s="1" t="s">
        <v>1</v>
      </c>
      <c r="I159" s="1" t="s">
        <v>11</v>
      </c>
      <c r="J159" s="1" t="s">
        <v>13</v>
      </c>
      <c r="K159" s="1" t="s">
        <v>8</v>
      </c>
      <c r="L159" s="1" t="s">
        <v>251</v>
      </c>
      <c r="M159" s="1" t="s">
        <v>251</v>
      </c>
      <c r="N159" s="1" t="s">
        <v>10</v>
      </c>
      <c r="O159" s="1" t="s">
        <v>2</v>
      </c>
      <c r="P159" s="1" t="s">
        <v>2</v>
      </c>
      <c r="Q159" s="1">
        <f>-100*(COUNTIF(t_BDD8[[#This Row],[ville 1 déjà faites]:[ville 8 déjà faites]],t_BDD8[[#This Row],[Attrib]]))*(t_BDD8[[#This Row],[Attrib]]&lt;&gt;"(rien)")-(t_BDD8[[#This Row],[Attrib]]="(rien)")</f>
        <v>-100</v>
      </c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 t="s">
        <v>185</v>
      </c>
      <c r="B160" s="1" t="s">
        <v>33</v>
      </c>
      <c r="C160" s="1" t="s">
        <v>4</v>
      </c>
      <c r="D160" s="1" t="s">
        <v>9</v>
      </c>
      <c r="E160" s="1" t="s">
        <v>5</v>
      </c>
      <c r="F160" s="1"/>
      <c r="G160" s="1"/>
      <c r="H160" s="1" t="s">
        <v>4</v>
      </c>
      <c r="I160" s="1" t="s">
        <v>13</v>
      </c>
      <c r="J160" s="1" t="s">
        <v>9</v>
      </c>
      <c r="K160" s="1" t="s">
        <v>5</v>
      </c>
      <c r="L160" s="1" t="s">
        <v>251</v>
      </c>
      <c r="M160" s="1" t="s">
        <v>1</v>
      </c>
      <c r="N160" s="1" t="s">
        <v>11</v>
      </c>
      <c r="O160" s="1" t="s">
        <v>251</v>
      </c>
      <c r="P160" s="1" t="s">
        <v>251</v>
      </c>
      <c r="Q160" s="1">
        <f>-100*(COUNTIF(t_BDD8[[#This Row],[ville 1 déjà faites]:[ville 8 déjà faites]],t_BDD8[[#This Row],[Attrib]]))*(t_BDD8[[#This Row],[Attrib]]&lt;&gt;"(rien)")-(t_BDD8[[#This Row],[Attrib]]="(rien)")</f>
        <v>-1</v>
      </c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 t="s">
        <v>186</v>
      </c>
      <c r="B161" s="1" t="s">
        <v>33</v>
      </c>
      <c r="C161" s="1" t="s">
        <v>6</v>
      </c>
      <c r="D161" s="1" t="s">
        <v>12</v>
      </c>
      <c r="E161" s="1" t="s">
        <v>5</v>
      </c>
      <c r="F161" s="1"/>
      <c r="G161" s="1"/>
      <c r="H161" s="1" t="s">
        <v>7</v>
      </c>
      <c r="I161" s="1" t="s">
        <v>12</v>
      </c>
      <c r="J161" s="1" t="s">
        <v>6</v>
      </c>
      <c r="K161" s="1" t="s">
        <v>5</v>
      </c>
      <c r="L161" s="1" t="s">
        <v>13</v>
      </c>
      <c r="M161" s="1" t="s">
        <v>0</v>
      </c>
      <c r="N161" s="1" t="s">
        <v>11</v>
      </c>
      <c r="O161" s="1" t="s">
        <v>1</v>
      </c>
      <c r="P161" s="1" t="s">
        <v>1</v>
      </c>
      <c r="Q161" s="1">
        <f>-100*(COUNTIF(t_BDD8[[#This Row],[ville 1 déjà faites]:[ville 8 déjà faites]],t_BDD8[[#This Row],[Attrib]]))*(t_BDD8[[#This Row],[Attrib]]&lt;&gt;"(rien)")-(t_BDD8[[#This Row],[Attrib]]="(rien)")</f>
        <v>-100</v>
      </c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 t="s">
        <v>187</v>
      </c>
      <c r="B162" s="1" t="s">
        <v>33</v>
      </c>
      <c r="C162" s="1" t="s">
        <v>8</v>
      </c>
      <c r="D162" s="1" t="s">
        <v>0</v>
      </c>
      <c r="E162" s="1" t="s">
        <v>12</v>
      </c>
      <c r="F162" s="1"/>
      <c r="G162" s="1"/>
      <c r="H162" s="1" t="s">
        <v>8</v>
      </c>
      <c r="I162" s="1" t="s">
        <v>0</v>
      </c>
      <c r="J162" s="1" t="s">
        <v>11</v>
      </c>
      <c r="K162" s="1" t="s">
        <v>5</v>
      </c>
      <c r="L162" s="1" t="s">
        <v>1</v>
      </c>
      <c r="M162" s="1" t="s">
        <v>13</v>
      </c>
      <c r="N162" s="1" t="s">
        <v>4</v>
      </c>
      <c r="O162" s="1" t="s">
        <v>12</v>
      </c>
      <c r="P162" s="1" t="s">
        <v>12</v>
      </c>
      <c r="Q162" s="1">
        <f>-100*(COUNTIF(t_BDD8[[#This Row],[ville 1 déjà faites]:[ville 8 déjà faites]],t_BDD8[[#This Row],[Attrib]]))*(t_BDD8[[#This Row],[Attrib]]&lt;&gt;"(rien)")-(t_BDD8[[#This Row],[Attrib]]="(rien)")</f>
        <v>-100</v>
      </c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 t="s">
        <v>188</v>
      </c>
      <c r="B163" s="1" t="s">
        <v>33</v>
      </c>
      <c r="C163" s="1" t="s">
        <v>3</v>
      </c>
      <c r="D163" s="1" t="s">
        <v>7</v>
      </c>
      <c r="E163" s="1" t="s">
        <v>2</v>
      </c>
      <c r="F163" s="1"/>
      <c r="G163" s="1"/>
      <c r="H163" s="1" t="s">
        <v>7</v>
      </c>
      <c r="I163" s="1" t="s">
        <v>3</v>
      </c>
      <c r="J163" s="1" t="s">
        <v>2</v>
      </c>
      <c r="K163" s="1" t="s">
        <v>5</v>
      </c>
      <c r="L163" s="1" t="s">
        <v>13</v>
      </c>
      <c r="M163" s="1" t="s">
        <v>1</v>
      </c>
      <c r="N163" s="1" t="s">
        <v>0</v>
      </c>
      <c r="O163" s="1" t="s">
        <v>11</v>
      </c>
      <c r="P163" s="1" t="s">
        <v>11</v>
      </c>
      <c r="Q163" s="1">
        <f>-100*(COUNTIF(t_BDD8[[#This Row],[ville 1 déjà faites]:[ville 8 déjà faites]],t_BDD8[[#This Row],[Attrib]]))*(t_BDD8[[#This Row],[Attrib]]&lt;&gt;"(rien)")-(t_BDD8[[#This Row],[Attrib]]="(rien)")</f>
        <v>-100</v>
      </c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 t="s">
        <v>189</v>
      </c>
      <c r="B164" s="1" t="s">
        <v>33</v>
      </c>
      <c r="C164" s="1" t="s">
        <v>11</v>
      </c>
      <c r="D164" s="1" t="s">
        <v>10</v>
      </c>
      <c r="E164" s="1" t="s">
        <v>1</v>
      </c>
      <c r="F164" s="1"/>
      <c r="G164" s="1"/>
      <c r="H164" s="1" t="s">
        <v>11</v>
      </c>
      <c r="I164" s="1" t="s">
        <v>1</v>
      </c>
      <c r="J164" s="1" t="s">
        <v>13</v>
      </c>
      <c r="K164" s="1" t="s">
        <v>251</v>
      </c>
      <c r="L164" s="1" t="s">
        <v>10</v>
      </c>
      <c r="M164" s="1" t="s">
        <v>8</v>
      </c>
      <c r="N164" s="1" t="s">
        <v>251</v>
      </c>
      <c r="O164" s="1" t="s">
        <v>251</v>
      </c>
      <c r="P164" s="1" t="s">
        <v>251</v>
      </c>
      <c r="Q164" s="1">
        <f>-100*(COUNTIF(t_BDD8[[#This Row],[ville 1 déjà faites]:[ville 8 déjà faites]],t_BDD8[[#This Row],[Attrib]]))*(t_BDD8[[#This Row],[Attrib]]&lt;&gt;"(rien)")-(t_BDD8[[#This Row],[Attrib]]="(rien)")</f>
        <v>-1</v>
      </c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 t="s">
        <v>190</v>
      </c>
      <c r="B165" s="1" t="s">
        <v>33</v>
      </c>
      <c r="C165" s="1" t="s">
        <v>4</v>
      </c>
      <c r="D165" s="1" t="s">
        <v>9</v>
      </c>
      <c r="E165" s="1" t="s">
        <v>5</v>
      </c>
      <c r="F165" s="1"/>
      <c r="G165" s="1"/>
      <c r="H165" s="1" t="s">
        <v>4</v>
      </c>
      <c r="I165" s="1" t="s">
        <v>9</v>
      </c>
      <c r="J165" s="1" t="s">
        <v>5</v>
      </c>
      <c r="K165" s="1" t="s">
        <v>251</v>
      </c>
      <c r="L165" s="1" t="s">
        <v>13</v>
      </c>
      <c r="M165" s="1" t="s">
        <v>6</v>
      </c>
      <c r="N165" s="1" t="s">
        <v>11</v>
      </c>
      <c r="O165" s="1" t="s">
        <v>1</v>
      </c>
      <c r="P165" s="1" t="s">
        <v>1</v>
      </c>
      <c r="Q165" s="1">
        <f>-100*(COUNTIF(t_BDD8[[#This Row],[ville 1 déjà faites]:[ville 8 déjà faites]],t_BDD8[[#This Row],[Attrib]]))*(t_BDD8[[#This Row],[Attrib]]&lt;&gt;"(rien)")-(t_BDD8[[#This Row],[Attrib]]="(rien)")</f>
        <v>-100</v>
      </c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 t="s">
        <v>191</v>
      </c>
      <c r="B166" s="1" t="s">
        <v>33</v>
      </c>
      <c r="C166" s="1" t="s">
        <v>6</v>
      </c>
      <c r="D166" s="1" t="s">
        <v>12</v>
      </c>
      <c r="E166" s="1" t="s">
        <v>5</v>
      </c>
      <c r="F166" s="1"/>
      <c r="G166" s="1"/>
      <c r="H166" s="1" t="s">
        <v>5</v>
      </c>
      <c r="I166" s="1" t="s">
        <v>6</v>
      </c>
      <c r="J166" s="1" t="s">
        <v>12</v>
      </c>
      <c r="K166" s="1" t="s">
        <v>11</v>
      </c>
      <c r="L166" s="1" t="s">
        <v>4</v>
      </c>
      <c r="M166" s="1" t="s">
        <v>0</v>
      </c>
      <c r="N166" s="1" t="s">
        <v>13</v>
      </c>
      <c r="O166" s="1" t="s">
        <v>1</v>
      </c>
      <c r="P166" s="1" t="s">
        <v>1</v>
      </c>
      <c r="Q166" s="1">
        <f>-100*(COUNTIF(t_BDD8[[#This Row],[ville 1 déjà faites]:[ville 8 déjà faites]],t_BDD8[[#This Row],[Attrib]]))*(t_BDD8[[#This Row],[Attrib]]&lt;&gt;"(rien)")-(t_BDD8[[#This Row],[Attrib]]="(rien)")</f>
        <v>-100</v>
      </c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 t="s">
        <v>192</v>
      </c>
      <c r="B167" s="1" t="s">
        <v>33</v>
      </c>
      <c r="C167" s="1" t="s">
        <v>8</v>
      </c>
      <c r="D167" s="1" t="s">
        <v>0</v>
      </c>
      <c r="E167" s="1" t="s">
        <v>12</v>
      </c>
      <c r="F167" s="1"/>
      <c r="G167" s="1"/>
      <c r="H167" s="1" t="s">
        <v>8</v>
      </c>
      <c r="I167" s="1" t="s">
        <v>0</v>
      </c>
      <c r="J167" s="1" t="s">
        <v>13</v>
      </c>
      <c r="K167" s="1" t="s">
        <v>1</v>
      </c>
      <c r="L167" s="1" t="s">
        <v>11</v>
      </c>
      <c r="M167" s="1" t="s">
        <v>6</v>
      </c>
      <c r="N167" s="1" t="s">
        <v>12</v>
      </c>
      <c r="O167" s="1" t="s">
        <v>5</v>
      </c>
      <c r="P167" s="1" t="s">
        <v>5</v>
      </c>
      <c r="Q167" s="1">
        <f>-100*(COUNTIF(t_BDD8[[#This Row],[ville 1 déjà faites]:[ville 8 déjà faites]],t_BDD8[[#This Row],[Attrib]]))*(t_BDD8[[#This Row],[Attrib]]&lt;&gt;"(rien)")-(t_BDD8[[#This Row],[Attrib]]="(rien)")</f>
        <v>-100</v>
      </c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 t="s">
        <v>193</v>
      </c>
      <c r="B168" s="1" t="s">
        <v>33</v>
      </c>
      <c r="C168" s="1" t="s">
        <v>6</v>
      </c>
      <c r="D168" s="1" t="s">
        <v>5</v>
      </c>
      <c r="E168" s="1" t="s">
        <v>9</v>
      </c>
      <c r="F168" s="1"/>
      <c r="G168" s="1"/>
      <c r="H168" s="1" t="s">
        <v>5</v>
      </c>
      <c r="I168" s="1" t="s">
        <v>1</v>
      </c>
      <c r="J168" s="1" t="s">
        <v>9</v>
      </c>
      <c r="K168" s="1" t="s">
        <v>6</v>
      </c>
      <c r="L168" s="1" t="s">
        <v>11</v>
      </c>
      <c r="M168" s="1" t="s">
        <v>8</v>
      </c>
      <c r="N168" s="1" t="s">
        <v>13</v>
      </c>
      <c r="O168" s="1" t="s">
        <v>251</v>
      </c>
      <c r="P168" s="1" t="s">
        <v>251</v>
      </c>
      <c r="Q168" s="1">
        <f>-100*(COUNTIF(t_BDD8[[#This Row],[ville 1 déjà faites]:[ville 8 déjà faites]],t_BDD8[[#This Row],[Attrib]]))*(t_BDD8[[#This Row],[Attrib]]&lt;&gt;"(rien)")-(t_BDD8[[#This Row],[Attrib]]="(rien)")</f>
        <v>-1</v>
      </c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 t="s">
        <v>194</v>
      </c>
      <c r="B169" s="1" t="s">
        <v>33</v>
      </c>
      <c r="C169" s="1" t="s">
        <v>2</v>
      </c>
      <c r="D169" s="1" t="s">
        <v>3</v>
      </c>
      <c r="E169" s="1" t="s">
        <v>5</v>
      </c>
      <c r="F169" s="1"/>
      <c r="G169" s="1"/>
      <c r="H169" s="1" t="s">
        <v>2</v>
      </c>
      <c r="I169" s="1" t="s">
        <v>5</v>
      </c>
      <c r="J169" s="1" t="s">
        <v>11</v>
      </c>
      <c r="K169" s="1" t="s">
        <v>8</v>
      </c>
      <c r="L169" s="1" t="s">
        <v>3</v>
      </c>
      <c r="M169" s="1" t="s">
        <v>251</v>
      </c>
      <c r="N169" s="1" t="s">
        <v>251</v>
      </c>
      <c r="O169" s="1" t="s">
        <v>4</v>
      </c>
      <c r="P169" s="1" t="s">
        <v>4</v>
      </c>
      <c r="Q169" s="1">
        <f>-100*(COUNTIF(t_BDD8[[#This Row],[ville 1 déjà faites]:[ville 8 déjà faites]],t_BDD8[[#This Row],[Attrib]]))*(t_BDD8[[#This Row],[Attrib]]&lt;&gt;"(rien)")-(t_BDD8[[#This Row],[Attrib]]="(rien)")</f>
        <v>-100</v>
      </c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 t="s">
        <v>195</v>
      </c>
      <c r="B170" s="1" t="s">
        <v>33</v>
      </c>
      <c r="C170" s="1" t="s">
        <v>3</v>
      </c>
      <c r="D170" s="1" t="s">
        <v>7</v>
      </c>
      <c r="E170" s="1" t="s">
        <v>2</v>
      </c>
      <c r="F170" s="1"/>
      <c r="G170" s="1"/>
      <c r="H170" s="1" t="s">
        <v>7</v>
      </c>
      <c r="I170" s="1" t="s">
        <v>3</v>
      </c>
      <c r="J170" s="1" t="s">
        <v>13</v>
      </c>
      <c r="K170" s="1" t="s">
        <v>2</v>
      </c>
      <c r="L170" s="1" t="s">
        <v>5</v>
      </c>
      <c r="M170" s="1" t="s">
        <v>11</v>
      </c>
      <c r="N170" s="1" t="s">
        <v>0</v>
      </c>
      <c r="O170" s="1" t="s">
        <v>6</v>
      </c>
      <c r="P170" s="1" t="s">
        <v>6</v>
      </c>
      <c r="Q170" s="1">
        <f>-100*(COUNTIF(t_BDD8[[#This Row],[ville 1 déjà faites]:[ville 8 déjà faites]],t_BDD8[[#This Row],[Attrib]]))*(t_BDD8[[#This Row],[Attrib]]&lt;&gt;"(rien)")-(t_BDD8[[#This Row],[Attrib]]="(rien)")</f>
        <v>-100</v>
      </c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 t="s">
        <v>196</v>
      </c>
      <c r="B171" s="1" t="s">
        <v>33</v>
      </c>
      <c r="C171" s="1" t="s">
        <v>11</v>
      </c>
      <c r="D171" s="1" t="s">
        <v>10</v>
      </c>
      <c r="E171" s="1" t="s">
        <v>1</v>
      </c>
      <c r="F171" s="1"/>
      <c r="G171" s="1"/>
      <c r="H171" s="1" t="s">
        <v>1</v>
      </c>
      <c r="I171" s="1" t="s">
        <v>11</v>
      </c>
      <c r="J171" s="1" t="s">
        <v>13</v>
      </c>
      <c r="K171" s="1" t="s">
        <v>8</v>
      </c>
      <c r="L171" s="1" t="s">
        <v>5</v>
      </c>
      <c r="M171" s="1" t="s">
        <v>10</v>
      </c>
      <c r="N171" s="1" t="s">
        <v>9</v>
      </c>
      <c r="O171" s="1" t="s">
        <v>251</v>
      </c>
      <c r="P171" s="1" t="s">
        <v>251</v>
      </c>
      <c r="Q171" s="1">
        <f>-100*(COUNTIF(t_BDD8[[#This Row],[ville 1 déjà faites]:[ville 8 déjà faites]],t_BDD8[[#This Row],[Attrib]]))*(t_BDD8[[#This Row],[Attrib]]&lt;&gt;"(rien)")-(t_BDD8[[#This Row],[Attrib]]="(rien)")</f>
        <v>-1</v>
      </c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 t="s">
        <v>197</v>
      </c>
      <c r="B172" s="1" t="s">
        <v>33</v>
      </c>
      <c r="C172" s="1" t="s">
        <v>4</v>
      </c>
      <c r="D172" s="1" t="s">
        <v>9</v>
      </c>
      <c r="E172" s="1" t="s">
        <v>5</v>
      </c>
      <c r="F172" s="1"/>
      <c r="G172" s="1"/>
      <c r="H172" s="1" t="s">
        <v>4</v>
      </c>
      <c r="I172" s="1" t="s">
        <v>9</v>
      </c>
      <c r="J172" s="1" t="s">
        <v>5</v>
      </c>
      <c r="K172" s="1" t="s">
        <v>251</v>
      </c>
      <c r="L172" s="1" t="s">
        <v>11</v>
      </c>
      <c r="M172" s="1" t="s">
        <v>13</v>
      </c>
      <c r="N172" s="1" t="s">
        <v>1</v>
      </c>
      <c r="O172" s="1" t="s">
        <v>0</v>
      </c>
      <c r="P172" s="1" t="s">
        <v>0</v>
      </c>
      <c r="Q172" s="1">
        <f>-100*(COUNTIF(t_BDD8[[#This Row],[ville 1 déjà faites]:[ville 8 déjà faites]],t_BDD8[[#This Row],[Attrib]]))*(t_BDD8[[#This Row],[Attrib]]&lt;&gt;"(rien)")-(t_BDD8[[#This Row],[Attrib]]="(rien)")</f>
        <v>-100</v>
      </c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 t="s">
        <v>198</v>
      </c>
      <c r="B173" s="1" t="s">
        <v>33</v>
      </c>
      <c r="C173" s="1" t="s">
        <v>6</v>
      </c>
      <c r="D173" s="1" t="s">
        <v>12</v>
      </c>
      <c r="E173" s="1" t="s">
        <v>5</v>
      </c>
      <c r="F173" s="1"/>
      <c r="G173" s="1"/>
      <c r="H173" s="1" t="s">
        <v>6</v>
      </c>
      <c r="I173" s="1" t="s">
        <v>5</v>
      </c>
      <c r="J173" s="1" t="s">
        <v>12</v>
      </c>
      <c r="K173" s="1" t="s">
        <v>11</v>
      </c>
      <c r="L173" s="1" t="s">
        <v>1</v>
      </c>
      <c r="M173" s="1" t="s">
        <v>2</v>
      </c>
      <c r="N173" s="1" t="s">
        <v>251</v>
      </c>
      <c r="O173" s="1" t="s">
        <v>13</v>
      </c>
      <c r="P173" s="1" t="s">
        <v>13</v>
      </c>
      <c r="Q173" s="1">
        <f>-100*(COUNTIF(t_BDD8[[#This Row],[ville 1 déjà faites]:[ville 8 déjà faites]],t_BDD8[[#This Row],[Attrib]]))*(t_BDD8[[#This Row],[Attrib]]&lt;&gt;"(rien)")-(t_BDD8[[#This Row],[Attrib]]="(rien)")</f>
        <v>-100</v>
      </c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 t="s">
        <v>199</v>
      </c>
      <c r="B174" s="1" t="s">
        <v>33</v>
      </c>
      <c r="C174" s="1" t="s">
        <v>11</v>
      </c>
      <c r="D174" s="1" t="s">
        <v>4</v>
      </c>
      <c r="E174" s="1" t="s">
        <v>12</v>
      </c>
      <c r="F174" s="1"/>
      <c r="G174" s="1"/>
      <c r="H174" s="1" t="s">
        <v>11</v>
      </c>
      <c r="I174" s="1" t="s">
        <v>4</v>
      </c>
      <c r="J174" s="1" t="s">
        <v>7</v>
      </c>
      <c r="K174" s="1" t="s">
        <v>8</v>
      </c>
      <c r="L174" s="1" t="s">
        <v>1</v>
      </c>
      <c r="M174" s="1" t="s">
        <v>14</v>
      </c>
      <c r="N174" s="1" t="s">
        <v>5</v>
      </c>
      <c r="O174" s="1" t="s">
        <v>12</v>
      </c>
      <c r="P174" s="1" t="s">
        <v>12</v>
      </c>
      <c r="Q174" s="1">
        <f>-100*(COUNTIF(t_BDD8[[#This Row],[ville 1 déjà faites]:[ville 8 déjà faites]],t_BDD8[[#This Row],[Attrib]]))*(t_BDD8[[#This Row],[Attrib]]&lt;&gt;"(rien)")-(t_BDD8[[#This Row],[Attrib]]="(rien)")</f>
        <v>-100</v>
      </c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 t="s">
        <v>200</v>
      </c>
      <c r="B175" s="1" t="s">
        <v>33</v>
      </c>
      <c r="C175" s="1" t="s">
        <v>0</v>
      </c>
      <c r="D175" s="1" t="s">
        <v>5</v>
      </c>
      <c r="E175" s="1" t="s">
        <v>3</v>
      </c>
      <c r="F175" s="1"/>
      <c r="G175" s="1"/>
      <c r="H175" s="1" t="s">
        <v>0</v>
      </c>
      <c r="I175" s="1" t="s">
        <v>5</v>
      </c>
      <c r="J175" s="1" t="s">
        <v>251</v>
      </c>
      <c r="K175" s="1" t="s">
        <v>251</v>
      </c>
      <c r="L175" s="1" t="s">
        <v>1</v>
      </c>
      <c r="M175" s="1" t="s">
        <v>7</v>
      </c>
      <c r="N175" s="1" t="s">
        <v>13</v>
      </c>
      <c r="O175" s="1" t="s">
        <v>3</v>
      </c>
      <c r="P175" s="1" t="s">
        <v>3</v>
      </c>
      <c r="Q175" s="1">
        <f>-100*(COUNTIF(t_BDD8[[#This Row],[ville 1 déjà faites]:[ville 8 déjà faites]],t_BDD8[[#This Row],[Attrib]]))*(t_BDD8[[#This Row],[Attrib]]&lt;&gt;"(rien)")-(t_BDD8[[#This Row],[Attrib]]="(rien)")</f>
        <v>-100</v>
      </c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 t="s">
        <v>201</v>
      </c>
      <c r="B176" s="1" t="s">
        <v>33</v>
      </c>
      <c r="C176" s="1" t="s">
        <v>13</v>
      </c>
      <c r="D176" s="1" t="s">
        <v>2</v>
      </c>
      <c r="E176" s="1" t="s">
        <v>7</v>
      </c>
      <c r="F176" s="1"/>
      <c r="G176" s="1"/>
      <c r="H176" s="1" t="s">
        <v>13</v>
      </c>
      <c r="I176" s="1" t="s">
        <v>7</v>
      </c>
      <c r="J176" s="1" t="s">
        <v>2</v>
      </c>
      <c r="K176" s="1" t="s">
        <v>11</v>
      </c>
      <c r="L176" s="1" t="s">
        <v>4</v>
      </c>
      <c r="M176" s="1" t="s">
        <v>5</v>
      </c>
      <c r="N176" s="1" t="s">
        <v>1</v>
      </c>
      <c r="O176" s="1" t="s">
        <v>251</v>
      </c>
      <c r="P176" s="1" t="s">
        <v>251</v>
      </c>
      <c r="Q176" s="1">
        <f>-100*(COUNTIF(t_BDD8[[#This Row],[ville 1 déjà faites]:[ville 8 déjà faites]],t_BDD8[[#This Row],[Attrib]]))*(t_BDD8[[#This Row],[Attrib]]&lt;&gt;"(rien)")-(t_BDD8[[#This Row],[Attrib]]="(rien)")</f>
        <v>-1</v>
      </c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 t="s">
        <v>202</v>
      </c>
      <c r="B177" s="1" t="s">
        <v>33</v>
      </c>
      <c r="C177" s="1" t="s">
        <v>11</v>
      </c>
      <c r="D177" s="1" t="s">
        <v>8</v>
      </c>
      <c r="E177" s="1" t="s">
        <v>1</v>
      </c>
      <c r="F177" s="1"/>
      <c r="G177" s="1"/>
      <c r="H177" s="1" t="s">
        <v>11</v>
      </c>
      <c r="I177" s="1" t="s">
        <v>8</v>
      </c>
      <c r="J177" s="1" t="s">
        <v>1</v>
      </c>
      <c r="K177" s="1" t="s">
        <v>7</v>
      </c>
      <c r="L177" s="1" t="s">
        <v>5</v>
      </c>
      <c r="M177" s="1" t="s">
        <v>251</v>
      </c>
      <c r="N177" s="1" t="s">
        <v>13</v>
      </c>
      <c r="O177" s="1" t="s">
        <v>9</v>
      </c>
      <c r="P177" s="1" t="s">
        <v>9</v>
      </c>
      <c r="Q177" s="1">
        <f>-100*(COUNTIF(t_BDD8[[#This Row],[ville 1 déjà faites]:[ville 8 déjà faites]],t_BDD8[[#This Row],[Attrib]]))*(t_BDD8[[#This Row],[Attrib]]&lt;&gt;"(rien)")-(t_BDD8[[#This Row],[Attrib]]="(rien)")</f>
        <v>-100</v>
      </c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 t="s">
        <v>203</v>
      </c>
      <c r="B178" s="1" t="s">
        <v>33</v>
      </c>
      <c r="C178" s="1" t="s">
        <v>10</v>
      </c>
      <c r="D178" s="1" t="s">
        <v>9</v>
      </c>
      <c r="E178" s="1" t="s">
        <v>0</v>
      </c>
      <c r="F178" s="1"/>
      <c r="G178" s="1"/>
      <c r="H178" s="1" t="s">
        <v>10</v>
      </c>
      <c r="I178" s="1" t="s">
        <v>9</v>
      </c>
      <c r="J178" s="1" t="s">
        <v>1</v>
      </c>
      <c r="K178" s="1" t="s">
        <v>0</v>
      </c>
      <c r="L178" s="1" t="s">
        <v>13</v>
      </c>
      <c r="M178" s="1" t="s">
        <v>11</v>
      </c>
      <c r="N178" s="1" t="s">
        <v>251</v>
      </c>
      <c r="O178" s="1" t="s">
        <v>251</v>
      </c>
      <c r="P178" s="1" t="s">
        <v>251</v>
      </c>
      <c r="Q178" s="1">
        <f>-100*(COUNTIF(t_BDD8[[#This Row],[ville 1 déjà faites]:[ville 8 déjà faites]],t_BDD8[[#This Row],[Attrib]]))*(t_BDD8[[#This Row],[Attrib]]&lt;&gt;"(rien)")-(t_BDD8[[#This Row],[Attrib]]="(rien)")</f>
        <v>-1</v>
      </c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 t="s">
        <v>204</v>
      </c>
      <c r="B179" s="1" t="s">
        <v>33</v>
      </c>
      <c r="C179" s="1" t="s">
        <v>6</v>
      </c>
      <c r="D179" s="1" t="s">
        <v>4</v>
      </c>
      <c r="E179" s="1" t="s">
        <v>13</v>
      </c>
      <c r="F179" s="1"/>
      <c r="G179" s="1"/>
      <c r="H179" s="1" t="s">
        <v>13</v>
      </c>
      <c r="I179" s="1" t="s">
        <v>6</v>
      </c>
      <c r="J179" s="1" t="s">
        <v>4</v>
      </c>
      <c r="K179" s="1" t="s">
        <v>1</v>
      </c>
      <c r="L179" s="1" t="s">
        <v>5</v>
      </c>
      <c r="M179" s="1" t="s">
        <v>11</v>
      </c>
      <c r="N179" s="1" t="s">
        <v>8</v>
      </c>
      <c r="O179" s="1" t="s">
        <v>7</v>
      </c>
      <c r="P179" s="1" t="s">
        <v>7</v>
      </c>
      <c r="Q179" s="1">
        <f>-100*(COUNTIF(t_BDD8[[#This Row],[ville 1 déjà faites]:[ville 8 déjà faites]],t_BDD8[[#This Row],[Attrib]]))*(t_BDD8[[#This Row],[Attrib]]&lt;&gt;"(rien)")-(t_BDD8[[#This Row],[Attrib]]="(rien)")</f>
        <v>-100</v>
      </c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 t="s">
        <v>205</v>
      </c>
      <c r="B180" s="1" t="s">
        <v>33</v>
      </c>
      <c r="C180" s="1" t="s">
        <v>2</v>
      </c>
      <c r="D180" s="1" t="s">
        <v>0</v>
      </c>
      <c r="E180" s="1" t="s">
        <v>13</v>
      </c>
      <c r="F180" s="1"/>
      <c r="G180" s="1"/>
      <c r="H180" s="1" t="s">
        <v>13</v>
      </c>
      <c r="I180" s="1" t="s">
        <v>2</v>
      </c>
      <c r="J180" s="1" t="s">
        <v>0</v>
      </c>
      <c r="K180" s="1" t="s">
        <v>8</v>
      </c>
      <c r="L180" s="1" t="s">
        <v>6</v>
      </c>
      <c r="M180" s="1" t="s">
        <v>11</v>
      </c>
      <c r="N180" s="1" t="s">
        <v>1</v>
      </c>
      <c r="O180" s="1" t="s">
        <v>4</v>
      </c>
      <c r="P180" s="1" t="s">
        <v>4</v>
      </c>
      <c r="Q180" s="1">
        <f>-100*(COUNTIF(t_BDD8[[#This Row],[ville 1 déjà faites]:[ville 8 déjà faites]],t_BDD8[[#This Row],[Attrib]]))*(t_BDD8[[#This Row],[Attrib]]&lt;&gt;"(rien)")-(t_BDD8[[#This Row],[Attrib]]="(rien)")</f>
        <v>-100</v>
      </c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 t="s">
        <v>206</v>
      </c>
      <c r="B181" s="1" t="s">
        <v>33</v>
      </c>
      <c r="C181" s="1" t="s">
        <v>14</v>
      </c>
      <c r="D181" s="1" t="s">
        <v>10</v>
      </c>
      <c r="E181" s="1" t="s">
        <v>13</v>
      </c>
      <c r="F181" s="1"/>
      <c r="G181" s="1"/>
      <c r="H181" s="1" t="s">
        <v>13</v>
      </c>
      <c r="I181" s="1" t="s">
        <v>14</v>
      </c>
      <c r="J181" s="1" t="s">
        <v>1</v>
      </c>
      <c r="K181" s="1" t="s">
        <v>10</v>
      </c>
      <c r="L181" s="1" t="s">
        <v>5</v>
      </c>
      <c r="M181" s="1" t="s">
        <v>11</v>
      </c>
      <c r="N181" s="1" t="s">
        <v>7</v>
      </c>
      <c r="O181" s="1" t="s">
        <v>251</v>
      </c>
      <c r="P181" s="1" t="s">
        <v>251</v>
      </c>
      <c r="Q181" s="1">
        <f>-100*(COUNTIF(t_BDD8[[#This Row],[ville 1 déjà faites]:[ville 8 déjà faites]],t_BDD8[[#This Row],[Attrib]]))*(t_BDD8[[#This Row],[Attrib]]&lt;&gt;"(rien)")-(t_BDD8[[#This Row],[Attrib]]="(rien)")</f>
        <v>-1</v>
      </c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 t="s">
        <v>207</v>
      </c>
      <c r="B182" s="1" t="s">
        <v>33</v>
      </c>
      <c r="C182" s="1" t="s">
        <v>3</v>
      </c>
      <c r="D182" s="1" t="s">
        <v>7</v>
      </c>
      <c r="E182" s="1" t="s">
        <v>2</v>
      </c>
      <c r="F182" s="1"/>
      <c r="G182" s="1"/>
      <c r="H182" s="1" t="s">
        <v>7</v>
      </c>
      <c r="I182" s="1" t="s">
        <v>3</v>
      </c>
      <c r="J182" s="1" t="s">
        <v>1</v>
      </c>
      <c r="K182" s="1" t="s">
        <v>2</v>
      </c>
      <c r="L182" s="1" t="s">
        <v>0</v>
      </c>
      <c r="M182" s="1" t="s">
        <v>5</v>
      </c>
      <c r="N182" s="1" t="s">
        <v>13</v>
      </c>
      <c r="O182" s="1" t="s">
        <v>4</v>
      </c>
      <c r="P182" s="1" t="s">
        <v>4</v>
      </c>
      <c r="Q182" s="1">
        <f>-100*(COUNTIF(t_BDD8[[#This Row],[ville 1 déjà faites]:[ville 8 déjà faites]],t_BDD8[[#This Row],[Attrib]]))*(t_BDD8[[#This Row],[Attrib]]&lt;&gt;"(rien)")-(t_BDD8[[#This Row],[Attrib]]="(rien)")</f>
        <v>-100</v>
      </c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 t="s">
        <v>208</v>
      </c>
      <c r="B183" s="1" t="s">
        <v>33</v>
      </c>
      <c r="C183" s="1" t="s">
        <v>11</v>
      </c>
      <c r="D183" s="1" t="s">
        <v>10</v>
      </c>
      <c r="E183" s="1" t="s">
        <v>1</v>
      </c>
      <c r="F183" s="1"/>
      <c r="G183" s="1"/>
      <c r="H183" s="1" t="s">
        <v>11</v>
      </c>
      <c r="I183" s="1" t="s">
        <v>1</v>
      </c>
      <c r="J183" s="1" t="s">
        <v>13</v>
      </c>
      <c r="K183" s="1" t="s">
        <v>10</v>
      </c>
      <c r="L183" s="1" t="s">
        <v>2</v>
      </c>
      <c r="M183" s="1" t="s">
        <v>5</v>
      </c>
      <c r="N183" s="1" t="s">
        <v>0</v>
      </c>
      <c r="O183" s="1" t="s">
        <v>251</v>
      </c>
      <c r="P183" s="1" t="s">
        <v>251</v>
      </c>
      <c r="Q183" s="1">
        <f>-100*(COUNTIF(t_BDD8[[#This Row],[ville 1 déjà faites]:[ville 8 déjà faites]],t_BDD8[[#This Row],[Attrib]]))*(t_BDD8[[#This Row],[Attrib]]&lt;&gt;"(rien)")-(t_BDD8[[#This Row],[Attrib]]="(rien)")</f>
        <v>-1</v>
      </c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 t="s">
        <v>209</v>
      </c>
      <c r="B184" s="1" t="s">
        <v>33</v>
      </c>
      <c r="C184" s="1" t="s">
        <v>4</v>
      </c>
      <c r="D184" s="1" t="s">
        <v>9</v>
      </c>
      <c r="E184" s="1" t="s">
        <v>5</v>
      </c>
      <c r="F184" s="1"/>
      <c r="G184" s="1"/>
      <c r="H184" s="1" t="s">
        <v>4</v>
      </c>
      <c r="I184" s="1" t="s">
        <v>9</v>
      </c>
      <c r="J184" s="1" t="s">
        <v>5</v>
      </c>
      <c r="K184" s="1" t="s">
        <v>251</v>
      </c>
      <c r="L184" s="1" t="s">
        <v>2</v>
      </c>
      <c r="M184" s="1" t="s">
        <v>1</v>
      </c>
      <c r="N184" s="1" t="s">
        <v>0</v>
      </c>
      <c r="O184" s="1" t="s">
        <v>13</v>
      </c>
      <c r="P184" s="1" t="s">
        <v>13</v>
      </c>
      <c r="Q184" s="1">
        <f>-100*(COUNTIF(t_BDD8[[#This Row],[ville 1 déjà faites]:[ville 8 déjà faites]],t_BDD8[[#This Row],[Attrib]]))*(t_BDD8[[#This Row],[Attrib]]&lt;&gt;"(rien)")-(t_BDD8[[#This Row],[Attrib]]="(rien)")</f>
        <v>-100</v>
      </c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 t="s">
        <v>210</v>
      </c>
      <c r="B185" s="1" t="s">
        <v>33</v>
      </c>
      <c r="C185" s="1" t="s">
        <v>6</v>
      </c>
      <c r="D185" s="1" t="s">
        <v>12</v>
      </c>
      <c r="E185" s="1" t="s">
        <v>5</v>
      </c>
      <c r="F185" s="1"/>
      <c r="G185" s="1"/>
      <c r="H185" s="1" t="s">
        <v>12</v>
      </c>
      <c r="I185" s="1" t="s">
        <v>251</v>
      </c>
      <c r="J185" s="1" t="s">
        <v>6</v>
      </c>
      <c r="K185" s="1" t="s">
        <v>5</v>
      </c>
      <c r="L185" s="1" t="s">
        <v>0</v>
      </c>
      <c r="M185" s="1" t="s">
        <v>11</v>
      </c>
      <c r="N185" s="1" t="s">
        <v>8</v>
      </c>
      <c r="O185" s="1" t="s">
        <v>14</v>
      </c>
      <c r="P185" s="1" t="s">
        <v>14</v>
      </c>
      <c r="Q185" s="1">
        <f>-100*(COUNTIF(t_BDD8[[#This Row],[ville 1 déjà faites]:[ville 8 déjà faites]],t_BDD8[[#This Row],[Attrib]]))*(t_BDD8[[#This Row],[Attrib]]&lt;&gt;"(rien)")-(t_BDD8[[#This Row],[Attrib]]="(rien)")</f>
        <v>-100</v>
      </c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 t="s">
        <v>211</v>
      </c>
      <c r="B186" s="1" t="s">
        <v>33</v>
      </c>
      <c r="C186" s="1" t="s">
        <v>11</v>
      </c>
      <c r="D186" s="1" t="s">
        <v>10</v>
      </c>
      <c r="E186" s="1" t="s">
        <v>1</v>
      </c>
      <c r="F186" s="1"/>
      <c r="G186" s="1"/>
      <c r="H186" s="1" t="s">
        <v>1</v>
      </c>
      <c r="I186" s="1" t="s">
        <v>11</v>
      </c>
      <c r="J186" s="1" t="s">
        <v>13</v>
      </c>
      <c r="K186" s="1" t="s">
        <v>5</v>
      </c>
      <c r="L186" s="1" t="s">
        <v>7</v>
      </c>
      <c r="M186" s="1" t="s">
        <v>10</v>
      </c>
      <c r="N186" s="1" t="s">
        <v>8</v>
      </c>
      <c r="O186" s="1" t="s">
        <v>251</v>
      </c>
      <c r="P186" s="1" t="s">
        <v>251</v>
      </c>
      <c r="Q186" s="1">
        <f>-100*(COUNTIF(t_BDD8[[#This Row],[ville 1 déjà faites]:[ville 8 déjà faites]],t_BDD8[[#This Row],[Attrib]]))*(t_BDD8[[#This Row],[Attrib]]&lt;&gt;"(rien)")-(t_BDD8[[#This Row],[Attrib]]="(rien)")</f>
        <v>-1</v>
      </c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 t="s">
        <v>212</v>
      </c>
      <c r="B187" s="1" t="s">
        <v>33</v>
      </c>
      <c r="C187" s="1" t="s">
        <v>4</v>
      </c>
      <c r="D187" s="1" t="s">
        <v>9</v>
      </c>
      <c r="E187" s="1" t="s">
        <v>5</v>
      </c>
      <c r="F187" s="1"/>
      <c r="G187" s="1"/>
      <c r="H187" s="1" t="s">
        <v>9</v>
      </c>
      <c r="I187" s="1" t="s">
        <v>4</v>
      </c>
      <c r="J187" s="1" t="s">
        <v>5</v>
      </c>
      <c r="K187" s="1" t="s">
        <v>13</v>
      </c>
      <c r="L187" s="1" t="s">
        <v>11</v>
      </c>
      <c r="M187" s="1" t="s">
        <v>7</v>
      </c>
      <c r="N187" s="1" t="s">
        <v>1</v>
      </c>
      <c r="O187" s="1" t="s">
        <v>251</v>
      </c>
      <c r="P187" s="1" t="s">
        <v>251</v>
      </c>
      <c r="Q187" s="1">
        <f>-100*(COUNTIF(t_BDD8[[#This Row],[ville 1 déjà faites]:[ville 8 déjà faites]],t_BDD8[[#This Row],[Attrib]]))*(t_BDD8[[#This Row],[Attrib]]&lt;&gt;"(rien)")-(t_BDD8[[#This Row],[Attrib]]="(rien)")</f>
        <v>-1</v>
      </c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 t="s">
        <v>213</v>
      </c>
      <c r="B188" s="1" t="s">
        <v>33</v>
      </c>
      <c r="C188" s="1" t="s">
        <v>6</v>
      </c>
      <c r="D188" s="1" t="s">
        <v>12</v>
      </c>
      <c r="E188" s="1" t="s">
        <v>5</v>
      </c>
      <c r="F188" s="1"/>
      <c r="G188" s="1"/>
      <c r="H188" s="1" t="s">
        <v>5</v>
      </c>
      <c r="I188" s="1" t="s">
        <v>6</v>
      </c>
      <c r="J188" s="1" t="s">
        <v>13</v>
      </c>
      <c r="K188" s="1" t="s">
        <v>12</v>
      </c>
      <c r="L188" s="1" t="s">
        <v>1</v>
      </c>
      <c r="M188" s="1" t="s">
        <v>8</v>
      </c>
      <c r="N188" s="1" t="s">
        <v>11</v>
      </c>
      <c r="O188" s="1" t="s">
        <v>7</v>
      </c>
      <c r="P188" s="1" t="s">
        <v>7</v>
      </c>
      <c r="Q188" s="1">
        <f>-100*(COUNTIF(t_BDD8[[#This Row],[ville 1 déjà faites]:[ville 8 déjà faites]],t_BDD8[[#This Row],[Attrib]]))*(t_BDD8[[#This Row],[Attrib]]&lt;&gt;"(rien)")-(t_BDD8[[#This Row],[Attrib]]="(rien)")</f>
        <v>-100</v>
      </c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 t="s">
        <v>214</v>
      </c>
      <c r="B189" s="1" t="s">
        <v>33</v>
      </c>
      <c r="C189" s="1" t="s">
        <v>8</v>
      </c>
      <c r="D189" s="1" t="s">
        <v>0</v>
      </c>
      <c r="E189" s="1" t="s">
        <v>12</v>
      </c>
      <c r="F189" s="1"/>
      <c r="G189" s="1"/>
      <c r="H189" s="1" t="s">
        <v>8</v>
      </c>
      <c r="I189" s="1" t="s">
        <v>251</v>
      </c>
      <c r="J189" s="1" t="s">
        <v>0</v>
      </c>
      <c r="K189" s="1" t="s">
        <v>1</v>
      </c>
      <c r="L189" s="1" t="s">
        <v>251</v>
      </c>
      <c r="M189" s="1" t="s">
        <v>11</v>
      </c>
      <c r="N189" s="1" t="s">
        <v>13</v>
      </c>
      <c r="O189" s="1" t="s">
        <v>251</v>
      </c>
      <c r="P189" s="1" t="s">
        <v>251</v>
      </c>
      <c r="Q189" s="1">
        <f>-100*(COUNTIF(t_BDD8[[#This Row],[ville 1 déjà faites]:[ville 8 déjà faites]],t_BDD8[[#This Row],[Attrib]]))*(t_BDD8[[#This Row],[Attrib]]&lt;&gt;"(rien)")-(t_BDD8[[#This Row],[Attrib]]="(rien)")</f>
        <v>-1</v>
      </c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 t="s">
        <v>215</v>
      </c>
      <c r="B190" s="1" t="s">
        <v>33</v>
      </c>
      <c r="C190" s="1" t="s">
        <v>6</v>
      </c>
      <c r="D190" s="1" t="s">
        <v>5</v>
      </c>
      <c r="E190" s="1" t="s">
        <v>9</v>
      </c>
      <c r="F190" s="1"/>
      <c r="G190" s="1"/>
      <c r="H190" s="1" t="s">
        <v>5</v>
      </c>
      <c r="I190" s="1" t="s">
        <v>251</v>
      </c>
      <c r="J190" s="1" t="s">
        <v>6</v>
      </c>
      <c r="K190" s="1" t="s">
        <v>9</v>
      </c>
      <c r="L190" s="1" t="s">
        <v>13</v>
      </c>
      <c r="M190" s="1" t="s">
        <v>11</v>
      </c>
      <c r="N190" s="1" t="s">
        <v>8</v>
      </c>
      <c r="O190" s="1" t="s">
        <v>1</v>
      </c>
      <c r="P190" s="1" t="s">
        <v>1</v>
      </c>
      <c r="Q190" s="1">
        <f>-100*(COUNTIF(t_BDD8[[#This Row],[ville 1 déjà faites]:[ville 8 déjà faites]],t_BDD8[[#This Row],[Attrib]]))*(t_BDD8[[#This Row],[Attrib]]&lt;&gt;"(rien)")-(t_BDD8[[#This Row],[Attrib]]="(rien)")</f>
        <v>-100</v>
      </c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 t="s">
        <v>216</v>
      </c>
      <c r="B191" s="1" t="s">
        <v>33</v>
      </c>
      <c r="C191" s="1" t="s">
        <v>11</v>
      </c>
      <c r="D191" s="1" t="s">
        <v>8</v>
      </c>
      <c r="E191" s="1" t="s">
        <v>1</v>
      </c>
      <c r="F191" s="1"/>
      <c r="G191" s="1"/>
      <c r="H191" s="1" t="s">
        <v>11</v>
      </c>
      <c r="I191" s="1" t="s">
        <v>8</v>
      </c>
      <c r="J191" s="1" t="s">
        <v>1</v>
      </c>
      <c r="K191" s="1" t="s">
        <v>13</v>
      </c>
      <c r="L191" s="1" t="s">
        <v>251</v>
      </c>
      <c r="M191" s="1" t="s">
        <v>5</v>
      </c>
      <c r="N191" s="1" t="s">
        <v>251</v>
      </c>
      <c r="O191" s="1" t="s">
        <v>9</v>
      </c>
      <c r="P191" s="1" t="s">
        <v>9</v>
      </c>
      <c r="Q191" s="1">
        <f>-100*(COUNTIF(t_BDD8[[#This Row],[ville 1 déjà faites]:[ville 8 déjà faites]],t_BDD8[[#This Row],[Attrib]]))*(t_BDD8[[#This Row],[Attrib]]&lt;&gt;"(rien)")-(t_BDD8[[#This Row],[Attrib]]="(rien)")</f>
        <v>-100</v>
      </c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 t="s">
        <v>217</v>
      </c>
      <c r="B192" s="1" t="s">
        <v>33</v>
      </c>
      <c r="C192" s="1" t="s">
        <v>10</v>
      </c>
      <c r="D192" s="1" t="s">
        <v>9</v>
      </c>
      <c r="E192" s="1" t="s">
        <v>0</v>
      </c>
      <c r="F192" s="1"/>
      <c r="G192" s="1"/>
      <c r="H192" s="1" t="s">
        <v>251</v>
      </c>
      <c r="I192" s="1" t="s">
        <v>9</v>
      </c>
      <c r="J192" s="1" t="s">
        <v>10</v>
      </c>
      <c r="K192" s="1" t="s">
        <v>0</v>
      </c>
      <c r="L192" s="1" t="s">
        <v>8</v>
      </c>
      <c r="M192" s="1" t="s">
        <v>13</v>
      </c>
      <c r="N192" s="1" t="s">
        <v>1</v>
      </c>
      <c r="O192" s="1" t="s">
        <v>5</v>
      </c>
      <c r="P192" s="1" t="s">
        <v>5</v>
      </c>
      <c r="Q192" s="1">
        <f>-100*(COUNTIF(t_BDD8[[#This Row],[ville 1 déjà faites]:[ville 8 déjà faites]],t_BDD8[[#This Row],[Attrib]]))*(t_BDD8[[#This Row],[Attrib]]&lt;&gt;"(rien)")-(t_BDD8[[#This Row],[Attrib]]="(rien)")</f>
        <v>-100</v>
      </c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 t="s">
        <v>218</v>
      </c>
      <c r="B193" s="1" t="s">
        <v>33</v>
      </c>
      <c r="C193" s="1" t="s">
        <v>6</v>
      </c>
      <c r="D193" s="1" t="s">
        <v>4</v>
      </c>
      <c r="E193" s="1" t="s">
        <v>13</v>
      </c>
      <c r="F193" s="1"/>
      <c r="G193" s="1"/>
      <c r="H193" s="1" t="s">
        <v>6</v>
      </c>
      <c r="I193" s="1" t="s">
        <v>13</v>
      </c>
      <c r="J193" s="1" t="s">
        <v>4</v>
      </c>
      <c r="K193" s="1" t="s">
        <v>2</v>
      </c>
      <c r="L193" s="1" t="s">
        <v>11</v>
      </c>
      <c r="M193" s="1" t="s">
        <v>1</v>
      </c>
      <c r="N193" s="1" t="s">
        <v>5</v>
      </c>
      <c r="O193" s="1" t="s">
        <v>9</v>
      </c>
      <c r="P193" s="1" t="s">
        <v>9</v>
      </c>
      <c r="Q193" s="1">
        <f>-100*(COUNTIF(t_BDD8[[#This Row],[ville 1 déjà faites]:[ville 8 déjà faites]],t_BDD8[[#This Row],[Attrib]]))*(t_BDD8[[#This Row],[Attrib]]&lt;&gt;"(rien)")-(t_BDD8[[#This Row],[Attrib]]="(rien)")</f>
        <v>-100</v>
      </c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 t="s">
        <v>219</v>
      </c>
      <c r="B194" s="1" t="s">
        <v>33</v>
      </c>
      <c r="C194" s="1" t="s">
        <v>2</v>
      </c>
      <c r="D194" s="1" t="s">
        <v>0</v>
      </c>
      <c r="E194" s="1" t="s">
        <v>13</v>
      </c>
      <c r="F194" s="1"/>
      <c r="G194" s="1"/>
      <c r="H194" s="1" t="s">
        <v>2</v>
      </c>
      <c r="I194" s="1" t="s">
        <v>13</v>
      </c>
      <c r="J194" s="1" t="s">
        <v>0</v>
      </c>
      <c r="K194" s="1" t="s">
        <v>7</v>
      </c>
      <c r="L194" s="1" t="s">
        <v>11</v>
      </c>
      <c r="M194" s="1" t="s">
        <v>8</v>
      </c>
      <c r="N194" s="1" t="s">
        <v>9</v>
      </c>
      <c r="O194" s="1" t="s">
        <v>5</v>
      </c>
      <c r="P194" s="1" t="s">
        <v>5</v>
      </c>
      <c r="Q194" s="1">
        <f>-100*(COUNTIF(t_BDD8[[#This Row],[ville 1 déjà faites]:[ville 8 déjà faites]],t_BDD8[[#This Row],[Attrib]]))*(t_BDD8[[#This Row],[Attrib]]&lt;&gt;"(rien)")-(t_BDD8[[#This Row],[Attrib]]="(rien)")</f>
        <v>-100</v>
      </c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 t="s">
        <v>220</v>
      </c>
      <c r="B195" s="1" t="s">
        <v>33</v>
      </c>
      <c r="C195" s="1" t="s">
        <v>0</v>
      </c>
      <c r="D195" s="1" t="s">
        <v>5</v>
      </c>
      <c r="E195" s="1" t="s">
        <v>3</v>
      </c>
      <c r="F195" s="1"/>
      <c r="G195" s="1"/>
      <c r="H195" s="1" t="s">
        <v>0</v>
      </c>
      <c r="I195" s="1" t="s">
        <v>5</v>
      </c>
      <c r="J195" s="1" t="s">
        <v>1</v>
      </c>
      <c r="K195" s="1" t="s">
        <v>7</v>
      </c>
      <c r="L195" s="1" t="s">
        <v>13</v>
      </c>
      <c r="M195" s="1" t="s">
        <v>3</v>
      </c>
      <c r="N195" s="1" t="s">
        <v>6</v>
      </c>
      <c r="O195" s="1" t="s">
        <v>8</v>
      </c>
      <c r="P195" s="1" t="s">
        <v>8</v>
      </c>
      <c r="Q195" s="1">
        <f>-100*(COUNTIF(t_BDD8[[#This Row],[ville 1 déjà faites]:[ville 8 déjà faites]],t_BDD8[[#This Row],[Attrib]]))*(t_BDD8[[#This Row],[Attrib]]&lt;&gt;"(rien)")-(t_BDD8[[#This Row],[Attrib]]="(rien)")</f>
        <v>-100</v>
      </c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 t="s">
        <v>221</v>
      </c>
      <c r="B196" s="1" t="s">
        <v>33</v>
      </c>
      <c r="C196" s="1" t="s">
        <v>13</v>
      </c>
      <c r="D196" s="1" t="s">
        <v>2</v>
      </c>
      <c r="E196" s="1" t="s">
        <v>7</v>
      </c>
      <c r="F196" s="1"/>
      <c r="G196" s="1"/>
      <c r="H196" s="1" t="s">
        <v>13</v>
      </c>
      <c r="I196" s="1" t="s">
        <v>7</v>
      </c>
      <c r="J196" s="1" t="s">
        <v>2</v>
      </c>
      <c r="K196" s="1" t="s">
        <v>8</v>
      </c>
      <c r="L196" s="1" t="s">
        <v>5</v>
      </c>
      <c r="M196" s="1" t="s">
        <v>1</v>
      </c>
      <c r="N196" s="1" t="s">
        <v>11</v>
      </c>
      <c r="O196" s="1" t="s">
        <v>251</v>
      </c>
      <c r="P196" s="1" t="s">
        <v>251</v>
      </c>
      <c r="Q196" s="1">
        <f>-100*(COUNTIF(t_BDD8[[#This Row],[ville 1 déjà faites]:[ville 8 déjà faites]],t_BDD8[[#This Row],[Attrib]]))*(t_BDD8[[#This Row],[Attrib]]&lt;&gt;"(rien)")-(t_BDD8[[#This Row],[Attrib]]="(rien)")</f>
        <v>-1</v>
      </c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 t="s">
        <v>222</v>
      </c>
      <c r="B197" s="1" t="s">
        <v>33</v>
      </c>
      <c r="C197" s="1" t="s">
        <v>11</v>
      </c>
      <c r="D197" s="1" t="s">
        <v>8</v>
      </c>
      <c r="E197" s="1" t="s">
        <v>1</v>
      </c>
      <c r="F197" s="1"/>
      <c r="G197" s="1"/>
      <c r="H197" s="1" t="s">
        <v>11</v>
      </c>
      <c r="I197" s="1" t="s">
        <v>1</v>
      </c>
      <c r="J197" s="1" t="s">
        <v>8</v>
      </c>
      <c r="K197" s="1" t="s">
        <v>251</v>
      </c>
      <c r="L197" s="1" t="s">
        <v>9</v>
      </c>
      <c r="M197" s="1" t="s">
        <v>13</v>
      </c>
      <c r="N197" s="1" t="s">
        <v>6</v>
      </c>
      <c r="O197" s="1" t="s">
        <v>5</v>
      </c>
      <c r="P197" s="1" t="s">
        <v>5</v>
      </c>
      <c r="Q197" s="1">
        <f>-100*(COUNTIF(t_BDD8[[#This Row],[ville 1 déjà faites]:[ville 8 déjà faites]],t_BDD8[[#This Row],[Attrib]]))*(t_BDD8[[#This Row],[Attrib]]&lt;&gt;"(rien)")-(t_BDD8[[#This Row],[Attrib]]="(rien)")</f>
        <v>-100</v>
      </c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 t="s">
        <v>223</v>
      </c>
      <c r="B198" s="1" t="s">
        <v>33</v>
      </c>
      <c r="C198" s="1" t="s">
        <v>10</v>
      </c>
      <c r="D198" s="1" t="s">
        <v>9</v>
      </c>
      <c r="E198" s="1" t="s">
        <v>0</v>
      </c>
      <c r="F198" s="1"/>
      <c r="G198" s="1"/>
      <c r="H198" s="1" t="s">
        <v>1</v>
      </c>
      <c r="I198" s="1" t="s">
        <v>10</v>
      </c>
      <c r="J198" s="1" t="s">
        <v>9</v>
      </c>
      <c r="K198" s="1" t="s">
        <v>13</v>
      </c>
      <c r="L198" s="1" t="s">
        <v>0</v>
      </c>
      <c r="M198" s="1" t="s">
        <v>4</v>
      </c>
      <c r="N198" s="1" t="s">
        <v>7</v>
      </c>
      <c r="O198" s="1" t="s">
        <v>8</v>
      </c>
      <c r="P198" s="1" t="s">
        <v>8</v>
      </c>
      <c r="Q198" s="1">
        <f>-100*(COUNTIF(t_BDD8[[#This Row],[ville 1 déjà faites]:[ville 8 déjà faites]],t_BDD8[[#This Row],[Attrib]]))*(t_BDD8[[#This Row],[Attrib]]&lt;&gt;"(rien)")-(t_BDD8[[#This Row],[Attrib]]="(rien)")</f>
        <v>-100</v>
      </c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 t="s">
        <v>224</v>
      </c>
      <c r="B199" s="1" t="s">
        <v>33</v>
      </c>
      <c r="C199" s="1" t="s">
        <v>13</v>
      </c>
      <c r="D199" s="1" t="s">
        <v>2</v>
      </c>
      <c r="E199" s="1" t="s">
        <v>7</v>
      </c>
      <c r="F199" s="1"/>
      <c r="G199" s="1"/>
      <c r="H199" s="1" t="s">
        <v>13</v>
      </c>
      <c r="I199" s="1" t="s">
        <v>7</v>
      </c>
      <c r="J199" s="1" t="s">
        <v>2</v>
      </c>
      <c r="K199" s="1" t="s">
        <v>11</v>
      </c>
      <c r="L199" s="1" t="s">
        <v>4</v>
      </c>
      <c r="M199" s="1" t="s">
        <v>9</v>
      </c>
      <c r="N199" s="1" t="s">
        <v>14</v>
      </c>
      <c r="O199" s="1" t="s">
        <v>1</v>
      </c>
      <c r="P199" s="1" t="s">
        <v>1</v>
      </c>
      <c r="Q199" s="1">
        <f>-100*(COUNTIF(t_BDD8[[#This Row],[ville 1 déjà faites]:[ville 8 déjà faites]],t_BDD8[[#This Row],[Attrib]]))*(t_BDD8[[#This Row],[Attrib]]&lt;&gt;"(rien)")-(t_BDD8[[#This Row],[Attrib]]="(rien)")</f>
        <v>-100</v>
      </c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 t="s">
        <v>225</v>
      </c>
      <c r="B200" s="1" t="s">
        <v>33</v>
      </c>
      <c r="C200" s="1" t="s">
        <v>11</v>
      </c>
      <c r="D200" s="1" t="s">
        <v>8</v>
      </c>
      <c r="E200" s="1" t="s">
        <v>1</v>
      </c>
      <c r="F200" s="1"/>
      <c r="G200" s="1"/>
      <c r="H200" s="1" t="s">
        <v>11</v>
      </c>
      <c r="I200" s="1" t="s">
        <v>8</v>
      </c>
      <c r="J200" s="1" t="s">
        <v>1</v>
      </c>
      <c r="K200" s="1" t="s">
        <v>13</v>
      </c>
      <c r="L200" s="1" t="s">
        <v>251</v>
      </c>
      <c r="M200" s="1" t="s">
        <v>6</v>
      </c>
      <c r="N200" s="1" t="s">
        <v>7</v>
      </c>
      <c r="O200" s="1" t="s">
        <v>251</v>
      </c>
      <c r="P200" s="1" t="s">
        <v>251</v>
      </c>
      <c r="Q200" s="1">
        <f>-100*(COUNTIF(t_BDD8[[#This Row],[ville 1 déjà faites]:[ville 8 déjà faites]],t_BDD8[[#This Row],[Attrib]]))*(t_BDD8[[#This Row],[Attrib]]&lt;&gt;"(rien)")-(t_BDD8[[#This Row],[Attrib]]="(rien)")</f>
        <v>-1</v>
      </c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 t="s">
        <v>226</v>
      </c>
      <c r="B201" s="1" t="s">
        <v>33</v>
      </c>
      <c r="C201" s="1" t="s">
        <v>10</v>
      </c>
      <c r="D201" s="1" t="s">
        <v>9</v>
      </c>
      <c r="E201" s="1" t="s">
        <v>0</v>
      </c>
      <c r="F201" s="1"/>
      <c r="G201" s="1"/>
      <c r="H201" s="1" t="s">
        <v>251</v>
      </c>
      <c r="I201" s="1" t="s">
        <v>10</v>
      </c>
      <c r="J201" s="1" t="s">
        <v>9</v>
      </c>
      <c r="K201" s="1" t="s">
        <v>0</v>
      </c>
      <c r="L201" s="1" t="s">
        <v>1</v>
      </c>
      <c r="M201" s="1" t="s">
        <v>5</v>
      </c>
      <c r="N201" s="1" t="s">
        <v>2</v>
      </c>
      <c r="O201" s="1" t="s">
        <v>11</v>
      </c>
      <c r="P201" s="1" t="s">
        <v>11</v>
      </c>
      <c r="Q201" s="1">
        <f>-100*(COUNTIF(t_BDD8[[#This Row],[ville 1 déjà faites]:[ville 8 déjà faites]],t_BDD8[[#This Row],[Attrib]]))*(t_BDD8[[#This Row],[Attrib]]&lt;&gt;"(rien)")-(t_BDD8[[#This Row],[Attrib]]="(rien)")</f>
        <v>-100</v>
      </c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</sheetData>
  <phoneticPr fontId="1" type="noConversion"/>
  <conditionalFormatting sqref="B12:B136">
    <cfRule type="containsText" dxfId="35" priority="36" operator="containsText" text="compagnon">
      <formula>NOT(ISERROR(SEARCH("compagnon",B12)))</formula>
    </cfRule>
    <cfRule type="containsText" dxfId="34" priority="37" operator="containsText" text="aspirant">
      <formula>NOT(ISERROR(SEARCH("aspirant",B12)))</formula>
    </cfRule>
    <cfRule type="containsText" dxfId="33" priority="38" operator="containsText" text="jeune">
      <formula>NOT(ISERROR(SEARCH("jeune",B12)))</formula>
    </cfRule>
  </conditionalFormatting>
  <conditionalFormatting sqref="B138:B149">
    <cfRule type="containsText" dxfId="32" priority="32" operator="containsText" text="compagnon">
      <formula>NOT(ISERROR(SEARCH("compagnon",B138)))</formula>
    </cfRule>
    <cfRule type="containsText" dxfId="31" priority="33" operator="containsText" text="aspirant">
      <formula>NOT(ISERROR(SEARCH("aspirant",B138)))</formula>
    </cfRule>
    <cfRule type="containsText" dxfId="30" priority="34" operator="containsText" text="jeune">
      <formula>NOT(ISERROR(SEARCH("jeune",B138)))</formula>
    </cfRule>
  </conditionalFormatting>
  <conditionalFormatting sqref="B150:B165">
    <cfRule type="containsText" dxfId="29" priority="29" operator="containsText" text="compagnon">
      <formula>NOT(ISERROR(SEARCH("compagnon",B150)))</formula>
    </cfRule>
    <cfRule type="containsText" dxfId="28" priority="30" operator="containsText" text="aspirant">
      <formula>NOT(ISERROR(SEARCH("aspirant",B150)))</formula>
    </cfRule>
    <cfRule type="containsText" dxfId="27" priority="31" operator="containsText" text="jeune">
      <formula>NOT(ISERROR(SEARCH("jeune",B150)))</formula>
    </cfRule>
  </conditionalFormatting>
  <conditionalFormatting sqref="B166:B173 B178:B185">
    <cfRule type="containsText" dxfId="26" priority="26" operator="containsText" text="compagnon">
      <formula>NOT(ISERROR(SEARCH("compagnon",B166)))</formula>
    </cfRule>
    <cfRule type="containsText" dxfId="25" priority="27" operator="containsText" text="aspirant">
      <formula>NOT(ISERROR(SEARCH("aspirant",B166)))</formula>
    </cfRule>
    <cfRule type="containsText" dxfId="24" priority="28" operator="containsText" text="jeune">
      <formula>NOT(ISERROR(SEARCH("jeune",B166)))</formula>
    </cfRule>
  </conditionalFormatting>
  <conditionalFormatting sqref="B137">
    <cfRule type="containsText" dxfId="23" priority="23" operator="containsText" text="compagnon">
      <formula>NOT(ISERROR(SEARCH("compagnon",B137)))</formula>
    </cfRule>
    <cfRule type="containsText" dxfId="22" priority="24" operator="containsText" text="aspirant">
      <formula>NOT(ISERROR(SEARCH("aspirant",B137)))</formula>
    </cfRule>
    <cfRule type="containsText" dxfId="21" priority="25" operator="containsText" text="jeune">
      <formula>NOT(ISERROR(SEARCH("jeune",B137)))</formula>
    </cfRule>
  </conditionalFormatting>
  <conditionalFormatting sqref="B174:B177">
    <cfRule type="containsText" dxfId="20" priority="20" operator="containsText" text="compagnon">
      <formula>NOT(ISERROR(SEARCH("compagnon",B174)))</formula>
    </cfRule>
    <cfRule type="containsText" dxfId="19" priority="21" operator="containsText" text="aspirant">
      <formula>NOT(ISERROR(SEARCH("aspirant",B174)))</formula>
    </cfRule>
    <cfRule type="containsText" dxfId="18" priority="22" operator="containsText" text="jeune">
      <formula>NOT(ISERROR(SEARCH("jeune",B174)))</formula>
    </cfRule>
  </conditionalFormatting>
  <conditionalFormatting sqref="B186:B189">
    <cfRule type="containsText" dxfId="17" priority="17" operator="containsText" text="compagnon">
      <formula>NOT(ISERROR(SEARCH("compagnon",B186)))</formula>
    </cfRule>
    <cfRule type="containsText" dxfId="16" priority="18" operator="containsText" text="aspirant">
      <formula>NOT(ISERROR(SEARCH("aspirant",B186)))</formula>
    </cfRule>
    <cfRule type="containsText" dxfId="15" priority="19" operator="containsText" text="jeune">
      <formula>NOT(ISERROR(SEARCH("jeune",B186)))</formula>
    </cfRule>
  </conditionalFormatting>
  <conditionalFormatting sqref="B190:B197">
    <cfRule type="containsText" dxfId="14" priority="14" operator="containsText" text="compagnon">
      <formula>NOT(ISERROR(SEARCH("compagnon",B190)))</formula>
    </cfRule>
    <cfRule type="containsText" dxfId="13" priority="15" operator="containsText" text="aspirant">
      <formula>NOT(ISERROR(SEARCH("aspirant",B190)))</formula>
    </cfRule>
    <cfRule type="containsText" dxfId="12" priority="16" operator="containsText" text="jeune">
      <formula>NOT(ISERROR(SEARCH("jeune",B190)))</formula>
    </cfRule>
  </conditionalFormatting>
  <conditionalFormatting sqref="B198:B201">
    <cfRule type="containsText" dxfId="11" priority="11" operator="containsText" text="compagnon">
      <formula>NOT(ISERROR(SEARCH("compagnon",B198)))</formula>
    </cfRule>
    <cfRule type="containsText" dxfId="10" priority="12" operator="containsText" text="aspirant">
      <formula>NOT(ISERROR(SEARCH("aspirant",B198)))</formula>
    </cfRule>
    <cfRule type="containsText" dxfId="9" priority="13" operator="containsText" text="jeune">
      <formula>NOT(ISERROR(SEARCH("jeune",B198)))</formula>
    </cfRule>
  </conditionalFormatting>
  <conditionalFormatting sqref="B202:B209">
    <cfRule type="containsText" dxfId="8" priority="8" operator="containsText" text="compagnon">
      <formula>NOT(ISERROR(SEARCH("compagnon",B202)))</formula>
    </cfRule>
    <cfRule type="containsText" dxfId="7" priority="9" operator="containsText" text="aspirant">
      <formula>NOT(ISERROR(SEARCH("aspirant",B202)))</formula>
    </cfRule>
    <cfRule type="containsText" dxfId="6" priority="10" operator="containsText" text="jeune">
      <formula>NOT(ISERROR(SEARCH("jeune",B202)))</formula>
    </cfRule>
  </conditionalFormatting>
  <conditionalFormatting sqref="AB18:AP20">
    <cfRule type="expression" dxfId="5" priority="6">
      <formula>AB18=AB24</formula>
    </cfRule>
    <cfRule type="expression" dxfId="4" priority="7">
      <formula>AB18&gt;AB24</formula>
    </cfRule>
  </conditionalFormatting>
  <conditionalFormatting sqref="H12:O201">
    <cfRule type="expression" dxfId="3" priority="3">
      <formula>AND(H12&lt;&gt;"",H12=$E12)</formula>
    </cfRule>
    <cfRule type="expression" dxfId="2" priority="4">
      <formula>AND(H12&lt;&gt;"",H12=$D12)</formula>
    </cfRule>
    <cfRule type="expression" dxfId="1" priority="5">
      <formula>AND(H12&lt;&gt;"",H12=$C12)</formula>
    </cfRule>
  </conditionalFormatting>
  <conditionalFormatting sqref="C12:E201">
    <cfRule type="expression" dxfId="0" priority="1">
      <formula>AND(C12&lt;&gt;"",COUNTIF($C12:$E12,C12)&gt;1)</formula>
    </cfRule>
  </conditionalFormatting>
  <dataValidations count="3">
    <dataValidation type="list" allowBlank="1" showInputMessage="1" showErrorMessage="1" sqref="C12:E201 P12:P201 M12:N201" xr:uid="{D0669ADE-A3B0-4B8C-B01B-D067979435B7}">
      <formula1>INDIRECT("t_Villes")</formula1>
    </dataValidation>
    <dataValidation type="list" allowBlank="1" showInputMessage="1" showErrorMessage="1" sqref="B12:B201" xr:uid="{97A0DE48-BAE3-48A7-9D42-3CD481B0B9A6}">
      <formula1>INDIRECT("t_Grades")</formula1>
    </dataValidation>
    <dataValidation type="list" allowBlank="1" showInputMessage="1" showErrorMessage="1" sqref="J12:J87 L12:L67 O12:O67 K12:K83 H12:I93 I94:I136 J89:J114 H94:H156" xr:uid="{E314466A-A563-4140-B92F-FD9977EC2A7D}">
      <formula1>$AB$11:$AP$11</formula1>
    </dataValidation>
  </dataValidations>
  <pageMargins left="0.7" right="0.7" top="0.75" bottom="0.75" header="0.3" footer="0.3"/>
  <pageSetup paperSize="9" orientation="portrait" r:id="rId1"/>
  <drawing r:id="rId2"/>
  <tableParts count="6">
    <tablePart r:id="rId3"/>
    <tablePart r:id="rId4"/>
    <tablePart r:id="rId5"/>
    <tablePart r:id="rId6"/>
    <tablePart r:id="rId7"/>
    <tablePart r:id="rId8"/>
  </tableParts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type="column" displayEmptyCellsAs="gap" xr2:uid="{6193375E-0DA4-449E-A336-1438239DECE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'Sheet1 (2)'!F2:F6</xm:f>
              <xm:sqref>F1</xm:sqref>
            </x14:sparkline>
            <x14:sparkline>
              <xm:f>'Sheet1 (2)'!G2:G6</xm:f>
              <xm:sqref>G1</xm:sqref>
            </x14:sparkline>
            <x14:sparkline>
              <xm:f>'Sheet1 (2)'!H2:H6</xm:f>
              <xm:sqref>H1</xm:sqref>
            </x14:sparkline>
            <x14:sparkline>
              <xm:f>'Sheet1 (2)'!I2:I6</xm:f>
              <xm:sqref>I1</xm:sqref>
            </x14:sparkline>
            <x14:sparkline>
              <xm:f>'Sheet1 (2)'!J2:J6</xm:f>
              <xm:sqref>J1</xm:sqref>
            </x14:sparkline>
            <x14:sparkline>
              <xm:f>'Sheet1 (2)'!K2:K6</xm:f>
              <xm:sqref>K1</xm:sqref>
            </x14:sparkline>
            <x14:sparkline>
              <xm:f>'Sheet1 (2)'!L2:L6</xm:f>
              <xm:sqref>L1</xm:sqref>
            </x14:sparkline>
            <x14:sparkline>
              <xm:f>'Sheet1 (2)'!M2:M6</xm:f>
              <xm:sqref>M1</xm:sqref>
            </x14:sparkline>
            <x14:sparkline>
              <xm:f>'Sheet1 (2)'!N2:N6</xm:f>
              <xm:sqref>N1</xm:sqref>
            </x14:sparkline>
            <x14:sparkline>
              <xm:f>'Sheet1 (2)'!O2:O6</xm:f>
              <xm:sqref>O1</xm:sqref>
            </x14:sparkline>
            <x14:sparkline>
              <xm:f>'Sheet1 (2)'!P2:P6</xm:f>
              <xm:sqref>P1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12</vt:i4>
      </vt:variant>
    </vt:vector>
  </HeadingPairs>
  <TitlesOfParts>
    <vt:vector size="16" baseType="lpstr">
      <vt:lpstr>Sheet1</vt:lpstr>
      <vt:lpstr>formation- travail</vt:lpstr>
      <vt:lpstr>Listes</vt:lpstr>
      <vt:lpstr>Sheet1 (2)</vt:lpstr>
      <vt:lpstr>Assign</vt:lpstr>
      <vt:lpstr>Attrib</vt:lpstr>
      <vt:lpstr>Grade</vt:lpstr>
      <vt:lpstr>negatif</vt:lpstr>
      <vt:lpstr>nombre_Trop</vt:lpstr>
      <vt:lpstr>penalites</vt:lpstr>
      <vt:lpstr>Points</vt:lpstr>
      <vt:lpstr>somme_Trop</vt:lpstr>
      <vt:lpstr>t48_grades</vt:lpstr>
      <vt:lpstr>Ville1</vt:lpstr>
      <vt:lpstr>Ville2</vt:lpstr>
      <vt:lpstr>Ville3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GOUDEMAND</dc:creator>
  <cp:lastModifiedBy>BSA</cp:lastModifiedBy>
  <dcterms:created xsi:type="dcterms:W3CDTF">2015-06-05T18:17:20Z</dcterms:created>
  <dcterms:modified xsi:type="dcterms:W3CDTF">2025-03-30T10:59:17Z</dcterms:modified>
</cp:coreProperties>
</file>