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 codeName="{899C9086-67A9-5B14-2C2D-5A8001700F7D}"/>
  <workbookPr codeName="ThisWorkbook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xr:revisionPtr revIDLastSave="0" documentId="13_ncr:1_{CE3BC160-097F-418A-80FE-49765559C84B}" xr6:coauthVersionLast="47" xr6:coauthVersionMax="47" xr10:uidLastSave="{00000000-0000-0000-0000-000000000000}"/>
  <bookViews>
    <workbookView xWindow="-108" yWindow="-108" windowWidth="23256" windowHeight="12456" activeTab="2" xr2:uid="{00000000-000D-0000-FFFF-FFFF00000000}"/>
  </bookViews>
  <sheets>
    <sheet name="Palettisation" sheetId="4" r:id="rId1"/>
    <sheet name="Blad1" sheetId="6" r:id="rId2"/>
    <sheet name="Blad2" sheetId="7" r:id="rId3"/>
    <sheet name="BD UM_UC" sheetId="5" r:id="rId4"/>
  </sheets>
  <definedNames>
    <definedName name="_xlpm.posmax" hidden="1" xlm="1">#NAME?</definedName>
    <definedName name="_xlpm.posmaxnon" hidden="1" xlm="1">#NAME?</definedName>
    <definedName name="aantallen">Blad1!$I$11:$J$11</definedName>
    <definedName name="B1_">Blad1!$I$6</definedName>
    <definedName name="B2_">Blad1!$J$6</definedName>
    <definedName name="B3_">Blad1!$K$6</definedName>
    <definedName name="Dimensions">Blad1!$C$2:$E$3</definedName>
    <definedName name="ListeCartons">TableauCarton[description]</definedName>
    <definedName name="ListePalettes">TableauPalette[description]</definedName>
    <definedName name="MaPalette">Blad2!$G$2</definedName>
    <definedName name="P1_">Blad1!$H$7</definedName>
    <definedName name="P2_">Blad1!$H$8</definedName>
    <definedName name="P3_">Blad1!$H$9</definedName>
    <definedName name="Ref">#REF!</definedName>
    <definedName name="Resultat">Blad1!$K$12</definedName>
    <definedName name="solver_adj" localSheetId="1" hidden="1">Blad1!$I$11:$J$11</definedName>
    <definedName name="solver_adj" localSheetId="2" hidden="1">Blad2!$L$4:$L$39</definedName>
    <definedName name="solver_adj" localSheetId="0" hidden="1">Palettisation!$U$4:$V$4</definedName>
    <definedName name="solver_cvg" localSheetId="1" hidden="1">0.0001</definedName>
    <definedName name="solver_cvg" localSheetId="2" hidden="1">0.0001</definedName>
    <definedName name="solver_cvg" localSheetId="0" hidden="1">0.0001</definedName>
    <definedName name="solver_drv" localSheetId="1" hidden="1">1</definedName>
    <definedName name="solver_drv" localSheetId="2" hidden="1">2</definedName>
    <definedName name="solver_drv" localSheetId="0" hidden="1">1</definedName>
    <definedName name="solver_eng" localSheetId="1" hidden="1">2</definedName>
    <definedName name="solver_eng" localSheetId="2" hidden="1">2</definedName>
    <definedName name="solver_eng" localSheetId="0" hidden="1">2</definedName>
    <definedName name="solver_est" localSheetId="1" hidden="1">1</definedName>
    <definedName name="solver_est" localSheetId="2" hidden="1">1</definedName>
    <definedName name="solver_est" localSheetId="0" hidden="1">1</definedName>
    <definedName name="solver_itr" localSheetId="1" hidden="1">2147483647</definedName>
    <definedName name="solver_itr" localSheetId="2" hidden="1">2147483647</definedName>
    <definedName name="solver_itr" localSheetId="0" hidden="1">2147483647</definedName>
    <definedName name="solver_lhs1" localSheetId="1" hidden="1">Blad1!$L$7</definedName>
    <definedName name="solver_lhs1" localSheetId="2" hidden="1">Blad2!$L$2</definedName>
    <definedName name="solver_lhs1" localSheetId="0" hidden="1">Palettisation!$U$4</definedName>
    <definedName name="solver_lhs2" localSheetId="1" hidden="1">Blad1!$I$11:$J$11</definedName>
    <definedName name="solver_lhs2" localSheetId="2" hidden="1">Blad2!$L$4:$L$39</definedName>
    <definedName name="solver_lhs2" localSheetId="0" hidden="1">Palettisation!$V$4</definedName>
    <definedName name="solver_lhs3" localSheetId="1" hidden="1">Blad1!$I$11:$J$11</definedName>
    <definedName name="solver_lhs3" localSheetId="2" hidden="1">Blad2!$L$4:$L$39</definedName>
    <definedName name="solver_lhs3" localSheetId="0" hidden="1">Palettisation!$U$4</definedName>
    <definedName name="solver_lhs4" localSheetId="0" hidden="1">Palettisation!$Z$4</definedName>
    <definedName name="solver_lhs5" localSheetId="0" hidden="1">Palettisation!$V$3</definedName>
    <definedName name="solver_lhs6" localSheetId="0" hidden="1">Palettisation!$V$3</definedName>
    <definedName name="solver_lhs7" localSheetId="0" hidden="1">Palettisation!$V$3</definedName>
    <definedName name="solver_lhs8" localSheetId="0" hidden="1">Palettisation!$V$3</definedName>
    <definedName name="solver_mip" localSheetId="1" hidden="1">2147483647</definedName>
    <definedName name="solver_mip" localSheetId="2" hidden="1">2147483647</definedName>
    <definedName name="solver_mip" localSheetId="0" hidden="1">2147483647</definedName>
    <definedName name="solver_mni" localSheetId="1" hidden="1">30</definedName>
    <definedName name="solver_mni" localSheetId="2" hidden="1">30</definedName>
    <definedName name="solver_mni" localSheetId="0" hidden="1">30</definedName>
    <definedName name="solver_mrt" localSheetId="1" hidden="1">0.075</definedName>
    <definedName name="solver_mrt" localSheetId="2" hidden="1">0.075</definedName>
    <definedName name="solver_mrt" localSheetId="0" hidden="1">0.075</definedName>
    <definedName name="solver_msl" localSheetId="1" hidden="1">2</definedName>
    <definedName name="solver_msl" localSheetId="2" hidden="1">2</definedName>
    <definedName name="solver_msl" localSheetId="0" hidden="1">2</definedName>
    <definedName name="solver_neg" localSheetId="1" hidden="1">1</definedName>
    <definedName name="solver_neg" localSheetId="2" hidden="1">1</definedName>
    <definedName name="solver_neg" localSheetId="0" hidden="1">1</definedName>
    <definedName name="solver_nod" localSheetId="1" hidden="1">2147483647</definedName>
    <definedName name="solver_nod" localSheetId="2" hidden="1">2147483647</definedName>
    <definedName name="solver_nod" localSheetId="0" hidden="1">2147483647</definedName>
    <definedName name="solver_num" localSheetId="1" hidden="1">3</definedName>
    <definedName name="solver_num" localSheetId="2" hidden="1">3</definedName>
    <definedName name="solver_num" localSheetId="0" hidden="1">3</definedName>
    <definedName name="solver_nwt" localSheetId="1" hidden="1">1</definedName>
    <definedName name="solver_nwt" localSheetId="2" hidden="1">1</definedName>
    <definedName name="solver_nwt" localSheetId="0" hidden="1">1</definedName>
    <definedName name="solver_opt" localSheetId="1" hidden="1">Blad1!$K$12</definedName>
    <definedName name="solver_opt" localSheetId="2" hidden="1">Blad2!$L$1</definedName>
    <definedName name="solver_opt" localSheetId="0" hidden="1">Palettisation!$AA$4</definedName>
    <definedName name="solver_pre" localSheetId="1" hidden="1">0.000001</definedName>
    <definedName name="solver_pre" localSheetId="2" hidden="1">0.000001</definedName>
    <definedName name="solver_pre" localSheetId="0" hidden="1">0.000001</definedName>
    <definedName name="solver_rbv" localSheetId="1" hidden="1">1</definedName>
    <definedName name="solver_rbv" localSheetId="2" hidden="1">2</definedName>
    <definedName name="solver_rbv" localSheetId="0" hidden="1">1</definedName>
    <definedName name="solver_rel1" localSheetId="1" hidden="1">1</definedName>
    <definedName name="solver_rel1" localSheetId="2" hidden="1">1</definedName>
    <definedName name="solver_rel1" localSheetId="0" hidden="1">4</definedName>
    <definedName name="solver_rel2" localSheetId="1" hidden="1">1</definedName>
    <definedName name="solver_rel2" localSheetId="2" hidden="1">1</definedName>
    <definedName name="solver_rel2" localSheetId="0" hidden="1">4</definedName>
    <definedName name="solver_rel3" localSheetId="1" hidden="1">4</definedName>
    <definedName name="solver_rel3" localSheetId="2" hidden="1">4</definedName>
    <definedName name="solver_rel3" localSheetId="0" hidden="1">3</definedName>
    <definedName name="solver_rel4" localSheetId="0" hidden="1">1</definedName>
    <definedName name="solver_rel5" localSheetId="0" hidden="1">4</definedName>
    <definedName name="solver_rel6" localSheetId="0" hidden="1">4</definedName>
    <definedName name="solver_rel7" localSheetId="0" hidden="1">4</definedName>
    <definedName name="solver_rel8" localSheetId="0" hidden="1">4</definedName>
    <definedName name="solver_rhs1" localSheetId="1" hidden="1">P1_</definedName>
    <definedName name="solver_rhs1" localSheetId="2" hidden="1">Blad2!$I$2</definedName>
    <definedName name="solver_rhs1" localSheetId="0" hidden="1">"geheeltallig"</definedName>
    <definedName name="solver_rhs2" localSheetId="1" hidden="1">Blad1!$I$7:$J$7</definedName>
    <definedName name="solver_rhs2" localSheetId="2" hidden="1">Blad2!$K$4:$K$39</definedName>
    <definedName name="solver_rhs2" localSheetId="0" hidden="1">"geheeltallig"</definedName>
    <definedName name="solver_rhs3" localSheetId="1" hidden="1">"geheeltallig"</definedName>
    <definedName name="solver_rhs3" localSheetId="2" hidden="1">"geheeltallig"</definedName>
    <definedName name="solver_rhs3" localSheetId="0" hidden="1">Palettisation!$V$4</definedName>
    <definedName name="solver_rhs4" localSheetId="0" hidden="1">1</definedName>
    <definedName name="solver_rhs5" localSheetId="0" hidden="1">"entier"</definedName>
    <definedName name="solver_rhs6" localSheetId="0" hidden="1">"entier"</definedName>
    <definedName name="solver_rhs7" localSheetId="0" hidden="1">"entier"</definedName>
    <definedName name="solver_rhs8" localSheetId="0" hidden="1">"entier"</definedName>
    <definedName name="solver_rlx" localSheetId="1" hidden="1">2</definedName>
    <definedName name="solver_rlx" localSheetId="2" hidden="1">2</definedName>
    <definedName name="solver_rlx" localSheetId="0" hidden="1">2</definedName>
    <definedName name="solver_rsd" localSheetId="1" hidden="1">0</definedName>
    <definedName name="solver_rsd" localSheetId="2" hidden="1">0</definedName>
    <definedName name="solver_rsd" localSheetId="0" hidden="1">0</definedName>
    <definedName name="solver_rxc1" localSheetId="1" hidden="1">1</definedName>
    <definedName name="solver_rxc2" localSheetId="1" hidden="1">1</definedName>
    <definedName name="solver_scl" localSheetId="1" hidden="1">1</definedName>
    <definedName name="solver_scl" localSheetId="2" hidden="1">2</definedName>
    <definedName name="solver_scl" localSheetId="0" hidden="1">1</definedName>
    <definedName name="solver_sho" localSheetId="1" hidden="1">2</definedName>
    <definedName name="solver_sho" localSheetId="2" hidden="1">2</definedName>
    <definedName name="solver_sho" localSheetId="0" hidden="1">2</definedName>
    <definedName name="solver_ssz" localSheetId="1" hidden="1">100</definedName>
    <definedName name="solver_ssz" localSheetId="2" hidden="1">100</definedName>
    <definedName name="solver_ssz" localSheetId="0" hidden="1">100</definedName>
    <definedName name="solver_tim" localSheetId="1" hidden="1">2147483647</definedName>
    <definedName name="solver_tim" localSheetId="2" hidden="1">2147483647</definedName>
    <definedName name="solver_tim" localSheetId="0" hidden="1">2147483647</definedName>
    <definedName name="solver_tol" localSheetId="1" hidden="1">0.01</definedName>
    <definedName name="solver_tol" localSheetId="2" hidden="1">0.01</definedName>
    <definedName name="solver_tol" localSheetId="0" hidden="1">0.01</definedName>
    <definedName name="solver_typ" localSheetId="1" hidden="1">1</definedName>
    <definedName name="solver_typ" localSheetId="2" hidden="1">1</definedName>
    <definedName name="solver_typ" localSheetId="0" hidden="1">1</definedName>
    <definedName name="solver_val" localSheetId="1" hidden="1">0</definedName>
    <definedName name="solver_val" localSheetId="2" hidden="1">0</definedName>
    <definedName name="solver_val" localSheetId="0" hidden="1">0</definedName>
    <definedName name="solver_ver" localSheetId="1" hidden="1">3</definedName>
    <definedName name="solver_ver" localSheetId="2" hidden="1">3</definedName>
    <definedName name="solver_ver" localSheetId="0" hidden="1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4" i="7" l="1"/>
  <c r="N5" i="7"/>
  <c r="N6" i="7"/>
  <c r="N7" i="7"/>
  <c r="N8" i="7"/>
  <c r="N9" i="7"/>
  <c r="N10" i="7"/>
  <c r="N11" i="7"/>
  <c r="N12" i="7"/>
  <c r="N13" i="7"/>
  <c r="N14" i="7"/>
  <c r="N15" i="7"/>
  <c r="N16" i="7"/>
  <c r="N17" i="7"/>
  <c r="N18" i="7"/>
  <c r="N19" i="7"/>
  <c r="N20" i="7"/>
  <c r="N21" i="7"/>
  <c r="N22" i="7"/>
  <c r="N23" i="7"/>
  <c r="N24" i="7"/>
  <c r="N25" i="7"/>
  <c r="N26" i="7"/>
  <c r="N27" i="7"/>
  <c r="N28" i="7"/>
  <c r="N29" i="7"/>
  <c r="N30" i="7"/>
  <c r="N31" i="7"/>
  <c r="N32" i="7"/>
  <c r="N33" i="7"/>
  <c r="N34" i="7"/>
  <c r="N35" i="7"/>
  <c r="N36" i="7"/>
  <c r="N37" i="7"/>
  <c r="N38" i="7"/>
  <c r="N39" i="7"/>
  <c r="P4" i="7"/>
  <c r="P5" i="7"/>
  <c r="P6" i="7"/>
  <c r="P7" i="7"/>
  <c r="P8" i="7"/>
  <c r="P9" i="7"/>
  <c r="P10" i="7"/>
  <c r="P11" i="7"/>
  <c r="P12" i="7"/>
  <c r="P13" i="7"/>
  <c r="P14" i="7"/>
  <c r="P15" i="7"/>
  <c r="P16" i="7"/>
  <c r="P17" i="7"/>
  <c r="P18" i="7"/>
  <c r="P19" i="7"/>
  <c r="P20" i="7"/>
  <c r="P21" i="7"/>
  <c r="P22" i="7"/>
  <c r="P23" i="7"/>
  <c r="P24" i="7"/>
  <c r="P25" i="7"/>
  <c r="P26" i="7"/>
  <c r="P27" i="7"/>
  <c r="P28" i="7"/>
  <c r="P29" i="7"/>
  <c r="P30" i="7"/>
  <c r="P31" i="7"/>
  <c r="P32" i="7"/>
  <c r="P33" i="7"/>
  <c r="P34" i="7"/>
  <c r="P35" i="7"/>
  <c r="P36" i="7"/>
  <c r="P37" i="7"/>
  <c r="P38" i="7"/>
  <c r="P39" i="7"/>
  <c r="E2" i="6"/>
  <c r="C3" i="6"/>
  <c r="D3" i="6"/>
  <c r="E3" i="6"/>
  <c r="B3" i="6"/>
  <c r="D2" i="6"/>
  <c r="C2" i="6"/>
  <c r="B2" i="6"/>
  <c r="O39" i="7" a="1"/>
  <c r="O39" i="7" s="1"/>
  <c r="Q39" i="7" s="1"/>
  <c r="R39" i="7" l="1"/>
  <c r="L7" i="6"/>
  <c r="I15" i="6"/>
  <c r="L2" i="7"/>
  <c r="L1" i="7"/>
  <c r="M2" i="7"/>
  <c r="O4" i="7" a="1"/>
  <c r="O4" i="7" s="1"/>
  <c r="O5" i="7" a="1"/>
  <c r="O5" i="7" s="1"/>
  <c r="O6" i="7" a="1"/>
  <c r="O6" i="7" s="1"/>
  <c r="O7" i="7" a="1"/>
  <c r="O7" i="7" s="1"/>
  <c r="O8" i="7" a="1"/>
  <c r="O8" i="7" s="1"/>
  <c r="O9" i="7" a="1"/>
  <c r="O9" i="7" s="1"/>
  <c r="Q9" i="7" s="1"/>
  <c r="O10" i="7" a="1"/>
  <c r="O10" i="7" s="1"/>
  <c r="O11" i="7" a="1"/>
  <c r="O11" i="7" s="1"/>
  <c r="O12" i="7" a="1"/>
  <c r="O12" i="7" s="1"/>
  <c r="O13" i="7" a="1"/>
  <c r="O13" i="7" s="1"/>
  <c r="O14" i="7" a="1"/>
  <c r="O14" i="7" s="1"/>
  <c r="O15" i="7" a="1"/>
  <c r="O15" i="7" s="1"/>
  <c r="Q15" i="7" s="1"/>
  <c r="O16" i="7" a="1"/>
  <c r="O16" i="7" s="1"/>
  <c r="O17" i="7" a="1"/>
  <c r="O17" i="7" s="1"/>
  <c r="O18" i="7" a="1"/>
  <c r="O18" i="7" s="1"/>
  <c r="O19" i="7" a="1"/>
  <c r="O19" i="7" s="1"/>
  <c r="O20" i="7" a="1"/>
  <c r="O20" i="7" s="1"/>
  <c r="O21" i="7" a="1"/>
  <c r="O21" i="7" s="1"/>
  <c r="Q21" i="7" s="1"/>
  <c r="O22" i="7" a="1"/>
  <c r="O22" i="7" s="1"/>
  <c r="O23" i="7" a="1"/>
  <c r="O23" i="7" s="1"/>
  <c r="O24" i="7" a="1"/>
  <c r="O24" i="7" s="1"/>
  <c r="O25" i="7" a="1"/>
  <c r="O25" i="7" s="1"/>
  <c r="O26" i="7" a="1"/>
  <c r="O26" i="7" s="1"/>
  <c r="O27" i="7" a="1"/>
  <c r="O27" i="7" s="1"/>
  <c r="Q27" i="7" s="1"/>
  <c r="O28" i="7" a="1"/>
  <c r="O28" i="7" s="1"/>
  <c r="O29" i="7" a="1"/>
  <c r="O29" i="7" s="1"/>
  <c r="O30" i="7" a="1"/>
  <c r="O30" i="7" s="1"/>
  <c r="O31" i="7" a="1"/>
  <c r="O31" i="7" s="1"/>
  <c r="O32" i="7" a="1"/>
  <c r="O32" i="7" s="1"/>
  <c r="O33" i="7" a="1"/>
  <c r="O33" i="7" s="1"/>
  <c r="Q33" i="7" s="1"/>
  <c r="O34" i="7" a="1"/>
  <c r="O34" i="7" s="1"/>
  <c r="O35" i="7" a="1"/>
  <c r="O35" i="7" s="1"/>
  <c r="O36" i="7" a="1"/>
  <c r="O36" i="7" s="1"/>
  <c r="O37" i="7" a="1"/>
  <c r="O37" i="7" s="1"/>
  <c r="O38" i="7" a="1"/>
  <c r="O38" i="7" s="1"/>
  <c r="K4" i="7"/>
  <c r="K5" i="7"/>
  <c r="K6" i="7"/>
  <c r="K7" i="7"/>
  <c r="K8" i="7"/>
  <c r="K9" i="7"/>
  <c r="K10" i="7"/>
  <c r="K11" i="7"/>
  <c r="K12" i="7"/>
  <c r="K13" i="7"/>
  <c r="K14" i="7"/>
  <c r="K15" i="7"/>
  <c r="K16" i="7"/>
  <c r="K17" i="7"/>
  <c r="K18" i="7"/>
  <c r="K19" i="7"/>
  <c r="K20" i="7"/>
  <c r="K21" i="7"/>
  <c r="K22" i="7"/>
  <c r="K23" i="7"/>
  <c r="K24" i="7"/>
  <c r="K25" i="7"/>
  <c r="K26" i="7"/>
  <c r="K27" i="7"/>
  <c r="K28" i="7"/>
  <c r="K29" i="7"/>
  <c r="K30" i="7"/>
  <c r="K31" i="7"/>
  <c r="K32" i="7"/>
  <c r="K33" i="7"/>
  <c r="K34" i="7"/>
  <c r="K35" i="7"/>
  <c r="K36" i="7"/>
  <c r="K37" i="7"/>
  <c r="K38" i="7"/>
  <c r="K39" i="7"/>
  <c r="J9" i="6"/>
  <c r="I9" i="6"/>
  <c r="J8" i="6"/>
  <c r="J12" i="6" s="1"/>
  <c r="I8" i="6"/>
  <c r="I12" i="6" s="1"/>
  <c r="J7" i="6"/>
  <c r="I7" i="6"/>
  <c r="K6" i="4"/>
  <c r="F6" i="4"/>
  <c r="Q38" i="7" l="1"/>
  <c r="R38" i="7" s="1"/>
  <c r="S38" i="7" s="1"/>
  <c r="Q37" i="7"/>
  <c r="R37" i="7" s="1"/>
  <c r="S37" i="7" s="1"/>
  <c r="Q36" i="7"/>
  <c r="R36" i="7" s="1"/>
  <c r="S36" i="7" s="1"/>
  <c r="Q35" i="7"/>
  <c r="R35" i="7" s="1"/>
  <c r="S35" i="7" s="1"/>
  <c r="Q34" i="7"/>
  <c r="R34" i="7" s="1"/>
  <c r="S34" i="7" s="1"/>
  <c r="Q32" i="7"/>
  <c r="R32" i="7" s="1"/>
  <c r="S32" i="7" s="1"/>
  <c r="Q31" i="7"/>
  <c r="R31" i="7" s="1"/>
  <c r="S31" i="7" s="1"/>
  <c r="Q30" i="7"/>
  <c r="R30" i="7" s="1"/>
  <c r="S30" i="7" s="1"/>
  <c r="Q29" i="7"/>
  <c r="R29" i="7" s="1"/>
  <c r="S29" i="7" s="1"/>
  <c r="Q28" i="7"/>
  <c r="R28" i="7" s="1"/>
  <c r="S28" i="7" s="1"/>
  <c r="Q26" i="7"/>
  <c r="R26" i="7" s="1"/>
  <c r="S26" i="7" s="1"/>
  <c r="Q25" i="7"/>
  <c r="R25" i="7" s="1"/>
  <c r="S25" i="7" s="1"/>
  <c r="Q24" i="7"/>
  <c r="R24" i="7" s="1"/>
  <c r="S24" i="7" s="1"/>
  <c r="Q23" i="7"/>
  <c r="R23" i="7" s="1"/>
  <c r="S23" i="7" s="1"/>
  <c r="Q22" i="7"/>
  <c r="R22" i="7" s="1"/>
  <c r="S22" i="7" s="1"/>
  <c r="Q20" i="7"/>
  <c r="R20" i="7" s="1"/>
  <c r="S20" i="7" s="1"/>
  <c r="Q19" i="7"/>
  <c r="R19" i="7" s="1"/>
  <c r="S19" i="7" s="1"/>
  <c r="Q18" i="7"/>
  <c r="R18" i="7" s="1"/>
  <c r="S18" i="7" s="1"/>
  <c r="Q17" i="7"/>
  <c r="R17" i="7" s="1"/>
  <c r="S17" i="7" s="1"/>
  <c r="Q16" i="7"/>
  <c r="R16" i="7" s="1"/>
  <c r="S16" i="7" s="1"/>
  <c r="Q14" i="7"/>
  <c r="R14" i="7" s="1"/>
  <c r="S14" i="7" s="1"/>
  <c r="Q13" i="7"/>
  <c r="R13" i="7" s="1"/>
  <c r="S13" i="7" s="1"/>
  <c r="Q12" i="7"/>
  <c r="R12" i="7" s="1"/>
  <c r="S12" i="7" s="1"/>
  <c r="Q11" i="7"/>
  <c r="R11" i="7" s="1"/>
  <c r="S11" i="7" s="1"/>
  <c r="Q10" i="7"/>
  <c r="R10" i="7" s="1"/>
  <c r="S10" i="7" s="1"/>
  <c r="Q8" i="7"/>
  <c r="R8" i="7" s="1"/>
  <c r="S8" i="7" s="1"/>
  <c r="Q7" i="7"/>
  <c r="R7" i="7" s="1"/>
  <c r="S7" i="7" s="1"/>
  <c r="Q6" i="7"/>
  <c r="R6" i="7" s="1"/>
  <c r="S6" i="7" s="1"/>
  <c r="Q5" i="7"/>
  <c r="R5" i="7" s="1"/>
  <c r="S5" i="7" s="1"/>
  <c r="Q4" i="7"/>
  <c r="R4" i="7" s="1"/>
  <c r="S4" i="7" s="1"/>
  <c r="S39" i="7"/>
  <c r="R33" i="7"/>
  <c r="S33" i="7" s="1"/>
  <c r="R21" i="7"/>
  <c r="S21" i="7" s="1"/>
  <c r="R9" i="7"/>
  <c r="S9" i="7" s="1"/>
  <c r="R27" i="7"/>
  <c r="S27" i="7" s="1"/>
  <c r="R15" i="7"/>
  <c r="S15" i="7" s="1"/>
  <c r="I2" i="7"/>
  <c r="K12" i="6"/>
  <c r="J15" i="6" s="1"/>
  <c r="G6" i="4"/>
  <c r="H6" i="4"/>
  <c r="K13" i="6" l="1"/>
  <c r="K15" i="6"/>
  <c r="W3" i="4"/>
  <c r="W4" i="4" l="1"/>
  <c r="K23" i="5" l="1"/>
  <c r="R23" i="5"/>
  <c r="D10" i="4" l="1"/>
  <c r="K18" i="5"/>
  <c r="R18" i="5"/>
  <c r="B5" i="5" l="1"/>
  <c r="K11" i="5" l="1"/>
  <c r="R11" i="5"/>
  <c r="K12" i="5"/>
  <c r="R12" i="5"/>
  <c r="K22" i="5" l="1"/>
  <c r="R22" i="5"/>
  <c r="K21" i="5"/>
  <c r="R21" i="5"/>
  <c r="K20" i="5"/>
  <c r="R20" i="5"/>
  <c r="K14" i="5"/>
  <c r="R14" i="5"/>
  <c r="K13" i="5"/>
  <c r="R13" i="5"/>
  <c r="K19" i="5" l="1"/>
  <c r="R19" i="5"/>
  <c r="K17" i="5"/>
  <c r="R17" i="5"/>
  <c r="D9" i="4" l="1"/>
  <c r="D8" i="4"/>
  <c r="Z4" i="4" s="1"/>
  <c r="D7" i="4"/>
  <c r="Z3" i="4" s="1"/>
  <c r="D13" i="4" l="1"/>
  <c r="K5" i="5"/>
  <c r="K6" i="5"/>
  <c r="K7" i="5"/>
  <c r="K8" i="5"/>
  <c r="K9" i="5"/>
  <c r="K10" i="5"/>
  <c r="K15" i="5"/>
  <c r="K16" i="5"/>
  <c r="K4" i="5"/>
  <c r="R16" i="5" l="1"/>
  <c r="R15" i="5"/>
  <c r="F7" i="4" l="1"/>
  <c r="R5" i="5"/>
  <c r="R6" i="5"/>
  <c r="R7" i="5"/>
  <c r="R8" i="5"/>
  <c r="R9" i="5"/>
  <c r="R10" i="5"/>
  <c r="R4" i="5"/>
  <c r="F8" i="4" l="1"/>
  <c r="N4" i="4" s="1"/>
  <c r="G7" i="4"/>
  <c r="G8" i="4"/>
  <c r="H8" i="4"/>
  <c r="H7" i="4"/>
  <c r="B6" i="5"/>
  <c r="B7" i="5"/>
  <c r="B8" i="5"/>
  <c r="B4" i="5"/>
  <c r="AA4" i="4" l="1"/>
  <c r="AA3" i="4"/>
  <c r="N3" i="4"/>
  <c r="M7" i="4"/>
  <c r="M9" i="4"/>
  <c r="N9" i="4"/>
  <c r="N6" i="4"/>
  <c r="N8" i="4"/>
  <c r="M8" i="4"/>
  <c r="M6" i="4"/>
  <c r="N7" i="4"/>
  <c r="M4" i="4"/>
  <c r="M3" i="4"/>
  <c r="F9" i="4" l="1"/>
  <c r="H9" i="4"/>
  <c r="X3" i="4" s="1"/>
  <c r="Y3" i="4" s="1"/>
  <c r="G9" i="4"/>
  <c r="X4" i="4" l="1"/>
  <c r="Y4" i="4" s="1"/>
  <c r="K9" i="4"/>
  <c r="K8" i="4"/>
  <c r="L6" i="4"/>
  <c r="P6" i="4" s="1"/>
  <c r="O6" i="4" s="1"/>
  <c r="K7" i="4"/>
  <c r="L7" i="4" s="1"/>
  <c r="P7" i="4" s="1"/>
  <c r="O7" i="4" s="1"/>
  <c r="T7" i="4"/>
  <c r="T6" i="4"/>
  <c r="T4" i="4"/>
  <c r="T3" i="4"/>
  <c r="T8" i="4"/>
  <c r="T9" i="4"/>
  <c r="K4" i="4"/>
  <c r="K3" i="4"/>
  <c r="L4" i="4" l="1"/>
  <c r="P4" i="4" s="1"/>
  <c r="L8" i="4"/>
  <c r="P8" i="4" s="1"/>
  <c r="O8" i="4" s="1"/>
  <c r="L9" i="4"/>
  <c r="L3" i="4"/>
  <c r="P3" i="4" s="1"/>
  <c r="O3" i="4" s="1"/>
  <c r="Q3" i="4" s="1"/>
  <c r="P9" i="4" l="1"/>
  <c r="Q7" i="4"/>
  <c r="R7" i="4"/>
  <c r="S7" i="4" s="1"/>
  <c r="R4" i="4"/>
  <c r="S4" i="4" s="1"/>
  <c r="R9" i="4" l="1"/>
  <c r="S9" i="4" s="1"/>
  <c r="O9" i="4"/>
  <c r="Q9" i="4" s="1"/>
  <c r="Q6" i="4"/>
  <c r="Q8" i="4"/>
  <c r="R8" i="4"/>
  <c r="S8" i="4" s="1"/>
  <c r="R6" i="4"/>
  <c r="S6" i="4" s="1"/>
  <c r="O4" i="4"/>
  <c r="Q4" i="4" s="1"/>
  <c r="R3" i="4"/>
  <c r="S3" i="4" s="1"/>
  <c r="M22" i="4" l="1"/>
  <c r="M21" i="4"/>
  <c r="H13" i="4"/>
  <c r="H17" i="4" s="1"/>
  <c r="H16" i="4"/>
  <c r="H19" i="4" l="1"/>
  <c r="H14" i="4"/>
  <c r="H15" i="4" s="1"/>
  <c r="H18" i="4"/>
  <c r="H23" i="4" l="1"/>
  <c r="J15" i="4"/>
  <c r="H21" i="4" s="1"/>
  <c r="H26" i="4" s="1"/>
  <c r="I16" i="4"/>
  <c r="J16" i="4"/>
  <c r="I15" i="4"/>
  <c r="I23" i="4"/>
  <c r="I22" i="4"/>
  <c r="J23" i="4" l="1"/>
  <c r="I14" i="4"/>
  <c r="J14" i="4"/>
  <c r="H24" i="4" l="1"/>
  <c r="H30" i="4" l="1"/>
  <c r="J21" i="4"/>
  <c r="I29" i="4"/>
  <c r="H22" i="4"/>
  <c r="J22" i="4"/>
  <c r="H25" i="4" l="1"/>
  <c r="I30" i="4"/>
  <c r="H28" i="4" l="1"/>
  <c r="J30" i="4"/>
  <c r="H31" i="4" l="1"/>
  <c r="H32" i="4" s="1"/>
  <c r="H33" i="4"/>
  <c r="H29" i="4"/>
  <c r="J29" i="4"/>
  <c r="J28" i="4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<sst xmlns="http://schemas.openxmlformats.org/spreadsheetml/2006/main" count="172" uniqueCount="108">
  <si>
    <t>Palette</t>
  </si>
  <si>
    <t>Palettisation</t>
  </si>
  <si>
    <t>oui</t>
  </si>
  <si>
    <t>non</t>
  </si>
  <si>
    <t>Longueur (L)</t>
  </si>
  <si>
    <t>largeur (l)</t>
  </si>
  <si>
    <t>Hauteur (H)</t>
  </si>
  <si>
    <t>Longueur (LP)</t>
  </si>
  <si>
    <t>Largeur (lP)</t>
  </si>
  <si>
    <t>largeur</t>
  </si>
  <si>
    <t>Hauteur</t>
  </si>
  <si>
    <t>poids</t>
  </si>
  <si>
    <t>charge totale</t>
  </si>
  <si>
    <t>Types de palettes</t>
  </si>
  <si>
    <t>Types de carton / boites</t>
  </si>
  <si>
    <t>C40</t>
  </si>
  <si>
    <t>taux de remplissage:</t>
  </si>
  <si>
    <t>dépassement charge:</t>
  </si>
  <si>
    <t>nbre de lits:</t>
  </si>
  <si>
    <t>Nbre cartons avec respect charge:</t>
  </si>
  <si>
    <t>Nbre cartons:</t>
  </si>
  <si>
    <t>A16</t>
  </si>
  <si>
    <t>A12</t>
  </si>
  <si>
    <t>volume (dm3)</t>
  </si>
  <si>
    <t>Nbre catons avec respect charge &amp; lits entiers:</t>
  </si>
  <si>
    <t>hauteur palette:</t>
  </si>
  <si>
    <t>C11</t>
  </si>
  <si>
    <t>C13</t>
  </si>
  <si>
    <t>qté pc par carton:</t>
  </si>
  <si>
    <t>poids palette &amp; qté pièces:</t>
  </si>
  <si>
    <t>Cartons
/lit:</t>
  </si>
  <si>
    <t>Cartons
/palette:</t>
  </si>
  <si>
    <t>C14</t>
  </si>
  <si>
    <t>poids (kg)</t>
  </si>
  <si>
    <t>Longueur (mm)</t>
  </si>
  <si>
    <t>C16</t>
  </si>
  <si>
    <t>poids brut carton (kg):</t>
  </si>
  <si>
    <t>C9</t>
  </si>
  <si>
    <t>C10</t>
  </si>
  <si>
    <t>BITO 3G</t>
  </si>
  <si>
    <t>BITO 4G</t>
  </si>
  <si>
    <t>BITO 8G</t>
  </si>
  <si>
    <t>Rangement à plat :</t>
  </si>
  <si>
    <t>FST K4314</t>
  </si>
  <si>
    <t>FST K4318/2</t>
  </si>
  <si>
    <t>FST K4318</t>
  </si>
  <si>
    <t>FST K4328</t>
  </si>
  <si>
    <t>Hauteur max palette complète (mm):</t>
  </si>
  <si>
    <t>cartons &amp; pièces par lit:</t>
  </si>
  <si>
    <t>EPAL1 F</t>
  </si>
  <si>
    <t>EPAL2</t>
  </si>
  <si>
    <t>EPAL3</t>
  </si>
  <si>
    <t>EPAL6</t>
  </si>
  <si>
    <t>EPAL1 B&amp;H</t>
  </si>
  <si>
    <t>EPAL1 B&amp;H -Europalette 1200x800x144</t>
  </si>
  <si>
    <t>charge utile</t>
  </si>
  <si>
    <t>C15</t>
  </si>
  <si>
    <t>charge max</t>
  </si>
  <si>
    <t>a</t>
  </si>
  <si>
    <t>b</t>
  </si>
  <si>
    <t>test</t>
  </si>
  <si>
    <t>a et b sont des entiers</t>
  </si>
  <si>
    <t>1/2P sur Palette (-144mm):</t>
  </si>
  <si>
    <t>Rangement:</t>
  </si>
  <si>
    <t>En travers pr compléter lit</t>
  </si>
  <si>
    <t>L x l
%</t>
  </si>
  <si>
    <t>L ou l
%</t>
  </si>
  <si>
    <t>H
%</t>
  </si>
  <si>
    <t>L, l et L x l sont &lt;=1</t>
  </si>
  <si>
    <t>L*a+l*b est le plus proche possible ou = LP (ou lP selon ligne considérée)</t>
  </si>
  <si>
    <t>Données d'entrées:</t>
  </si>
  <si>
    <t>Hauteur pal</t>
  </si>
  <si>
    <t>Hauteur utile</t>
  </si>
  <si>
    <t>TSS1</t>
  </si>
  <si>
    <t>TSS2</t>
  </si>
  <si>
    <t>Rangement sur le coté:</t>
  </si>
  <si>
    <t>Possibilité de ranger sur le coté:</t>
  </si>
  <si>
    <t>de préférence a&gt;=b</t>
  </si>
  <si>
    <t>Carton, boîte</t>
  </si>
  <si>
    <t>test -97x72x70</t>
  </si>
  <si>
    <r>
      <rPr>
        <sz val="11"/>
        <color theme="1"/>
        <rFont val="Arial"/>
        <family val="2"/>
      </rPr>
      <t>Particulièrement adapté pour les petites boites</t>
    </r>
    <r>
      <rPr>
        <b/>
        <sz val="11"/>
        <color theme="1"/>
        <rFont val="Arial"/>
        <family val="2"/>
      </rPr>
      <t xml:space="preserve">
Recherche d'une solution optimale par </t>
    </r>
    <r>
      <rPr>
        <b/>
        <u/>
        <sz val="11"/>
        <color theme="1"/>
        <rFont val="Arial"/>
        <family val="2"/>
      </rPr>
      <t>plusieurs</t>
    </r>
    <r>
      <rPr>
        <b/>
        <sz val="11"/>
        <color theme="1"/>
        <rFont val="Arial"/>
        <family val="2"/>
      </rPr>
      <t xml:space="preserve"> boîtes en travers; avec le complément </t>
    </r>
    <r>
      <rPr>
        <b/>
        <sz val="11"/>
        <color rgb="FF0000FF"/>
        <rFont val="Arial"/>
        <family val="2"/>
      </rPr>
      <t>SOLVER</t>
    </r>
  </si>
  <si>
    <t>total</t>
  </si>
  <si>
    <t>P1</t>
  </si>
  <si>
    <t>P2</t>
  </si>
  <si>
    <t>P3</t>
  </si>
  <si>
    <t>B1</t>
  </si>
  <si>
    <t>B2</t>
  </si>
  <si>
    <t>B3</t>
  </si>
  <si>
    <t>palette</t>
  </si>
  <si>
    <t>boites</t>
  </si>
  <si>
    <t>hauteut P</t>
  </si>
  <si>
    <t>Hauteur B</t>
  </si>
  <si>
    <t>bPalette</t>
  </si>
  <si>
    <t>Solveur</t>
  </si>
  <si>
    <t>Nombre</t>
  </si>
  <si>
    <t>Abrev</t>
  </si>
  <si>
    <t>description</t>
  </si>
  <si>
    <t>m3 palette</t>
  </si>
  <si>
    <t>m3 boîtes</t>
  </si>
  <si>
    <t>rendement</t>
  </si>
  <si>
    <t>rang</t>
  </si>
  <si>
    <t>pourc surface</t>
  </si>
  <si>
    <t>1200x800   x1056</t>
  </si>
  <si>
    <t>1200x1056   x800</t>
  </si>
  <si>
    <t>800x1200   x1056</t>
  </si>
  <si>
    <t>800x1056   x1200</t>
  </si>
  <si>
    <t>1056x1200   x800</t>
  </si>
  <si>
    <t>1056x800   x1200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</si>
</sst>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.00\ &quot;€&quot;_-;\-* #,##0.00\ &quot;€&quot;_-;_-* &quot;-&quot;??\ &quot;€&quot;_-;_-@_-"/>
    <numFmt numFmtId="165" formatCode="0.0"/>
    <numFmt numFmtId="166" formatCode="0.0%"/>
    <numFmt numFmtId="167" formatCode="0.0&quot; cart&quot;"/>
    <numFmt numFmtId="168" formatCode="#,##0&quot; kg&quot;"/>
    <numFmt numFmtId="169" formatCode="0&quot; cart&quot;"/>
    <numFmt numFmtId="170" formatCode="#,##0;#,##0;"/>
    <numFmt numFmtId="171" formatCode="0.000%"/>
  </numFmts>
  <fonts count="20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u/>
      <sz val="10"/>
      <color theme="1"/>
      <name val="Arial"/>
      <family val="2"/>
    </font>
    <font>
      <b/>
      <sz val="10"/>
      <color rgb="FF0000FF"/>
      <name val="Arial"/>
      <family val="2"/>
    </font>
    <font>
      <sz val="11"/>
      <color theme="1"/>
      <name val="Arial"/>
      <family val="2"/>
    </font>
    <font>
      <b/>
      <sz val="11"/>
      <name val="Arial"/>
      <family val="2"/>
    </font>
    <font>
      <b/>
      <u/>
      <sz val="11"/>
      <color theme="1"/>
      <name val="Arial"/>
      <family val="2"/>
    </font>
    <font>
      <sz val="11"/>
      <color theme="1" tint="0.499984740745262"/>
      <name val="Arial"/>
      <family val="2"/>
    </font>
    <font>
      <sz val="11"/>
      <name val="Arial"/>
      <family val="2"/>
    </font>
    <font>
      <b/>
      <sz val="11"/>
      <color theme="1"/>
      <name val="Arial"/>
      <family val="2"/>
    </font>
    <font>
      <b/>
      <sz val="11"/>
      <color rgb="FF0000FF"/>
      <name val="Arial"/>
      <family val="2"/>
    </font>
    <font>
      <b/>
      <sz val="11"/>
      <color rgb="FFFF0000"/>
      <name val="Arial"/>
      <family val="2"/>
    </font>
    <font>
      <u/>
      <sz val="11"/>
      <color theme="1"/>
      <name val="Arial"/>
      <family val="2"/>
    </font>
    <font>
      <b/>
      <sz val="10"/>
      <color rgb="FFFF0000"/>
      <name val="Arial"/>
      <family val="2"/>
    </font>
    <font>
      <b/>
      <sz val="14"/>
      <color rgb="FFFF0000"/>
      <name val="Arial"/>
      <family val="2"/>
    </font>
    <font>
      <b/>
      <i/>
      <sz val="10"/>
      <color theme="1"/>
      <name val="Arial"/>
      <family val="2"/>
    </font>
    <font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/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/>
      <right style="thin">
        <color theme="0" tint="-4.9989318521683403E-2"/>
      </right>
      <top/>
      <bottom/>
      <diagonal/>
    </border>
    <border>
      <left/>
      <right style="thin">
        <color theme="0" tint="-4.9989318521683403E-2"/>
      </right>
      <top/>
      <bottom style="thin">
        <color theme="0" tint="-4.9989318521683403E-2"/>
      </bottom>
      <diagonal/>
    </border>
    <border>
      <left style="thin">
        <color theme="0" tint="-4.9989318521683403E-2"/>
      </left>
      <right/>
      <top/>
      <bottom style="thin">
        <color theme="0" tint="-4.9989318521683403E-2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thin">
        <color theme="0" tint="-4.9989318521683403E-2"/>
      </right>
      <top style="thin">
        <color theme="0" tint="-4.9989318521683403E-2"/>
      </top>
      <bottom/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n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/>
      <right/>
      <top/>
      <bottom style="medium">
        <color theme="0"/>
      </bottom>
      <diagonal/>
    </border>
    <border>
      <left/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medium">
        <color theme="0"/>
      </left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/>
      <bottom style="thin">
        <color rgb="FF0000FF"/>
      </bottom>
      <diagonal/>
    </border>
    <border>
      <left style="medium">
        <color theme="0"/>
      </left>
      <right style="thin">
        <color rgb="FF0000FF"/>
      </right>
      <top/>
      <bottom/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 style="thin">
        <color rgb="FF0000FF"/>
      </right>
      <top/>
      <bottom style="medium">
        <color theme="0"/>
      </bottom>
      <diagonal/>
    </border>
    <border>
      <left style="thin">
        <color rgb="FF0000FF"/>
      </left>
      <right style="medium">
        <color theme="0"/>
      </right>
      <top/>
      <bottom/>
      <diagonal/>
    </border>
    <border>
      <left style="thin">
        <color rgb="FF0000FF"/>
      </left>
      <right style="medium">
        <color theme="0"/>
      </right>
      <top/>
      <bottom style="medium">
        <color theme="0"/>
      </bottom>
      <diagonal/>
    </border>
    <border>
      <left/>
      <right/>
      <top style="thin">
        <color rgb="FF0000FF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</borders>
  <cellStyleXfs count="6">
    <xf numFmtId="0" fontId="0" fillId="0" borderId="0"/>
    <xf numFmtId="0" fontId="2" fillId="0" borderId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9" fontId="4" fillId="0" borderId="0" applyFont="0" applyFill="0" applyBorder="0" applyAlignment="0" applyProtection="0"/>
  </cellStyleXfs>
  <cellXfs count="154">
    <xf numFmtId="0" fontId="0" fillId="0" borderId="0" xfId="0"/>
    <xf numFmtId="0" fontId="0" fillId="2" borderId="0" xfId="0" applyFill="1"/>
    <xf numFmtId="0" fontId="5" fillId="0" borderId="0" xfId="0" applyFont="1"/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3" fontId="0" fillId="0" borderId="0" xfId="0" applyNumberFormat="1" applyAlignment="1">
      <alignment horizontal="right" indent="1"/>
    </xf>
    <xf numFmtId="0" fontId="0" fillId="0" borderId="0" xfId="0" applyAlignment="1">
      <alignment horizontal="right" indent="1"/>
    </xf>
    <xf numFmtId="165" fontId="0" fillId="0" borderId="0" xfId="0" applyNumberFormat="1" applyAlignment="1">
      <alignment horizontal="right" indent="1"/>
    </xf>
    <xf numFmtId="0" fontId="1" fillId="2" borderId="0" xfId="0" applyFont="1" applyFill="1"/>
    <xf numFmtId="0" fontId="1" fillId="0" borderId="0" xfId="0" applyFont="1"/>
    <xf numFmtId="2" fontId="0" fillId="0" borderId="0" xfId="0" applyNumberFormat="1" applyAlignment="1">
      <alignment horizontal="right" indent="1"/>
    </xf>
    <xf numFmtId="0" fontId="7" fillId="0" borderId="0" xfId="0" applyFont="1"/>
    <xf numFmtId="0" fontId="7" fillId="0" borderId="0" xfId="0" applyFont="1" applyAlignment="1">
      <alignment horizontal="right"/>
    </xf>
    <xf numFmtId="0" fontId="8" fillId="3" borderId="17" xfId="0" applyFont="1" applyFill="1" applyBorder="1" applyAlignment="1">
      <alignment horizontal="right" vertical="center" indent="1"/>
    </xf>
    <xf numFmtId="0" fontId="9" fillId="0" borderId="0" xfId="0" applyFont="1"/>
    <xf numFmtId="0" fontId="11" fillId="0" borderId="0" xfId="0" applyFont="1"/>
    <xf numFmtId="3" fontId="8" fillId="3" borderId="17" xfId="0" applyNumberFormat="1" applyFont="1" applyFill="1" applyBorder="1" applyAlignment="1">
      <alignment horizontal="right" indent="1"/>
    </xf>
    <xf numFmtId="2" fontId="8" fillId="3" borderId="17" xfId="0" applyNumberFormat="1" applyFont="1" applyFill="1" applyBorder="1" applyAlignment="1">
      <alignment horizontal="right" indent="1"/>
    </xf>
    <xf numFmtId="3" fontId="10" fillId="0" borderId="6" xfId="0" applyNumberFormat="1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6" xfId="0" applyFont="1" applyBorder="1"/>
    <xf numFmtId="10" fontId="10" fillId="0" borderId="6" xfId="5" applyNumberFormat="1" applyFont="1" applyBorder="1"/>
    <xf numFmtId="10" fontId="10" fillId="0" borderId="10" xfId="5" applyNumberFormat="1" applyFont="1" applyBorder="1"/>
    <xf numFmtId="0" fontId="10" fillId="0" borderId="21" xfId="0" applyFont="1" applyBorder="1" applyAlignment="1">
      <alignment horizontal="center"/>
    </xf>
    <xf numFmtId="0" fontId="10" fillId="0" borderId="29" xfId="0" applyFont="1" applyBorder="1"/>
    <xf numFmtId="3" fontId="10" fillId="0" borderId="16" xfId="0" applyNumberFormat="1" applyFont="1" applyBorder="1" applyAlignment="1">
      <alignment horizontal="center"/>
    </xf>
    <xf numFmtId="0" fontId="10" fillId="0" borderId="27" xfId="0" applyFont="1" applyBorder="1" applyAlignment="1">
      <alignment horizontal="center"/>
    </xf>
    <xf numFmtId="166" fontId="10" fillId="0" borderId="21" xfId="5" applyNumberFormat="1" applyFont="1" applyBorder="1"/>
    <xf numFmtId="10" fontId="10" fillId="0" borderId="21" xfId="5" applyNumberFormat="1" applyFont="1" applyBorder="1"/>
    <xf numFmtId="0" fontId="10" fillId="0" borderId="28" xfId="0" applyFont="1" applyBorder="1"/>
    <xf numFmtId="3" fontId="10" fillId="0" borderId="13" xfId="0" applyNumberFormat="1" applyFont="1" applyBorder="1" applyAlignment="1">
      <alignment horizontal="center"/>
    </xf>
    <xf numFmtId="0" fontId="10" fillId="0" borderId="0" xfId="0" applyFont="1" applyAlignment="1">
      <alignment horizontal="center"/>
    </xf>
    <xf numFmtId="0" fontId="7" fillId="2" borderId="15" xfId="0" applyFont="1" applyFill="1" applyBorder="1"/>
    <xf numFmtId="0" fontId="7" fillId="2" borderId="16" xfId="0" applyFont="1" applyFill="1" applyBorder="1"/>
    <xf numFmtId="0" fontId="7" fillId="2" borderId="14" xfId="0" applyFont="1" applyFill="1" applyBorder="1"/>
    <xf numFmtId="3" fontId="7" fillId="0" borderId="6" xfId="0" applyNumberFormat="1" applyFont="1" applyBorder="1"/>
    <xf numFmtId="0" fontId="7" fillId="0" borderId="6" xfId="0" applyFont="1" applyBorder="1"/>
    <xf numFmtId="0" fontId="11" fillId="2" borderId="6" xfId="0" applyFont="1" applyFill="1" applyBorder="1"/>
    <xf numFmtId="0" fontId="7" fillId="2" borderId="6" xfId="0" applyFont="1" applyFill="1" applyBorder="1"/>
    <xf numFmtId="3" fontId="10" fillId="2" borderId="6" xfId="0" applyNumberFormat="1" applyFont="1" applyFill="1" applyBorder="1"/>
    <xf numFmtId="0" fontId="10" fillId="2" borderId="6" xfId="0" applyFont="1" applyFill="1" applyBorder="1"/>
    <xf numFmtId="0" fontId="7" fillId="0" borderId="30" xfId="0" applyFont="1" applyBorder="1"/>
    <xf numFmtId="0" fontId="7" fillId="2" borderId="11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7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left" indent="3"/>
    </xf>
    <xf numFmtId="2" fontId="10" fillId="0" borderId="4" xfId="0" applyNumberFormat="1" applyFont="1" applyBorder="1" applyAlignment="1">
      <alignment horizontal="center" vertical="center"/>
    </xf>
    <xf numFmtId="2" fontId="10" fillId="0" borderId="5" xfId="0" applyNumberFormat="1" applyFont="1" applyBorder="1" applyAlignment="1">
      <alignment horizontal="center" vertical="center"/>
    </xf>
    <xf numFmtId="0" fontId="7" fillId="2" borderId="12" xfId="0" applyFont="1" applyFill="1" applyBorder="1" applyAlignment="1">
      <alignment horizontal="left" indent="3"/>
    </xf>
    <xf numFmtId="2" fontId="10" fillId="0" borderId="2" xfId="0" applyNumberFormat="1" applyFont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7" fillId="2" borderId="11" xfId="0" applyFont="1" applyFill="1" applyBorder="1" applyAlignment="1">
      <alignment horizontal="left" indent="3"/>
    </xf>
    <xf numFmtId="2" fontId="10" fillId="0" borderId="8" xfId="0" applyNumberFormat="1" applyFont="1" applyBorder="1" applyAlignment="1">
      <alignment horizontal="center" vertical="center"/>
    </xf>
    <xf numFmtId="2" fontId="10" fillId="0" borderId="3" xfId="0" applyNumberFormat="1" applyFont="1" applyBorder="1" applyAlignment="1">
      <alignment horizontal="center" vertical="center"/>
    </xf>
    <xf numFmtId="2" fontId="10" fillId="0" borderId="0" xfId="0" applyNumberFormat="1" applyFont="1" applyAlignment="1">
      <alignment horizontal="center" vertical="center"/>
    </xf>
    <xf numFmtId="0" fontId="10" fillId="4" borderId="0" xfId="0" applyFont="1" applyFill="1"/>
    <xf numFmtId="0" fontId="7" fillId="4" borderId="0" xfId="0" applyFont="1" applyFill="1"/>
    <xf numFmtId="0" fontId="7" fillId="0" borderId="0" xfId="0" applyFont="1" applyAlignment="1">
      <alignment vertical="center"/>
    </xf>
    <xf numFmtId="0" fontId="10" fillId="4" borderId="25" xfId="0" applyFont="1" applyFill="1" applyBorder="1"/>
    <xf numFmtId="0" fontId="7" fillId="0" borderId="0" xfId="0" applyFont="1" applyAlignment="1">
      <alignment vertical="center" textRotation="90"/>
    </xf>
    <xf numFmtId="0" fontId="8" fillId="3" borderId="17" xfId="0" applyFont="1" applyFill="1" applyBorder="1" applyAlignment="1">
      <alignment horizontal="right" indent="1"/>
    </xf>
    <xf numFmtId="3" fontId="12" fillId="0" borderId="0" xfId="0" applyNumberFormat="1" applyFont="1" applyAlignment="1">
      <alignment horizontal="right" indent="1"/>
    </xf>
    <xf numFmtId="0" fontId="14" fillId="0" borderId="0" xfId="0" applyFont="1" applyAlignment="1">
      <alignment horizontal="right" indent="1"/>
    </xf>
    <xf numFmtId="0" fontId="10" fillId="4" borderId="22" xfId="0" applyFont="1" applyFill="1" applyBorder="1"/>
    <xf numFmtId="0" fontId="7" fillId="3" borderId="0" xfId="0" applyFont="1" applyFill="1" applyAlignment="1">
      <alignment horizontal="right"/>
    </xf>
    <xf numFmtId="0" fontId="14" fillId="3" borderId="0" xfId="0" applyFont="1" applyFill="1" applyAlignment="1">
      <alignment horizontal="right" indent="1"/>
    </xf>
    <xf numFmtId="3" fontId="12" fillId="3" borderId="0" xfId="0" applyNumberFormat="1" applyFont="1" applyFill="1" applyAlignment="1">
      <alignment horizontal="right" indent="1"/>
    </xf>
    <xf numFmtId="0" fontId="7" fillId="3" borderId="0" xfId="0" applyFont="1" applyFill="1"/>
    <xf numFmtId="0" fontId="9" fillId="3" borderId="0" xfId="0" applyFont="1" applyFill="1" applyAlignment="1">
      <alignment horizontal="right"/>
    </xf>
    <xf numFmtId="3" fontId="12" fillId="3" borderId="0" xfId="0" quotePrefix="1" applyNumberFormat="1" applyFont="1" applyFill="1" applyAlignment="1">
      <alignment horizontal="right" indent="1"/>
    </xf>
    <xf numFmtId="0" fontId="7" fillId="3" borderId="0" xfId="0" applyFont="1" applyFill="1" applyAlignment="1">
      <alignment vertical="center"/>
    </xf>
    <xf numFmtId="1" fontId="11" fillId="0" borderId="0" xfId="0" applyNumberFormat="1" applyFont="1"/>
    <xf numFmtId="0" fontId="10" fillId="4" borderId="13" xfId="0" applyFont="1" applyFill="1" applyBorder="1"/>
    <xf numFmtId="0" fontId="12" fillId="3" borderId="0" xfId="0" applyFont="1" applyFill="1" applyAlignment="1">
      <alignment horizontal="left" indent="1"/>
    </xf>
    <xf numFmtId="0" fontId="15" fillId="3" borderId="0" xfId="0" applyFont="1" applyFill="1" applyAlignment="1">
      <alignment horizontal="right"/>
    </xf>
    <xf numFmtId="168" fontId="7" fillId="3" borderId="0" xfId="0" applyNumberFormat="1" applyFont="1" applyFill="1" applyAlignment="1">
      <alignment horizontal="right" indent="1"/>
    </xf>
    <xf numFmtId="0" fontId="7" fillId="3" borderId="0" xfId="0" quotePrefix="1" applyFont="1" applyFill="1" applyAlignment="1">
      <alignment horizontal="center"/>
    </xf>
    <xf numFmtId="170" fontId="12" fillId="3" borderId="0" xfId="0" applyNumberFormat="1" applyFont="1" applyFill="1" applyAlignment="1">
      <alignment horizontal="left"/>
    </xf>
    <xf numFmtId="167" fontId="7" fillId="3" borderId="0" xfId="0" applyNumberFormat="1" applyFont="1" applyFill="1" applyAlignment="1">
      <alignment horizontal="left"/>
    </xf>
    <xf numFmtId="0" fontId="7" fillId="3" borderId="0" xfId="0" applyFont="1" applyFill="1" applyAlignment="1">
      <alignment horizontal="right" indent="1"/>
    </xf>
    <xf numFmtId="0" fontId="7" fillId="3" borderId="0" xfId="0" applyFont="1" applyFill="1" applyAlignment="1">
      <alignment horizontal="center" vertical="center"/>
    </xf>
    <xf numFmtId="3" fontId="7" fillId="3" borderId="0" xfId="0" applyNumberFormat="1" applyFont="1" applyFill="1" applyAlignment="1">
      <alignment horizontal="left" vertical="center"/>
    </xf>
    <xf numFmtId="0" fontId="11" fillId="4" borderId="0" xfId="0" applyFont="1" applyFill="1"/>
    <xf numFmtId="165" fontId="7" fillId="3" borderId="0" xfId="0" applyNumberFormat="1" applyFont="1" applyFill="1" applyAlignment="1">
      <alignment horizontal="right" indent="1"/>
    </xf>
    <xf numFmtId="166" fontId="7" fillId="3" borderId="0" xfId="5" applyNumberFormat="1" applyFont="1" applyFill="1" applyAlignment="1">
      <alignment horizontal="right" indent="1"/>
    </xf>
    <xf numFmtId="166" fontId="7" fillId="3" borderId="0" xfId="5" applyNumberFormat="1" applyFont="1" applyFill="1"/>
    <xf numFmtId="169" fontId="10" fillId="3" borderId="0" xfId="0" applyNumberFormat="1" applyFont="1" applyFill="1" applyAlignment="1">
      <alignment horizontal="left"/>
    </xf>
    <xf numFmtId="0" fontId="7" fillId="3" borderId="0" xfId="0" applyFont="1" applyFill="1" applyAlignment="1">
      <alignment horizontal="center"/>
    </xf>
    <xf numFmtId="3" fontId="7" fillId="3" borderId="0" xfId="0" applyNumberFormat="1" applyFont="1" applyFill="1" applyAlignment="1">
      <alignment horizontal="left"/>
    </xf>
    <xf numFmtId="0" fontId="15" fillId="0" borderId="0" xfId="0" applyFont="1" applyAlignment="1">
      <alignment horizontal="right"/>
    </xf>
    <xf numFmtId="3" fontId="7" fillId="0" borderId="0" xfId="0" applyNumberFormat="1" applyFont="1"/>
    <xf numFmtId="0" fontId="7" fillId="2" borderId="0" xfId="0" applyFont="1" applyFill="1" applyAlignment="1">
      <alignment horizontal="center" vertical="center" textRotation="90"/>
    </xf>
    <xf numFmtId="3" fontId="7" fillId="2" borderId="0" xfId="0" applyNumberFormat="1" applyFont="1" applyFill="1" applyAlignment="1">
      <alignment horizontal="center"/>
    </xf>
    <xf numFmtId="3" fontId="7" fillId="2" borderId="9" xfId="0" applyNumberFormat="1" applyFont="1" applyFill="1" applyBorder="1" applyAlignment="1">
      <alignment horizontal="center"/>
    </xf>
    <xf numFmtId="3" fontId="7" fillId="2" borderId="10" xfId="0" applyNumberFormat="1" applyFont="1" applyFill="1" applyBorder="1" applyAlignment="1">
      <alignment horizontal="center"/>
    </xf>
    <xf numFmtId="3" fontId="7" fillId="2" borderId="11" xfId="0" applyNumberFormat="1" applyFont="1" applyFill="1" applyBorder="1" applyAlignment="1">
      <alignment horizontal="center"/>
    </xf>
    <xf numFmtId="0" fontId="11" fillId="2" borderId="0" xfId="0" applyFont="1" applyFill="1" applyAlignment="1">
      <alignment horizontal="center" wrapText="1"/>
    </xf>
    <xf numFmtId="0" fontId="10" fillId="2" borderId="0" xfId="0" applyFont="1" applyFill="1" applyAlignment="1">
      <alignment horizontal="center" wrapText="1"/>
    </xf>
    <xf numFmtId="0" fontId="10" fillId="2" borderId="0" xfId="0" applyFont="1" applyFill="1" applyAlignment="1">
      <alignment horizontal="center"/>
    </xf>
    <xf numFmtId="0" fontId="10" fillId="2" borderId="22" xfId="0" applyFont="1" applyFill="1" applyBorder="1" applyAlignment="1">
      <alignment horizontal="center" wrapText="1"/>
    </xf>
    <xf numFmtId="0" fontId="11" fillId="2" borderId="13" xfId="0" applyFont="1" applyFill="1" applyBorder="1" applyAlignment="1">
      <alignment horizontal="left" vertical="center" indent="1"/>
    </xf>
    <xf numFmtId="0" fontId="11" fillId="2" borderId="26" xfId="0" applyFont="1" applyFill="1" applyBorder="1" applyAlignment="1">
      <alignment horizontal="center" wrapText="1"/>
    </xf>
    <xf numFmtId="0" fontId="11" fillId="2" borderId="22" xfId="0" applyFont="1" applyFill="1" applyBorder="1" applyAlignment="1">
      <alignment horizontal="center" wrapText="1"/>
    </xf>
    <xf numFmtId="0" fontId="10" fillId="2" borderId="26" xfId="0" applyFont="1" applyFill="1" applyBorder="1" applyAlignment="1">
      <alignment horizontal="center" wrapText="1"/>
    </xf>
    <xf numFmtId="0" fontId="10" fillId="2" borderId="22" xfId="0" applyFont="1" applyFill="1" applyBorder="1" applyAlignment="1">
      <alignment horizontal="center"/>
    </xf>
    <xf numFmtId="0" fontId="10" fillId="2" borderId="23" xfId="0" applyFont="1" applyFill="1" applyBorder="1" applyAlignment="1">
      <alignment horizontal="center" wrapText="1"/>
    </xf>
    <xf numFmtId="0" fontId="10" fillId="2" borderId="13" xfId="0" applyFont="1" applyFill="1" applyBorder="1" applyAlignment="1">
      <alignment horizontal="center" wrapText="1"/>
    </xf>
    <xf numFmtId="0" fontId="10" fillId="4" borderId="13" xfId="0" applyFont="1" applyFill="1" applyBorder="1" applyAlignment="1">
      <alignment horizontal="center" vertical="center" wrapText="1"/>
    </xf>
    <xf numFmtId="0" fontId="10" fillId="4" borderId="13" xfId="0" applyFont="1" applyFill="1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/>
    </xf>
    <xf numFmtId="0" fontId="7" fillId="4" borderId="24" xfId="0" applyFont="1" applyFill="1" applyBorder="1" applyAlignment="1">
      <alignment horizontal="center" vertical="center"/>
    </xf>
    <xf numFmtId="0" fontId="11" fillId="4" borderId="13" xfId="0" applyFont="1" applyFill="1" applyBorder="1" applyAlignment="1">
      <alignment horizontal="center" wrapText="1"/>
    </xf>
    <xf numFmtId="0" fontId="11" fillId="4" borderId="13" xfId="0" applyFont="1" applyFill="1" applyBorder="1" applyAlignment="1">
      <alignment horizontal="center"/>
    </xf>
    <xf numFmtId="0" fontId="11" fillId="4" borderId="0" xfId="0" applyFont="1" applyFill="1" applyAlignment="1">
      <alignment horizontal="center" wrapText="1"/>
    </xf>
    <xf numFmtId="0" fontId="7" fillId="4" borderId="9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/>
    </xf>
    <xf numFmtId="0" fontId="8" fillId="3" borderId="19" xfId="0" applyFont="1" applyFill="1" applyBorder="1" applyAlignment="1">
      <alignment horizontal="center"/>
    </xf>
    <xf numFmtId="0" fontId="8" fillId="3" borderId="20" xfId="0" applyFont="1" applyFill="1" applyBorder="1" applyAlignment="1">
      <alignment horizontal="center"/>
    </xf>
    <xf numFmtId="0" fontId="12" fillId="4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/>
    </xf>
    <xf numFmtId="0" fontId="11" fillId="2" borderId="13" xfId="0" applyFont="1" applyFill="1" applyBorder="1" applyAlignment="1">
      <alignment horizontal="center" wrapText="1"/>
    </xf>
    <xf numFmtId="0" fontId="11" fillId="2" borderId="13" xfId="0" applyFont="1" applyFill="1" applyBorder="1" applyAlignment="1">
      <alignment horizontal="center"/>
    </xf>
    <xf numFmtId="0" fontId="0" fillId="0" borderId="0" xfId="0" applyAlignment="1">
      <alignment horizontal="center"/>
    </xf>
    <xf numFmtId="166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quotePrefix="1" applyAlignment="1">
      <alignment horizontal="center"/>
    </xf>
    <xf numFmtId="0" fontId="0" fillId="0" borderId="0" xfId="0" applyNumberFormat="1" applyAlignment="1">
      <alignment horizontal="center"/>
    </xf>
    <xf numFmtId="166" fontId="0" fillId="0" borderId="0" xfId="0" quotePrefix="1" applyNumberFormat="1" applyAlignment="1">
      <alignment horizontal="center"/>
    </xf>
    <xf numFmtId="0" fontId="2" fillId="0" borderId="0" xfId="0" applyFont="1"/>
    <xf numFmtId="0" fontId="12" fillId="5" borderId="31" xfId="0" applyFont="1" applyFill="1" applyBorder="1" applyAlignment="1">
      <alignment shrinkToFit="1"/>
    </xf>
    <xf numFmtId="0" fontId="12" fillId="0" borderId="32" xfId="0" applyFont="1" applyBorder="1" applyAlignment="1">
      <alignment shrinkToFit="1"/>
    </xf>
    <xf numFmtId="0" fontId="12" fillId="0" borderId="33" xfId="0" applyFont="1" applyBorder="1" applyAlignment="1">
      <alignment shrinkToFit="1"/>
    </xf>
    <xf numFmtId="0" fontId="12" fillId="5" borderId="34" xfId="0" applyFont="1" applyFill="1" applyBorder="1" applyAlignment="1">
      <alignment shrinkToFit="1"/>
    </xf>
    <xf numFmtId="0" fontId="12" fillId="0" borderId="35" xfId="0" applyFont="1" applyBorder="1" applyAlignment="1">
      <alignment shrinkToFit="1"/>
    </xf>
    <xf numFmtId="0" fontId="12" fillId="0" borderId="36" xfId="0" applyFont="1" applyBorder="1" applyAlignment="1">
      <alignment shrinkToFit="1"/>
    </xf>
    <xf numFmtId="0" fontId="18" fillId="0" borderId="0" xfId="0" applyFont="1" applyAlignment="1">
      <alignment horizontal="center"/>
    </xf>
    <xf numFmtId="0" fontId="16" fillId="5" borderId="0" xfId="0" applyFont="1" applyFill="1" applyAlignment="1">
      <alignment horizontal="center"/>
    </xf>
    <xf numFmtId="11" fontId="0" fillId="0" borderId="0" xfId="0" applyNumberFormat="1" applyAlignment="1">
      <alignment horizontal="center" shrinkToFit="1"/>
    </xf>
    <xf numFmtId="171" fontId="0" fillId="0" borderId="0" xfId="5" applyNumberFormat="1" applyFont="1" applyAlignment="1">
      <alignment horizontal="center" shrinkToFit="1"/>
    </xf>
    <xf numFmtId="0" fontId="1" fillId="0" borderId="0" xfId="0" applyFont="1" applyAlignment="1">
      <alignment horizontal="center"/>
    </xf>
    <xf numFmtId="0" fontId="17" fillId="5" borderId="0" xfId="0" applyFont="1" applyFill="1" applyAlignment="1">
      <alignment horizontal="center"/>
    </xf>
    <xf numFmtId="2" fontId="0" fillId="0" borderId="0" xfId="0" applyNumberFormat="1" applyAlignment="1">
      <alignment horizontal="center"/>
    </xf>
    <xf numFmtId="2" fontId="0" fillId="0" borderId="0" xfId="0" quotePrefix="1" applyNumberFormat="1" applyAlignment="1">
      <alignment horizontal="center"/>
    </xf>
    <xf numFmtId="10" fontId="0" fillId="0" borderId="0" xfId="0" applyNumberFormat="1" applyAlignment="1">
      <alignment horizontal="center"/>
    </xf>
    <xf numFmtId="10" fontId="0" fillId="0" borderId="0" xfId="0" quotePrefix="1" applyNumberFormat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</cellXfs>
  <cellStyles count="6">
    <cellStyle name="Euro" xfId="2" xr:uid="{00000000-0005-0000-0000-000000000000}"/>
    <cellStyle name="Milliers 2" xfId="3" xr:uid="{00000000-0005-0000-0000-000001000000}"/>
    <cellStyle name="Normal 2" xfId="1" xr:uid="{00000000-0005-0000-0000-000003000000}"/>
    <cellStyle name="Normal 3" xfId="4" xr:uid="{00000000-0005-0000-0000-000004000000}"/>
    <cellStyle name="Procent" xfId="5" builtinId="5"/>
    <cellStyle name="Standaard" xfId="0" builtinId="0"/>
  </cellStyles>
  <dxfs count="61">
    <dxf>
      <alignment horizontal="center" vertical="bottom" textRotation="0" wrapText="0" indent="0" justifyLastLine="0" shrinkToFit="0" readingOrder="0"/>
      <border diagonalUp="0" diagonalDown="0">
        <left/>
        <right style="medium">
          <color auto="1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/>
        <top/>
        <bottom/>
        <vertical/>
        <horizontal/>
      </border>
    </dxf>
    <dxf>
      <font>
        <color theme="0" tint="-0.24994659260841701"/>
      </font>
    </dxf>
    <dxf>
      <font>
        <b/>
        <i val="0"/>
        <color rgb="FFFF0000"/>
      </font>
    </dxf>
    <dxf>
      <border>
        <bottom style="thin">
          <color rgb="FFFF0000"/>
        </bottom>
        <vertical/>
        <horizontal/>
      </border>
    </dxf>
    <dxf>
      <font>
        <b val="0"/>
        <i val="0"/>
        <strike val="0"/>
        <color auto="1"/>
      </font>
      <fill>
        <patternFill>
          <bgColor rgb="FFCCFFCC"/>
        </patternFill>
      </fill>
    </dxf>
    <dxf>
      <font>
        <color auto="1"/>
      </font>
      <fill>
        <patternFill>
          <bgColor rgb="FFCCFFCC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auto="1"/>
      </font>
      <fill>
        <patternFill>
          <bgColor rgb="FFCCFFCC"/>
        </patternFill>
      </fill>
    </dxf>
    <dxf>
      <font>
        <color auto="1"/>
      </font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CCFFCC"/>
        </patternFill>
      </fill>
    </dxf>
    <dxf>
      <fill>
        <patternFill>
          <bgColor rgb="FFFF9999"/>
        </patternFill>
      </fill>
    </dxf>
    <dxf>
      <fill>
        <patternFill>
          <bgColor rgb="FFCCFFCC"/>
        </patternFill>
      </fill>
    </dxf>
    <dxf>
      <font>
        <color theme="0" tint="-0.499984740745262"/>
      </font>
      <fill>
        <patternFill patternType="solid">
          <bgColor theme="0" tint="-4.9989318521683403E-2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</dxf>
    <dxf>
      <numFmt numFmtId="14" formatCode="0.00%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66" formatCode="0.0%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3" formatCode="#,##0"/>
      <alignment horizontal="right" vertical="bottom" textRotation="0" wrapText="0" relativeIndent="1" justifyLastLine="0" shrinkToFit="0" readingOrder="0"/>
    </dxf>
    <dxf>
      <numFmt numFmtId="3" formatCode="#,##0"/>
      <alignment horizontal="right" vertical="bottom" textRotation="0" wrapText="0" relativeIndent="1" justifyLastLine="0" shrinkToFit="0" readingOrder="0"/>
    </dxf>
    <dxf>
      <alignment horizontal="right" vertical="bottom" textRotation="0" wrapText="0" relativeIndent="1" justifyLastLine="0" shrinkToFit="0" readingOrder="0"/>
    </dxf>
    <dxf>
      <alignment horizontal="right" vertical="bottom" textRotation="0" wrapText="0" relativeIndent="1" justifyLastLine="0" shrinkToFit="0" readingOrder="0"/>
    </dxf>
    <dxf>
      <numFmt numFmtId="3" formatCode="#,##0"/>
      <alignment horizontal="right" vertical="bottom" textRotation="0" wrapText="0" relativeIndent="1" justifyLastLine="0" shrinkToFit="0" readingOrder="0"/>
    </dxf>
    <dxf>
      <numFmt numFmtId="3" formatCode="#,##0"/>
      <alignment horizontal="right" vertical="bottom" textRotation="0" wrapText="0" indent="1" justifyLastLine="0" shrinkToFit="0" readingOrder="0"/>
    </dxf>
    <dxf>
      <fill>
        <patternFill patternType="solid">
          <fgColor indexed="64"/>
          <bgColor rgb="FFFFFF99"/>
        </patternFill>
      </fill>
    </dxf>
    <dxf>
      <font>
        <b/>
      </font>
      <fill>
        <patternFill patternType="solid">
          <fgColor indexed="64"/>
          <bgColor rgb="FFFFFF99"/>
        </patternFill>
      </fill>
    </dxf>
    <dxf>
      <fill>
        <patternFill patternType="solid">
          <fgColor indexed="64"/>
          <bgColor rgb="FFFFFF99"/>
        </patternFill>
      </fill>
    </dxf>
    <dxf>
      <numFmt numFmtId="165" formatCode="0.0"/>
      <alignment horizontal="right" vertical="bottom" textRotation="0" wrapText="0" indent="1" justifyLastLine="0" shrinkToFit="0" readingOrder="0"/>
    </dxf>
    <dxf>
      <alignment horizontal="right" vertical="bottom" textRotation="0" wrapText="0" indent="1" justifyLastLine="0" shrinkToFit="0" readingOrder="0"/>
    </dxf>
    <dxf>
      <alignment horizontal="right" vertical="bottom" textRotation="0" wrapText="0" indent="1" justifyLastLine="0" shrinkToFit="0" readingOrder="0"/>
    </dxf>
    <dxf>
      <alignment horizontal="right" vertical="bottom" textRotation="0" wrapText="0" indent="1" justifyLastLine="0" shrinkToFit="0" readingOrder="0"/>
    </dxf>
    <dxf>
      <alignment horizontal="right" vertical="bottom" textRotation="0" wrapText="0" indent="1" justifyLastLine="0" shrinkToFit="0" readingOrder="0"/>
    </dxf>
    <dxf>
      <alignment horizontal="right" vertical="bottom" textRotation="0" wrapText="0" indent="1" justifyLastLine="0" shrinkToFit="0" readingOrder="0"/>
    </dxf>
    <dxf>
      <alignment horizontal="right" vertical="bottom" textRotation="0" wrapText="0" indent="1" justifyLastLine="0" shrinkToFit="0" readingOrder="0"/>
    </dxf>
    <dxf>
      <fill>
        <patternFill patternType="solid">
          <fgColor indexed="64"/>
          <bgColor rgb="FFFFFF99"/>
        </patternFill>
      </fill>
    </dxf>
    <dxf>
      <font>
        <b/>
      </font>
    </dxf>
    <dxf>
      <fill>
        <patternFill patternType="solid">
          <fgColor indexed="64"/>
          <bgColor rgb="FFFFFF99"/>
        </patternFill>
      </fill>
    </dxf>
  </dxfs>
  <tableStyles count="0" defaultTableStyle="TableStyleMedium2" defaultPivotStyle="PivotStyleLight16"/>
  <colors>
    <mruColors>
      <color rgb="FFCCFFCC"/>
      <color rgb="FF0000FF"/>
      <color rgb="FFFFFF99"/>
      <color rgb="FFFFFFCC"/>
      <color rgb="FF99FF66"/>
      <color rgb="FF99FF99"/>
      <color rgb="FFFF9999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0</xdr:colOff>
          <xdr:row>10</xdr:row>
          <xdr:rowOff>129540</xdr:rowOff>
        </xdr:from>
        <xdr:to>
          <xdr:col>24</xdr:col>
          <xdr:colOff>259080</xdr:colOff>
          <xdr:row>14</xdr:row>
          <xdr:rowOff>53340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nl-BE" sz="100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SOLVER sens LP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0</xdr:colOff>
          <xdr:row>14</xdr:row>
          <xdr:rowOff>152400</xdr:rowOff>
        </xdr:from>
        <xdr:to>
          <xdr:col>24</xdr:col>
          <xdr:colOff>259080</xdr:colOff>
          <xdr:row>17</xdr:row>
          <xdr:rowOff>152400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nl-BE" sz="100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SOLVER sens lP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13</xdr:col>
      <xdr:colOff>0</xdr:colOff>
      <xdr:row>20</xdr:row>
      <xdr:rowOff>0</xdr:rowOff>
    </xdr:from>
    <xdr:to>
      <xdr:col>24</xdr:col>
      <xdr:colOff>446807</xdr:colOff>
      <xdr:row>50</xdr:row>
      <xdr:rowOff>81265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3645FB7F-84F9-849F-873C-B4DE7936FD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746521" y="3416060"/>
          <a:ext cx="6200626" cy="536925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1394460</xdr:colOff>
      <xdr:row>5</xdr:row>
      <xdr:rowOff>53340</xdr:rowOff>
    </xdr:from>
    <xdr:to>
      <xdr:col>2</xdr:col>
      <xdr:colOff>228600</xdr:colOff>
      <xdr:row>9</xdr:row>
      <xdr:rowOff>91440</xdr:rowOff>
    </xdr:to>
    <xdr:sp macro="[0]!combinaisons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71CABF82-CC15-C538-C92D-072D5D649DD4}"/>
            </a:ext>
          </a:extLst>
        </xdr:cNvPr>
        <xdr:cNvSpPr/>
      </xdr:nvSpPr>
      <xdr:spPr>
        <a:xfrm>
          <a:off x="2202180" y="922020"/>
          <a:ext cx="1333500" cy="708660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2800"/>
            <a:t>macro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57BE884-22FA-4154-AEDB-1D766B32FA90}" name="Tableau1" displayName="Tableau1" ref="A3:S39" totalsRowShown="0" headerRowDxfId="28" dataDxfId="27">
  <tableColumns count="19">
    <tableColumn id="1" xr3:uid="{7D93BFCD-91FE-49BC-A66F-DBA6DC2354EF}" name="P1" dataDxfId="41"/>
    <tableColumn id="2" xr3:uid="{9C3E4B05-D411-4810-B976-5A8DC5FD7346}" name="P2" dataDxfId="40"/>
    <tableColumn id="3" xr3:uid="{A5EE3751-7C0D-4460-8683-B6AAEEF95797}" name="P3" dataDxfId="39"/>
    <tableColumn id="4" xr3:uid="{4E105E0A-3991-4DA5-BF38-F95AD7C53BA3}" name="B1" dataDxfId="2"/>
    <tableColumn id="5" xr3:uid="{BCC9C0F7-03EE-4922-AB88-3B5DAF8452CB}" name="B2" dataDxfId="1"/>
    <tableColumn id="6" xr3:uid="{ABF7014B-8C8D-45C9-9A55-B69DBB21D4CA}" name="B3" dataDxfId="0"/>
    <tableColumn id="7" xr3:uid="{2508AFBA-14E9-4A45-B379-FE3374C48663}" name="palette" dataDxfId="38"/>
    <tableColumn id="8" xr3:uid="{C2EA22DC-E00F-4846-8F27-5E0561E3FEE4}" name="boites" dataDxfId="37"/>
    <tableColumn id="9" xr3:uid="{465FC3F9-1E1A-47B6-9A09-85310EC3FA62}" name="hauteut P" dataDxfId="36"/>
    <tableColumn id="10" xr3:uid="{5A6010A1-E66D-49FF-9412-5CC0CF367D08}" name="Hauteur B" dataDxfId="35"/>
    <tableColumn id="11" xr3:uid="{02F9DD28-8581-4AF7-BF87-FAE3040C1946}" name="bPalette" dataDxfId="34">
      <calculatedColumnFormula>100*(Tableau1[[#This Row],[palette]]=$G$2)</calculatedColumnFormula>
    </tableColumn>
    <tableColumn id="12" xr3:uid="{16D81189-D3D3-497D-B475-B6EA49EA53BF}" name="Solveur" dataDxfId="33"/>
    <tableColumn id="13" xr3:uid="{060200E3-BEA0-420E-9B73-08D4CEFCBBB1}" name="Nombre" dataDxfId="32"/>
    <tableColumn id="20" xr3:uid="{6ADD07F4-D913-4B91-8E7D-911F5D43A50C}" name="pourc surface" dataDxfId="24">
      <calculatedColumnFormula>PRODUCT(Tableau1[[#This Row],[B1]:[B2]])*TRUNC(Tableau1[[#This Row],[boites]])/PRODUCT(Tableau1[[#This Row],[P1]:[P2]])</calculatedColumnFormula>
    </tableColumn>
    <tableColumn id="14" xr3:uid="{89399D75-BC04-43B6-AB3D-ABF03DECB2C4}" name="total" dataDxfId="31">
      <calculatedColumnFormula array="1">IF(Tableau1[[#This Row],[palette]]&lt;&gt;OFFSET(Tableau1[[#This Row],[palette]],1,),SUMPRODUCT((Tableau1[palette]=Tableau1[[#This Row],[palette]])*Tableau1[boites]*Tableau1[Nombre]),"-")</calculatedColumnFormula>
    </tableColumn>
    <tableColumn id="15" xr3:uid="{D6C59FA1-08FA-4CD7-B4DD-ED68691EA499}" name="m3 palette" dataDxfId="26">
      <calculatedColumnFormula>IF(Tableau1[[#This Row],[palette]]&lt;&gt;OFFSET(Tableau1[[#This Row],[palette]],1,),PRODUCT(Tableau1[[#This Row],[P1]:[P3]])/1000000000,"-")</calculatedColumnFormula>
    </tableColumn>
    <tableColumn id="16" xr3:uid="{798CF04F-2E3F-4ECB-92E5-98918D668E30}" name="m3 boîtes" dataDxfId="25">
      <calculatedColumnFormula>IF(Tableau1[[#This Row],[palette]]&lt;&gt;OFFSET(Tableau1[[#This Row],[palette]],1,),PRODUCT(Tableau1[[#This Row],[B1]:[B3]])*Tableau1[[#This Row],[total]]/1000000000,"-")</calculatedColumnFormula>
    </tableColumn>
    <tableColumn id="17" xr3:uid="{6B113D70-372C-4356-BC99-A8ED1CD54023}" name="rendement" dataDxfId="30">
      <calculatedColumnFormula>IF(COUNT(Tableau1[[#This Row],[m3 palette]:[m3 boîtes]])=2,Tableau1[[#This Row],[m3 boîtes]]/Tableau1[[#This Row],[m3 palette]],"-")</calculatedColumnFormula>
    </tableColumn>
    <tableColumn id="18" xr3:uid="{1E1CB309-0DB9-40B4-9985-71D5F48107F2}" name="rang" dataDxfId="29">
      <calculatedColumnFormula>IF(ISNUMBER(Tableau1[[#This Row],[rendement]]),COUNTIF(Tableau1[total],"&gt;"&amp;Tableau1[[#This Row],[total]])+1,"")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Carton" displayName="TableauCarton" ref="J3:R23" totalsRowShown="0" headerRowDxfId="60">
  <autoFilter ref="J3:R23" xr:uid="{00000000-0009-0000-0100-000002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xr3:uid="{00000000-0010-0000-0000-000001000000}" name="Abrev" dataDxfId="59"/>
    <tableColumn id="2" xr3:uid="{00000000-0010-0000-0000-000002000000}" name="description" dataDxfId="58">
      <calculatedColumnFormula>CONCATENATE(J4&amp;" -"&amp;L4&amp;"x",M4&amp;"x",N4)</calculatedColumnFormula>
    </tableColumn>
    <tableColumn id="3" xr3:uid="{00000000-0010-0000-0000-000003000000}" name="Longueur (mm)" dataDxfId="57"/>
    <tableColumn id="4" xr3:uid="{00000000-0010-0000-0000-000004000000}" name="largeur" dataDxfId="56"/>
    <tableColumn id="5" xr3:uid="{00000000-0010-0000-0000-000005000000}" name="Hauteur" dataDxfId="55"/>
    <tableColumn id="6" xr3:uid="{00000000-0010-0000-0000-000006000000}" name="poids" dataDxfId="54"/>
    <tableColumn id="7" xr3:uid="{00000000-0010-0000-0000-000007000000}" name="charge max" dataDxfId="53"/>
    <tableColumn id="8" xr3:uid="{00000000-0010-0000-0000-000008000000}" name="charge totale" dataDxfId="52"/>
    <tableColumn id="9" xr3:uid="{00000000-0010-0000-0000-000009000000}" name="volume (dm3)" dataDxfId="51">
      <calculatedColumnFormula>L4*M4*N4/(100*100*100)</calculatedColumnFormula>
    </tableColumn>
  </tableColumns>
  <tableStyleInfo name="TableStyleLight18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auPalette" displayName="TableauPalette" ref="A3:H8" totalsRowShown="0" headerRowDxfId="50">
  <autoFilter ref="A3:H8" xr:uid="{00000000-0009-0000-0100-000003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00000000-0010-0000-0100-000001000000}" name="Abrev" dataDxfId="49"/>
    <tableColumn id="2" xr3:uid="{00000000-0010-0000-0100-000002000000}" name="description" dataDxfId="48">
      <calculatedColumnFormula>CONCATENATE(A4," -Europalette ",C4&amp;"x",D4&amp;"x",E4)</calculatedColumnFormula>
    </tableColumn>
    <tableColumn id="3" xr3:uid="{00000000-0010-0000-0100-000003000000}" name="Longueur (mm)" dataDxfId="47"/>
    <tableColumn id="4" xr3:uid="{00000000-0010-0000-0100-000004000000}" name="largeur" dataDxfId="46"/>
    <tableColumn id="5" xr3:uid="{00000000-0010-0000-0100-000005000000}" name="Hauteur" dataDxfId="45"/>
    <tableColumn id="6" xr3:uid="{00000000-0010-0000-0100-000006000000}" name="poids (kg)" dataDxfId="44"/>
    <tableColumn id="7" xr3:uid="{00000000-0010-0000-0100-000007000000}" name="charge utile" dataDxfId="43"/>
    <tableColumn id="8" xr3:uid="{00000000-0010-0000-0100-000008000000}" name="charge totale" dataDxfId="42"/>
  </tableColumns>
  <tableStyleInfo name="TableStyleLight18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438" row="8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9FD2F80F-8AD5-4844-8AE4-2B6D957E8EBE}">
  <we:reference id="wa104100404" version="3.0.0.1" store="nl-NL" storeType="OMEX"/>
  <we:alternateReferences>
    <we:reference id="wa104100404" version="3.0.0.1" store="wa104100404" storeType="OMEX"/>
  </we:alternateReferences>
  <we:properties>
    <we:property name="UniqueID" value="&quot;20252181742325967364&quot;"/>
  </we:properties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AC33"/>
  <sheetViews>
    <sheetView showGridLines="0" workbookViewId="0">
      <selection activeCell="D9" sqref="D9:E9"/>
    </sheetView>
  </sheetViews>
  <sheetFormatPr defaultColWidth="11" defaultRowHeight="13.8" x14ac:dyDescent="0.25"/>
  <cols>
    <col min="1" max="1" width="4.77734375" style="11" customWidth="1"/>
    <col min="2" max="2" width="4" style="11" customWidth="1"/>
    <col min="3" max="3" width="23.44140625" style="11" customWidth="1"/>
    <col min="4" max="4" width="8.44140625" style="11" customWidth="1"/>
    <col min="5" max="5" width="3.109375" style="11" customWidth="1"/>
    <col min="6" max="8" width="11.88671875" style="11" customWidth="1"/>
    <col min="9" max="9" width="3.6640625" style="11" customWidth="1"/>
    <col min="10" max="10" width="9.88671875" style="11" bestFit="1" customWidth="1"/>
    <col min="11" max="11" width="8.109375" style="11" bestFit="1" customWidth="1"/>
    <col min="12" max="12" width="8" style="11" bestFit="1" customWidth="1"/>
    <col min="13" max="13" width="28.5546875" style="11" bestFit="1" customWidth="1"/>
    <col min="14" max="14" width="13.109375" style="11" customWidth="1"/>
    <col min="15" max="16" width="8.44140625" style="11" hidden="1" customWidth="1"/>
    <col min="17" max="20" width="8.44140625" style="11" customWidth="1"/>
    <col min="21" max="22" width="3.33203125" style="11" customWidth="1"/>
    <col min="23" max="23" width="20.77734375" style="11" customWidth="1"/>
    <col min="24" max="24" width="8.77734375" style="11" customWidth="1"/>
    <col min="25" max="25" width="8.44140625" style="11" customWidth="1"/>
    <col min="26" max="26" width="7.33203125" style="11" customWidth="1"/>
    <col min="27" max="27" width="8.21875" style="11" customWidth="1"/>
    <col min="28" max="28" width="11" style="11"/>
    <col min="29" max="29" width="11" style="11" hidden="1" customWidth="1"/>
    <col min="30" max="16384" width="11" style="11"/>
  </cols>
  <sheetData>
    <row r="1" spans="2:29" ht="15" customHeight="1" thickBot="1" x14ac:dyDescent="0.3">
      <c r="C1" s="12" t="s">
        <v>76</v>
      </c>
      <c r="D1" s="13" t="s">
        <v>2</v>
      </c>
      <c r="G1" s="14" t="s">
        <v>1</v>
      </c>
      <c r="K1" s="97" t="s">
        <v>31</v>
      </c>
      <c r="L1" s="99" t="s">
        <v>30</v>
      </c>
      <c r="M1" s="100" t="s">
        <v>42</v>
      </c>
      <c r="N1" s="101" t="s">
        <v>64</v>
      </c>
      <c r="O1" s="103" t="s">
        <v>31</v>
      </c>
      <c r="P1" s="105" t="s">
        <v>30</v>
      </c>
      <c r="Q1" s="120" t="s">
        <v>31</v>
      </c>
      <c r="R1" s="96" t="s">
        <v>30</v>
      </c>
      <c r="S1" s="105" t="s">
        <v>65</v>
      </c>
      <c r="T1" s="106" t="s">
        <v>67</v>
      </c>
      <c r="U1" s="109" t="s">
        <v>58</v>
      </c>
      <c r="V1" s="109" t="s">
        <v>59</v>
      </c>
      <c r="W1" s="114" t="s">
        <v>63</v>
      </c>
      <c r="X1" s="111" t="s">
        <v>31</v>
      </c>
      <c r="Y1" s="113" t="s">
        <v>30</v>
      </c>
      <c r="Z1" s="107" t="s">
        <v>66</v>
      </c>
      <c r="AA1" s="107" t="s">
        <v>65</v>
      </c>
      <c r="AC1" s="15" t="s">
        <v>2</v>
      </c>
    </row>
    <row r="2" spans="2:29" ht="15" customHeight="1" thickBot="1" x14ac:dyDescent="0.3">
      <c r="C2" s="12" t="s">
        <v>47</v>
      </c>
      <c r="D2" s="16">
        <v>1200</v>
      </c>
      <c r="K2" s="98"/>
      <c r="L2" s="99"/>
      <c r="M2" s="100"/>
      <c r="N2" s="102"/>
      <c r="O2" s="104"/>
      <c r="P2" s="106"/>
      <c r="Q2" s="121"/>
      <c r="R2" s="96"/>
      <c r="S2" s="106"/>
      <c r="T2" s="106"/>
      <c r="U2" s="110"/>
      <c r="V2" s="110"/>
      <c r="W2" s="114"/>
      <c r="X2" s="112"/>
      <c r="Y2" s="113"/>
      <c r="Z2" s="108"/>
      <c r="AA2" s="108"/>
      <c r="AC2" s="15" t="s">
        <v>3</v>
      </c>
    </row>
    <row r="3" spans="2:29" ht="15" customHeight="1" thickBot="1" x14ac:dyDescent="0.3">
      <c r="C3" s="12" t="s">
        <v>36</v>
      </c>
      <c r="D3" s="17">
        <v>0.4</v>
      </c>
      <c r="F3" s="119" t="s">
        <v>78</v>
      </c>
      <c r="G3" s="119"/>
      <c r="H3" s="119"/>
      <c r="K3" s="18">
        <f>INT(F7)*INT(G8)*INT(H9)</f>
        <v>1980</v>
      </c>
      <c r="L3" s="19">
        <f>K3/INT(H9)</f>
        <v>132</v>
      </c>
      <c r="M3" s="20" t="str">
        <f>CONCATENATE(INT(F7)&amp;"x L dans le sens LP; "&amp;INT(G8)&amp;"x")</f>
        <v>12x L dans le sens LP; 11x</v>
      </c>
      <c r="N3" s="19" t="str">
        <f>IF((F7-INT(F7))*F6&gt;=G6,INT(F8)&amp;"x"&amp;INT((F7-INT(F7))*F6/G6),"")</f>
        <v/>
      </c>
      <c r="O3" s="19" t="str">
        <f>IF((F7-INT(F7))*F6&gt;=G6,P3*INT($H$9),"")</f>
        <v/>
      </c>
      <c r="P3" s="19" t="str">
        <f>IF((F7-INT(F7))*F6&gt;=G6,L3+(INT(F8)*INT((F7-INT(F7))*F6/G6)),"")</f>
        <v/>
      </c>
      <c r="Q3" s="18">
        <f t="shared" ref="Q3:Q4" si="0">MAX(K3,O3)</f>
        <v>1980</v>
      </c>
      <c r="R3" s="19">
        <f>MAX(L3,P3)</f>
        <v>132</v>
      </c>
      <c r="S3" s="21">
        <f>($F$6*$G$6*R3)/($D$7*$D$8)</f>
        <v>0.96030000000000004</v>
      </c>
      <c r="T3" s="22">
        <f>INT(H9)*H6/$D$9</f>
        <v>0.99431818181818177</v>
      </c>
      <c r="U3" s="23">
        <v>0</v>
      </c>
      <c r="V3" s="23">
        <v>0</v>
      </c>
      <c r="W3" s="24" t="str">
        <f>CONCATENATE("sens LP; "&amp;U3&amp;"x L"&amp;" et "&amp;V3&amp;"x l")</f>
        <v>sens LP; 0x L et 0x l</v>
      </c>
      <c r="X3" s="25">
        <f>(U3*INT(G8)+V3*INT(F8))*INT(H9)</f>
        <v>0</v>
      </c>
      <c r="Y3" s="26">
        <f>X3/INT(H9)</f>
        <v>0</v>
      </c>
      <c r="Z3" s="27">
        <f>($F$6*U3+$G$6*V3)/D7</f>
        <v>0</v>
      </c>
      <c r="AA3" s="28">
        <f>((U3*F6*INT(G8)*G6)+(V3*G6*INT(F8)*F6))/(D7*D8)</f>
        <v>0</v>
      </c>
    </row>
    <row r="4" spans="2:29" ht="15" customHeight="1" thickBot="1" x14ac:dyDescent="0.3">
      <c r="C4" s="12" t="s">
        <v>28</v>
      </c>
      <c r="D4" s="16">
        <v>100</v>
      </c>
      <c r="F4" s="115" t="s">
        <v>79</v>
      </c>
      <c r="G4" s="116"/>
      <c r="H4" s="117"/>
      <c r="K4" s="18">
        <f>INT(G7)*INT(F8)*INT(H9)</f>
        <v>1920</v>
      </c>
      <c r="L4" s="19">
        <f>K4/INT(H9)</f>
        <v>128</v>
      </c>
      <c r="M4" s="20" t="str">
        <f>CONCATENATE(INT(G7)&amp;"x l dans le sens LP; "&amp;INT(F8)&amp;"x")</f>
        <v>16x l dans le sens LP; 8x</v>
      </c>
      <c r="N4" s="19" t="str">
        <f>IF((F8-INT(F8))*F6&gt;=G6,INT(F7)&amp;"x"&amp;INT((F8-INT(F8))*F6/G6),"")</f>
        <v/>
      </c>
      <c r="O4" s="19" t="str">
        <f>IF((F8-INT(F8))*F6&gt;=G6,P4*INT($H$9),"")</f>
        <v/>
      </c>
      <c r="P4" s="19" t="str">
        <f>IF((F8-INT(F8))*F6&gt;=G6,L4+(INT(F7)*INT((F8-INT(F8))*F6/G6)),"")</f>
        <v/>
      </c>
      <c r="Q4" s="18">
        <f t="shared" si="0"/>
        <v>1920</v>
      </c>
      <c r="R4" s="19">
        <f t="shared" ref="R4" si="1">MAX(L4,P4)</f>
        <v>128</v>
      </c>
      <c r="S4" s="21">
        <f>($F$6*$G$6*R4)/($D$7*$D$8)</f>
        <v>0.93120000000000003</v>
      </c>
      <c r="T4" s="22">
        <f>INT(H9)*H6/$D$9</f>
        <v>0.99431818181818177</v>
      </c>
      <c r="U4" s="23">
        <v>0</v>
      </c>
      <c r="V4" s="23">
        <v>0</v>
      </c>
      <c r="W4" s="29" t="str">
        <f>CONCATENATE("sens lP; "&amp;U4&amp;"x L"&amp;" et "&amp;V4&amp;"x l")</f>
        <v>sens lP; 0x L et 0x l</v>
      </c>
      <c r="X4" s="30">
        <f>(U4*INT(G7)+V4*INT(F7))*INT(H9)</f>
        <v>0</v>
      </c>
      <c r="Y4" s="31">
        <f>X4/INT(H9)</f>
        <v>0</v>
      </c>
      <c r="Z4" s="27">
        <f>($F$6*U4+$G$6*V4)/D8</f>
        <v>0</v>
      </c>
      <c r="AA4" s="28">
        <f>((U4*F6*INT(G7)*G6)+(V4*G6*INT(F7)*F6))/(D7*D8)</f>
        <v>0</v>
      </c>
    </row>
    <row r="5" spans="2:29" ht="15" customHeight="1" thickBot="1" x14ac:dyDescent="0.3">
      <c r="F5" s="32" t="s">
        <v>4</v>
      </c>
      <c r="G5" s="33" t="s">
        <v>5</v>
      </c>
      <c r="H5" s="34" t="s">
        <v>6</v>
      </c>
      <c r="K5" s="35"/>
      <c r="L5" s="36"/>
      <c r="M5" s="37" t="s">
        <v>75</v>
      </c>
      <c r="N5" s="38"/>
      <c r="O5" s="38"/>
      <c r="P5" s="38"/>
      <c r="Q5" s="39"/>
      <c r="R5" s="40"/>
      <c r="S5" s="40"/>
      <c r="T5" s="40"/>
      <c r="U5" s="41"/>
    </row>
    <row r="6" spans="2:29" ht="15" customHeight="1" thickBot="1" x14ac:dyDescent="0.3">
      <c r="B6" s="115" t="s">
        <v>54</v>
      </c>
      <c r="C6" s="116"/>
      <c r="D6" s="116"/>
      <c r="E6" s="117"/>
      <c r="F6" s="42">
        <f>VLOOKUP(LEFT($F$4,SEARCH("-",$F$4,1)-2),TableauCarton[],3,0)</f>
        <v>97</v>
      </c>
      <c r="G6" s="43">
        <f>VLOOKUP("*"&amp;LEFT($F$4,SEARCH("-",$F$4,1)-2)&amp;"*",TableauCarton[],4,0)</f>
        <v>72</v>
      </c>
      <c r="H6" s="44">
        <f>VLOOKUP("*"&amp;LEFT($F$4,SEARCH("-",$F$4,1)-2)&amp;"*",TableauCarton[],5,0)</f>
        <v>70</v>
      </c>
      <c r="K6" s="18">
        <f>IF(F6&gt;H6,INT(F7)*INT(G9)*INT(H8),INT(F8)*INT(G9)*INT(H7))</f>
        <v>1848</v>
      </c>
      <c r="L6" s="19">
        <f>K6/INT(G9)</f>
        <v>132</v>
      </c>
      <c r="M6" s="20" t="str">
        <f>IF(F6&gt;=H6,CONCATENATE("l sens HP; "&amp;INT(F7)&amp;"x L sens LP; "&amp;INT(H8)&amp;"x"),CONCATENATE("l sens HP; "&amp;INT(H7)&amp;"x L sens LP; "&amp;INT(F8)&amp;"x"))</f>
        <v>l sens HP; 12x L sens LP; 11x</v>
      </c>
      <c r="N6" s="19" t="str">
        <f>IF((F7-INT(F7))*F6&gt;=H6,INT(F8)&amp;"x"&amp;INT((F7-INT(F7))*F6/H6),IF((H7-INT(H7))*H6&gt;=F6,INT(H8)&amp;"x"&amp;INT((H7-INT(H7))*H6/F6),""))</f>
        <v/>
      </c>
      <c r="O6" s="19" t="str">
        <f>IF((F7-INT(F7))*F6&gt;=H6,P6*INT($G$9),IF((H7-INT(H7))*H6&gt;=F6,P6*INT($G$9),""))</f>
        <v/>
      </c>
      <c r="P6" s="19" t="str">
        <f>IF((F7-INT(F7))*F6&gt;=H6,L6+(INT(F8)*INT((F7-INT(F7))*F6/H6)),IF((H7-INT(H7))*H6&gt;=F6,L6+(INT(H8)*INT((H7-INT(H7))*H6/F6)),""))</f>
        <v/>
      </c>
      <c r="Q6" s="18">
        <f t="shared" ref="Q6:Q9" si="2">MAX(K6,O6)</f>
        <v>1848</v>
      </c>
      <c r="R6" s="19">
        <f>MAX(L6,P6)</f>
        <v>132</v>
      </c>
      <c r="S6" s="21">
        <f>($F$6*$H$6*R6)/($D$7*$D$8)</f>
        <v>0.93362500000000004</v>
      </c>
      <c r="T6" s="21">
        <f>INT(G9)*G6/$D$9</f>
        <v>0.95454545454545459</v>
      </c>
      <c r="U6" s="118" t="s">
        <v>80</v>
      </c>
      <c r="V6" s="118"/>
      <c r="W6" s="118"/>
      <c r="X6" s="118"/>
      <c r="Y6" s="118"/>
      <c r="Z6" s="118"/>
      <c r="AA6" s="118"/>
    </row>
    <row r="7" spans="2:29" ht="15" customHeight="1" thickBot="1" x14ac:dyDescent="0.3">
      <c r="B7" s="91" t="s">
        <v>0</v>
      </c>
      <c r="C7" s="45" t="s">
        <v>7</v>
      </c>
      <c r="D7" s="92">
        <f>VLOOKUP(LEFT($B$6,SEARCH("-",$B$6,1)-2),TableauPalette[],3,0)</f>
        <v>1200</v>
      </c>
      <c r="E7" s="93"/>
      <c r="F7" s="46">
        <f t="shared" ref="F7:H9" si="3">$D7/F$6</f>
        <v>12.371134020618557</v>
      </c>
      <c r="G7" s="46">
        <f t="shared" si="3"/>
        <v>16.666666666666668</v>
      </c>
      <c r="H7" s="47">
        <f t="shared" si="3"/>
        <v>17.142857142857142</v>
      </c>
      <c r="K7" s="18">
        <f>IF(F6&gt;H6,INT(H7)*INT(F8)*INT(G9),INT(H8)*INT(F7)*INT(G9))</f>
        <v>1904</v>
      </c>
      <c r="L7" s="19">
        <f>K7/INT(G9)</f>
        <v>136</v>
      </c>
      <c r="M7" s="20" t="str">
        <f>IF(F6&gt;=H6,CONCATENATE("l sens HP; "&amp;INT(H7)&amp;"x l sens LP; "&amp;INT(F8)&amp;"x"),CONCATENATE("l sens HP; "&amp;INT(F7)&amp;"x l sens LP; "&amp;INT(H8)&amp;"x"))</f>
        <v>l sens HP; 17x l sens LP; 8x</v>
      </c>
      <c r="N7" s="19" t="str">
        <f>IF((F8-INT(F8))*F6&gt;=H6,INT(F7)&amp;"x"&amp;INT((F8-INT(F8))*F6/H6),IF((H8-INT(H8))*H6&gt;=F6,INT(H7)&amp;"x"&amp;INT((H8-INT(H8))*H6/F6),""))</f>
        <v/>
      </c>
      <c r="O7" s="19" t="str">
        <f>IF((F8-INT(F8))*F6&gt;=H6,P7*INT($G$9),IF((H8-INT(H8))*H6&gt;=F6,P7*INT($G$9),""))</f>
        <v/>
      </c>
      <c r="P7" s="19" t="str">
        <f>IF((F8-INT(F8))*F6&gt;=H6,L7+(INT(F7)*INT((F8-INT(F8))*F6/H6)),IF((H8-INT(H8))*H6&gt;=F6,L7+(INT(H7)*INT((H8-INT(H8))*H6/F6)),""))</f>
        <v/>
      </c>
      <c r="Q7" s="18">
        <f t="shared" si="2"/>
        <v>1904</v>
      </c>
      <c r="R7" s="19">
        <f>MAX(L7,P7)</f>
        <v>136</v>
      </c>
      <c r="S7" s="21">
        <f>($F$6*$H$6*R7)/($D$7*$D$8)</f>
        <v>0.96191666666666664</v>
      </c>
      <c r="T7" s="21">
        <f>INT(G9)*G6/$D$9</f>
        <v>0.95454545454545459</v>
      </c>
      <c r="U7" s="118"/>
      <c r="V7" s="118"/>
      <c r="W7" s="118"/>
      <c r="X7" s="118"/>
      <c r="Y7" s="118"/>
      <c r="Z7" s="118"/>
      <c r="AA7" s="118"/>
    </row>
    <row r="8" spans="2:29" ht="15" customHeight="1" thickBot="1" x14ac:dyDescent="0.3">
      <c r="B8" s="91"/>
      <c r="C8" s="48" t="s">
        <v>8</v>
      </c>
      <c r="D8" s="94">
        <f>VLOOKUP(LEFT($B$6,SEARCH("-",$B$6,1)-2),TableauPalette[],4,0)</f>
        <v>800</v>
      </c>
      <c r="E8" s="95"/>
      <c r="F8" s="49">
        <f t="shared" si="3"/>
        <v>8.2474226804123703</v>
      </c>
      <c r="G8" s="49">
        <f t="shared" si="3"/>
        <v>11.111111111111111</v>
      </c>
      <c r="H8" s="50">
        <f t="shared" si="3"/>
        <v>11.428571428571429</v>
      </c>
      <c r="K8" s="18">
        <f>IF(G6&gt;H6,INT(G7)*INT(F9)*INT(H8),INT(G8)*INT(F9)*INT(H7))</f>
        <v>1760</v>
      </c>
      <c r="L8" s="19">
        <f>K8/INT(F9)</f>
        <v>176</v>
      </c>
      <c r="M8" s="20" t="str">
        <f>IF(G6&gt;=H6,CONCATENATE("L sens HP; "&amp;INT(G7)&amp;"x L sens LP; "&amp;INT(H8)&amp;"x"),CONCATENATE("L sens HP; "&amp;INT(H7)&amp;"x L sens LP; "&amp;INT(G8)&amp;"x"))</f>
        <v>L sens HP; 16x L sens LP; 11x</v>
      </c>
      <c r="N8" s="19" t="str">
        <f>IF((G7-INT(G7))*G6&gt;=H6,INT(G8)&amp;"x"&amp;INT((G7-INT(G7))*G6/H6),IF((H7-INT(H7))*H6&gt;=G6,INT(H8)&amp;"x"&amp;INT((H7-INT(H7))*H6/G6),""))</f>
        <v/>
      </c>
      <c r="O8" s="19" t="str">
        <f>IF((G7-INT(G7))*G6&gt;=H6,P8*INT($F$9),IF((H7-INT(H7))*H6&gt;=G6,P8*INT($F$9),""))</f>
        <v/>
      </c>
      <c r="P8" s="19" t="str">
        <f>IF((G7-INT(G7))*G6&gt;=H6,L8+(INT(G8)*INT((G7-INT(G7))*G6/H6)),IF((H7-INT(H7))*H6&gt;=G6,L8+(INT(H8)*INT((H7-INT(H7))*H6/G6)),""))</f>
        <v/>
      </c>
      <c r="Q8" s="18">
        <f t="shared" si="2"/>
        <v>1760</v>
      </c>
      <c r="R8" s="19">
        <f>MAX(L8,P8)</f>
        <v>176</v>
      </c>
      <c r="S8" s="21">
        <f>($G$6*$H$6*R8)/($D$7*$D$8)</f>
        <v>0.92400000000000004</v>
      </c>
      <c r="T8" s="21">
        <f>INT(F9)*F6/$D$9</f>
        <v>0.91856060606060608</v>
      </c>
      <c r="U8" s="118"/>
      <c r="V8" s="118"/>
      <c r="W8" s="118"/>
      <c r="X8" s="118"/>
      <c r="Y8" s="118"/>
      <c r="Z8" s="118"/>
      <c r="AA8" s="118"/>
    </row>
    <row r="9" spans="2:29" ht="15" customHeight="1" thickBot="1" x14ac:dyDescent="0.3">
      <c r="B9" s="91"/>
      <c r="C9" s="51" t="s">
        <v>72</v>
      </c>
      <c r="D9" s="94">
        <f>IF(D11="oui",D2-D10-144,D2-D10)</f>
        <v>1056</v>
      </c>
      <c r="E9" s="95"/>
      <c r="F9" s="52">
        <f t="shared" si="3"/>
        <v>10.88659793814433</v>
      </c>
      <c r="G9" s="53">
        <f t="shared" si="3"/>
        <v>14.666666666666666</v>
      </c>
      <c r="H9" s="54">
        <f t="shared" si="3"/>
        <v>15.085714285714285</v>
      </c>
      <c r="K9" s="18">
        <f>IF(G6&gt;H6,INT(H7)*INT(G8)*INT(F9),INT(H8)*INT(G7)*INT(F9))</f>
        <v>1870</v>
      </c>
      <c r="L9" s="19">
        <f>K9/INT(F9)</f>
        <v>187</v>
      </c>
      <c r="M9" s="20" t="str">
        <f>IF(G6&gt;=H6,CONCATENATE("L sens HP; "&amp;INT(H7)&amp;"x l sens LP; "&amp;INT(G8)&amp;"x"),CONCATENATE("L sens HP; "&amp;INT(G7)&amp;"x l sens LP; "&amp;INT(H8)&amp;"x"))</f>
        <v>L sens HP; 17x l sens LP; 11x</v>
      </c>
      <c r="N9" s="19" t="str">
        <f>IF((G8-INT(G8))*G6&gt;=H6,INT(G7)&amp;"x"&amp;INT((G8-INT(G8))*G6/H6),IF((H8-INT(H8))*H6&gt;=G6,INT(H7)&amp;"x"&amp;INT((H8-INT(H8))*H6/G6),""))</f>
        <v/>
      </c>
      <c r="O9" s="19" t="str">
        <f>IF((G8-INT(G8))*G6&gt;=H6,P9*INT($F$9),IF((H8-INT(H8))*H6&gt;=G6,P9*INT($F$9),""))</f>
        <v/>
      </c>
      <c r="P9" s="19" t="str">
        <f>IF((G8-INT(G8))*G6&gt;=H6,L9+(INT(G7)*INT((G8-INT(G8))*G6/H6)),IF((H8-INT(H8))*H6&gt;=G6,L9+(INT(H7)*INT((H8-INT(H8))*H6/G6)),""))</f>
        <v/>
      </c>
      <c r="Q9" s="18">
        <f t="shared" si="2"/>
        <v>1870</v>
      </c>
      <c r="R9" s="19">
        <f>MAX(L9,P9)</f>
        <v>187</v>
      </c>
      <c r="S9" s="21">
        <f>($G$6*$H$6*R9)/($D$7*$D$8)</f>
        <v>0.98175000000000001</v>
      </c>
      <c r="T9" s="21">
        <f>INT(F9)*F6/$D$9</f>
        <v>0.91856060606060608</v>
      </c>
      <c r="U9" s="55" t="s">
        <v>70</v>
      </c>
      <c r="V9" s="56"/>
      <c r="W9" s="56"/>
      <c r="X9" s="56"/>
      <c r="Y9" s="56"/>
      <c r="Z9" s="56"/>
      <c r="AA9" s="56"/>
    </row>
    <row r="10" spans="2:29" ht="15" customHeight="1" thickBot="1" x14ac:dyDescent="0.3">
      <c r="B10" s="91"/>
      <c r="C10" s="45" t="s">
        <v>71</v>
      </c>
      <c r="D10" s="92">
        <f>VLOOKUP(LEFT($B$6,SEARCH("-",$B$6,1)-2),TableauPalette[],5,0)</f>
        <v>144</v>
      </c>
      <c r="E10" s="93"/>
      <c r="K10" s="57"/>
      <c r="L10" s="57"/>
      <c r="U10" s="58" t="s">
        <v>69</v>
      </c>
      <c r="V10" s="56"/>
      <c r="W10" s="56"/>
      <c r="X10" s="56"/>
      <c r="Y10" s="56"/>
      <c r="Z10" s="56"/>
      <c r="AA10" s="56"/>
    </row>
    <row r="11" spans="2:29" ht="15" customHeight="1" thickBot="1" x14ac:dyDescent="0.3">
      <c r="B11" s="59"/>
      <c r="C11" s="12" t="s">
        <v>62</v>
      </c>
      <c r="D11" s="60" t="s">
        <v>3</v>
      </c>
      <c r="E11" s="61"/>
      <c r="K11" s="57"/>
      <c r="L11" s="57"/>
      <c r="M11" s="15"/>
      <c r="N11" s="15"/>
      <c r="U11" s="58" t="s">
        <v>61</v>
      </c>
      <c r="V11" s="56"/>
      <c r="W11" s="56"/>
      <c r="X11" s="56"/>
      <c r="Y11" s="56"/>
      <c r="Z11" s="56"/>
      <c r="AA11" s="56"/>
    </row>
    <row r="12" spans="2:29" ht="6.15" customHeight="1" x14ac:dyDescent="0.25">
      <c r="B12" s="59"/>
      <c r="C12" s="12"/>
      <c r="D12" s="62"/>
      <c r="E12" s="61"/>
      <c r="K12" s="57"/>
      <c r="L12" s="57"/>
      <c r="M12" s="15"/>
      <c r="N12" s="15"/>
      <c r="U12" s="63"/>
      <c r="V12" s="56"/>
      <c r="W12" s="56"/>
      <c r="X12" s="56"/>
      <c r="Y12" s="56"/>
      <c r="Z12" s="56"/>
      <c r="AA12" s="56"/>
    </row>
    <row r="13" spans="2:29" ht="15" customHeight="1" x14ac:dyDescent="0.25">
      <c r="B13" s="59"/>
      <c r="C13" s="64"/>
      <c r="D13" s="65" t="str">
        <f>IF(AND(D11="oui",OR(D7=1200,D7=1000)),"Combinaison incohérente","")</f>
        <v/>
      </c>
      <c r="E13" s="66"/>
      <c r="F13" s="67"/>
      <c r="G13" s="68" t="s">
        <v>20</v>
      </c>
      <c r="H13" s="69">
        <f>IF(D1="non",MAX(Q3:Q4,X3:X4),MAX(Q3:Q9,X3:X4))</f>
        <v>1980</v>
      </c>
      <c r="I13" s="70"/>
      <c r="J13" s="70"/>
      <c r="K13" s="57"/>
      <c r="L13" s="57"/>
      <c r="M13" s="71"/>
      <c r="N13" s="71"/>
      <c r="U13" s="72" t="s">
        <v>68</v>
      </c>
      <c r="V13" s="56"/>
      <c r="W13" s="56"/>
      <c r="X13" s="56"/>
      <c r="Y13" s="56"/>
      <c r="Z13" s="56"/>
      <c r="AA13" s="56"/>
    </row>
    <row r="14" spans="2:29" ht="15" customHeight="1" x14ac:dyDescent="0.25">
      <c r="B14" s="59"/>
      <c r="C14" s="64"/>
      <c r="D14" s="73"/>
      <c r="E14" s="66"/>
      <c r="F14" s="67"/>
      <c r="G14" s="74" t="s">
        <v>29</v>
      </c>
      <c r="H14" s="75">
        <f>VLOOKUP(LEFT($B$6,SEARCH("-",$B$6,1)-2),'BD UM_UC'!$A$4:$H$8,6,0)+H13*$D$3</f>
        <v>817</v>
      </c>
      <c r="I14" s="76" t="str">
        <f>IF(H15&gt;0,"","=&gt;")</f>
        <v/>
      </c>
      <c r="J14" s="77" t="str">
        <f>IFERROR(IF(H15&gt;0,"",H13*$D$4),"")</f>
        <v/>
      </c>
      <c r="K14" s="57"/>
      <c r="L14" s="57"/>
      <c r="M14" s="71"/>
      <c r="N14" s="71"/>
      <c r="U14" s="72" t="s">
        <v>77</v>
      </c>
      <c r="V14" s="56"/>
      <c r="W14" s="56"/>
      <c r="X14" s="56"/>
      <c r="Y14" s="56"/>
      <c r="Z14" s="56"/>
      <c r="AA14" s="56"/>
    </row>
    <row r="15" spans="2:29" ht="15" customHeight="1" x14ac:dyDescent="0.25">
      <c r="C15" s="67"/>
      <c r="D15" s="67"/>
      <c r="E15" s="67"/>
      <c r="F15" s="67"/>
      <c r="G15" s="74" t="s">
        <v>17</v>
      </c>
      <c r="H15" s="75">
        <f>IF(H14&gt;VLOOKUP(LEFT($B$6,SEARCH("-",$B$6,1)-2),'BD UM_UC'!$A$4:$H$8,7,0),H14-VLOOKUP(LEFT($B$6,SEARCH("-",$B$6,1)-2),'BD UM_UC'!$A$4:$H$8,7,0),0)</f>
        <v>67</v>
      </c>
      <c r="I15" s="76" t="str">
        <f>IF($H$15&gt;0,"=&gt;","")</f>
        <v>=&gt;</v>
      </c>
      <c r="J15" s="78">
        <f>IF(H15=0,"",IFERROR($H$15/$D$3,""))</f>
        <v>167.5</v>
      </c>
      <c r="K15" s="57"/>
      <c r="L15" s="57"/>
      <c r="U15" s="56"/>
      <c r="V15" s="56"/>
      <c r="W15" s="56"/>
      <c r="X15" s="56"/>
      <c r="Y15" s="56"/>
      <c r="Z15" s="56"/>
      <c r="AA15" s="56"/>
    </row>
    <row r="16" spans="2:29" ht="15" customHeight="1" x14ac:dyDescent="0.25">
      <c r="C16" s="67"/>
      <c r="D16" s="67"/>
      <c r="E16" s="67"/>
      <c r="F16" s="67"/>
      <c r="G16" s="64" t="s">
        <v>48</v>
      </c>
      <c r="H16" s="79">
        <f>IF($D$1="non",VLOOKUP(MAX(_xlfn.VSTACK($Q$3:$Q$4,$X$3:$X$4)),_xlfn.VSTACK($Q$3:$R$4,$X$3:$Y$4),2,0),VLOOKUP(MAX(_xlfn.VSTACK($Q$3:$Q$9,$X$3:$X$4)),_xlfn.VSTACK($Q$3:$R$9,$X$3:$Y$4),2,0))</f>
        <v>132</v>
      </c>
      <c r="I16" s="80" t="str">
        <f>IF($H$15&gt;0,"","=&gt;")</f>
        <v/>
      </c>
      <c r="J16" s="81" t="str">
        <f>IF(OR(H15&gt;0,D4=""),"",H16*$D$4)</f>
        <v/>
      </c>
      <c r="U16" s="82"/>
      <c r="V16" s="56"/>
      <c r="W16" s="56"/>
      <c r="X16" s="56"/>
      <c r="Y16" s="56"/>
      <c r="Z16" s="56"/>
      <c r="AA16" s="56"/>
    </row>
    <row r="17" spans="3:27" ht="15" customHeight="1" x14ac:dyDescent="0.25">
      <c r="C17" s="67"/>
      <c r="D17" s="67"/>
      <c r="E17" s="67"/>
      <c r="F17" s="67"/>
      <c r="G17" s="64" t="s">
        <v>18</v>
      </c>
      <c r="H17" s="83">
        <f>IF( $D$1="non",H13/VLOOKUP($H$13,_xlfn.VSTACK($Q$3:$R$4,$X$3:$Y$4),2,0),H13/VLOOKUP($H$13,_xlfn.VSTACK($Q$3:$R$9,$X$3:$Y$4),2,0))</f>
        <v>15</v>
      </c>
      <c r="I17" s="67"/>
      <c r="J17" s="67"/>
      <c r="U17" s="56"/>
      <c r="V17" s="56"/>
      <c r="W17" s="56"/>
      <c r="X17" s="56"/>
      <c r="Y17" s="56"/>
      <c r="Z17" s="56"/>
      <c r="AA17" s="56"/>
    </row>
    <row r="18" spans="3:27" ht="15" customHeight="1" x14ac:dyDescent="0.25">
      <c r="C18" s="67"/>
      <c r="D18" s="67"/>
      <c r="E18" s="67"/>
      <c r="F18" s="67"/>
      <c r="G18" s="74" t="s">
        <v>25</v>
      </c>
      <c r="H18" s="66">
        <f>D10+(H17*IF($D$1="non",$H$6,IF(AND(1&lt;=MATCH(MAX($Q3:$Q$9),$Q$3:$Q$9,0),MATCH(MAX($Q3:$Q$9),$Q$3:$Q$9,0)&lt;=2),$H$6,IF(AND(3&lt;=MATCH(MAX($Q3:$Q$9),$Q$3:$Q$9,0),MATCH(MAX($Q3:$Q$9),$Q$3:$Q$9,0)&lt;=4),$G$6,$F$6))))</f>
        <v>1194</v>
      </c>
      <c r="I18" s="67"/>
      <c r="J18" s="67"/>
      <c r="U18" s="56"/>
      <c r="V18" s="56"/>
      <c r="W18" s="56"/>
      <c r="X18" s="56"/>
      <c r="Y18" s="56"/>
      <c r="Z18" s="56"/>
      <c r="AA18" s="56"/>
    </row>
    <row r="19" spans="3:27" ht="15" customHeight="1" x14ac:dyDescent="0.25">
      <c r="C19" s="67"/>
      <c r="D19" s="67"/>
      <c r="E19" s="67"/>
      <c r="F19" s="67"/>
      <c r="G19" s="74" t="s">
        <v>16</v>
      </c>
      <c r="H19" s="84">
        <f>($F$6*$G$6*$H$6)*H13/($D$7*$D$8*($D$2-$D$10))</f>
        <v>0.95484374999999999</v>
      </c>
      <c r="I19" s="67"/>
      <c r="J19" s="85"/>
    </row>
    <row r="20" spans="3:27" ht="6.6" customHeight="1" x14ac:dyDescent="0.25"/>
    <row r="21" spans="3:27" ht="15" customHeight="1" x14ac:dyDescent="0.25">
      <c r="C21" s="67"/>
      <c r="D21" s="67"/>
      <c r="E21" s="67"/>
      <c r="F21" s="67"/>
      <c r="G21" s="68" t="s">
        <v>19</v>
      </c>
      <c r="H21" s="66">
        <f>IF($H$15=0,"",$H$13-ROUNDUP($J$15,0))</f>
        <v>1812</v>
      </c>
      <c r="I21" s="76"/>
      <c r="J21" s="86">
        <f>IFERROR(H21-$H$13,"")</f>
        <v>-168</v>
      </c>
      <c r="M21" s="11" t="b">
        <f>_xlfn.LET(_xlpm.posmaxnon,MATCH(MAX(_xlfn.VSTACK($Q3:$Q$9,$X$3:$X$4)),_xlfn.VSTACK($Q$3:$Q$9,$X$3:$X$4),0),OR(_xlpm.posmaxnon=1,_xlpm.posmaxnon=2,_xlpm.posmaxnon=8,_xlpm.posmaxnon=9))</f>
        <v>1</v>
      </c>
    </row>
    <row r="22" spans="3:27" ht="15" customHeight="1" x14ac:dyDescent="0.25">
      <c r="C22" s="67"/>
      <c r="D22" s="67"/>
      <c r="E22" s="67"/>
      <c r="F22" s="67"/>
      <c r="G22" s="74" t="s">
        <v>29</v>
      </c>
      <c r="H22" s="75">
        <f>IF(H15=0,"",VLOOKUP(LEFT($B$6,SEARCH("-",$B$6,1)-2),'BD UM_UC'!$A$4:$H$9,6,0)+$H$21*$D$3)</f>
        <v>749.80000000000007</v>
      </c>
      <c r="I22" s="87" t="str">
        <f>IF($H$15=0,"","=&gt;")</f>
        <v>=&gt;</v>
      </c>
      <c r="J22" s="77">
        <f>IF(H15=0,"",H21*$D$4)</f>
        <v>181200</v>
      </c>
      <c r="M22" s="11" t="b">
        <f>_xlfn.LET(_xlpm.posmaxnon,MATCH(MAX(_xlfn.VSTACK($Q3:$Q$9,$X$3:$X$4)),_xlfn.VSTACK($Q$3:$Q$9,$X$3:$X$4),0),OR(_xlpm.posmaxnon=4,_xlpm.posmaxnon=5))</f>
        <v>0</v>
      </c>
    </row>
    <row r="23" spans="3:27" ht="15" customHeight="1" x14ac:dyDescent="0.25">
      <c r="C23" s="67"/>
      <c r="D23" s="67"/>
      <c r="E23" s="67"/>
      <c r="F23" s="67"/>
      <c r="G23" s="64" t="s">
        <v>48</v>
      </c>
      <c r="H23" s="79">
        <f>IF(H15=0,"",IF($D$1="non",VLOOKUP(MAX(_xlfn.VSTACK($Q$3:$Q$4,$X$3:$X$4)),_xlfn.VSTACK($Q$3:$R$4,$X$3:$Y$4),2,0),VLOOKUP(MAX(_xlfn.VSTACK($Q$3:$Q$9,$X$3:$X$4)),_xlfn.VSTACK($Q$3:$R$9,$X$3:$Y$4),2,0)))</f>
        <v>132</v>
      </c>
      <c r="I23" s="87" t="str">
        <f>IF($H$15=0,"","=&gt;")</f>
        <v>=&gt;</v>
      </c>
      <c r="J23" s="88">
        <f>IF(H15=0,"",H23*$D$4)</f>
        <v>13200</v>
      </c>
    </row>
    <row r="24" spans="3:27" ht="15" customHeight="1" x14ac:dyDescent="0.25">
      <c r="C24" s="67"/>
      <c r="D24" s="67"/>
      <c r="E24" s="67"/>
      <c r="F24" s="67"/>
      <c r="G24" s="64" t="s">
        <v>18</v>
      </c>
      <c r="H24" s="83">
        <f>IF(H15=0,"",IF( $D$1="non",H21/VLOOKUP($H$13,_xlfn.VSTACK($Q$3:$R$4,$X$3:$Y$4),2,0),H21/VLOOKUP($H$13,_xlfn.VSTACK($Q$3:$R$9,$X$3:$Y$4),2,0)))</f>
        <v>13.727272727272727</v>
      </c>
      <c r="I24" s="67"/>
      <c r="J24" s="67"/>
    </row>
    <row r="25" spans="3:27" ht="15" customHeight="1" x14ac:dyDescent="0.25">
      <c r="C25" s="67"/>
      <c r="D25" s="67"/>
      <c r="E25" s="67"/>
      <c r="F25" s="67"/>
      <c r="G25" s="74" t="s">
        <v>25</v>
      </c>
      <c r="H25" s="66">
        <f>IF(H15=0,"",D10+(ROUNDUP(H24,0)*IF($D$1="non",$H$6,IF(AND(1&lt;=MATCH(MAX($Q3:$Q$9),$Q$3:$Q$9,0),MATCH(MAX($Q3:$Q$9),$Q$3:$Q$9,0)&lt;=2),$H$6,IF(AND(3&lt;=MATCH(MAX($Q3:$Q$9),$Q$3:$Q$9,0),MATCH(MAX($Q3:$Q$9),$Q$3:$Q$9,0)&lt;=4),$G$6,$F$6)))))</f>
        <v>1124</v>
      </c>
      <c r="I25" s="67"/>
      <c r="J25" s="67"/>
    </row>
    <row r="26" spans="3:27" ht="15" customHeight="1" x14ac:dyDescent="0.25">
      <c r="C26" s="67"/>
      <c r="D26" s="67"/>
      <c r="E26" s="67"/>
      <c r="F26" s="67"/>
      <c r="G26" s="74" t="s">
        <v>16</v>
      </c>
      <c r="H26" s="84">
        <f>IF($H$21="","",($F$6*$G$6*$H$6)*H21/($D$7*$D$8*($D$2-$D$10)))</f>
        <v>0.87382670454545452</v>
      </c>
      <c r="I26" s="67"/>
      <c r="J26" s="85"/>
    </row>
    <row r="27" spans="3:27" ht="6.6" customHeight="1" x14ac:dyDescent="0.25">
      <c r="G27" s="89"/>
      <c r="H27" s="90"/>
    </row>
    <row r="28" spans="3:27" ht="15" customHeight="1" x14ac:dyDescent="0.25">
      <c r="C28" s="67"/>
      <c r="D28" s="67"/>
      <c r="E28" s="67"/>
      <c r="F28" s="67"/>
      <c r="G28" s="68" t="s">
        <v>24</v>
      </c>
      <c r="H28" s="66">
        <f>IFERROR(IF(OR(H15=0,INT(H24)=H24),"",$H$13-ROUNDUP(J15/H30,0)*H30),"")</f>
        <v>1716</v>
      </c>
      <c r="I28" s="76"/>
      <c r="J28" s="86">
        <f>IFERROR(H28-$H$13,"")</f>
        <v>-264</v>
      </c>
    </row>
    <row r="29" spans="3:27" ht="15" customHeight="1" x14ac:dyDescent="0.25">
      <c r="C29" s="67"/>
      <c r="D29" s="67"/>
      <c r="E29" s="67"/>
      <c r="F29" s="67"/>
      <c r="G29" s="74" t="s">
        <v>29</v>
      </c>
      <c r="H29" s="75">
        <f>IFERROR(IF(OR(H15=0,INT(H24)=H24),"",VLOOKUP(LEFT($B$6,SEARCH("-",$B$6,1)-2),'BD UM_UC'!$A$4:$H$9,6,0)+$H$28*$D$3),"")</f>
        <v>711.40000000000009</v>
      </c>
      <c r="I29" s="87" t="str">
        <f>IFERROR(IF(OR(H15=0,INT(H24)=H24),"","=&gt;"),"")</f>
        <v>=&gt;</v>
      </c>
      <c r="J29" s="77">
        <f>IFERROR(IF(H15=0,"",H28*$D$4),"")</f>
        <v>171600</v>
      </c>
    </row>
    <row r="30" spans="3:27" ht="15" customHeight="1" x14ac:dyDescent="0.25">
      <c r="C30" s="67"/>
      <c r="D30" s="67"/>
      <c r="E30" s="67"/>
      <c r="F30" s="67"/>
      <c r="G30" s="64" t="s">
        <v>48</v>
      </c>
      <c r="H30" s="79">
        <f>IFERROR(IF(OR(H15=0,INT(H24)=H24),"",IF($D$1="non",VLOOKUP(MAX(_xlfn.VSTACK($Q$3:$Q$4,$X$3:$X$4)),_xlfn.VSTACK($Q$3:$R$4,$X$3:$Y$4),2,0),VLOOKUP(MAX(_xlfn.VSTACK($Q$3:$Q$9,$X$3:$X$4)),_xlfn.VSTACK($Q$3:$R$9,$X$3:$Y$4),2,0))),"")</f>
        <v>132</v>
      </c>
      <c r="I30" s="87" t="str">
        <f>IFERROR(IF(OR(H15=0,INT(H24)=H24),"","=&gt;"),"")</f>
        <v>=&gt;</v>
      </c>
      <c r="J30" s="88">
        <f>IF(H15=0,"",H30*$D$4)</f>
        <v>13200</v>
      </c>
    </row>
    <row r="31" spans="3:27" ht="15" customHeight="1" x14ac:dyDescent="0.25">
      <c r="C31" s="67"/>
      <c r="D31" s="67"/>
      <c r="E31" s="67"/>
      <c r="F31" s="67"/>
      <c r="G31" s="64" t="s">
        <v>18</v>
      </c>
      <c r="H31" s="83">
        <f>IFERROR(IF(OR(H15=0,INT(H24)=H24),"",IF( $D$1="non",H28/VLOOKUP($H$13,_xlfn.VSTACK($Q$3:$R$4,$X$3:$Y$4),2,0),H28/VLOOKUP($H$13,_xlfn.VSTACK($Q$3:$R$9,$X$3:$Y$4),2,0))),"")</f>
        <v>13</v>
      </c>
      <c r="I31" s="67"/>
      <c r="J31" s="67"/>
    </row>
    <row r="32" spans="3:27" ht="15" customHeight="1" x14ac:dyDescent="0.25">
      <c r="C32" s="67"/>
      <c r="D32" s="67"/>
      <c r="E32" s="67"/>
      <c r="F32" s="67"/>
      <c r="G32" s="74" t="s">
        <v>25</v>
      </c>
      <c r="H32" s="66">
        <f>IFERROR(IF(OR(H15=0,INT(H24)=H24),"",D10+(H31*IF($D$1="non",$H$6,IF(AND(1&lt;=MATCH(MAX($Q3:$Q$9),$Q$3:$Q$9,0),MATCH(MAX($Q3:$Q$9),$Q$3:$Q$9,0)&lt;=2),$H$6,IF(AND(3&lt;=MATCH(MAX($Q3:$Q$9),$Q$3:$Q$9,0),MATCH(MAX($Q3:$Q$9),$Q$3:$Q$9,0)&lt;=4),$G$6,$F$6))))),"")</f>
        <v>1054</v>
      </c>
      <c r="I32" s="67"/>
      <c r="J32" s="67"/>
    </row>
    <row r="33" spans="3:10" ht="15" customHeight="1" x14ac:dyDescent="0.25">
      <c r="C33" s="67"/>
      <c r="D33" s="67"/>
      <c r="E33" s="67"/>
      <c r="F33" s="67"/>
      <c r="G33" s="74" t="s">
        <v>16</v>
      </c>
      <c r="H33" s="84">
        <f>IF($H$28="","",($F$6*$G$6*$H$6)*H28/($D$7*$D$8*($D$2-$D$10)))</f>
        <v>0.82753125000000005</v>
      </c>
      <c r="I33" s="67"/>
      <c r="J33" s="85"/>
    </row>
  </sheetData>
  <scenarios current="1" show="1">
    <scenario name="rangement à plat; larg sens LP" count="2" user="FRBATGAB" comment="Créé par FRBATGAB le 10/2/2024_x000a_Modifié par: FRBATGAB le 02/10/2024">
      <inputCells r="U4" val="9"/>
      <inputCells r="V4" val="0"/>
    </scenario>
    <scenario name="rangement à plat; Long sens LP" count="2" user="FRBATGAB" comment="Créé par FRBATGAB le 10/2/2024_x000a_Modifié par: FRBATGAB le 02/10/2024">
      <inputCells r="U3" val="3"/>
      <inputCells r="V3" val="13"/>
    </scenario>
  </scenarios>
  <mergeCells count="26">
    <mergeCell ref="U6:AA8"/>
    <mergeCell ref="F3:H3"/>
    <mergeCell ref="F4:H4"/>
    <mergeCell ref="P1:P2"/>
    <mergeCell ref="Q1:Q2"/>
    <mergeCell ref="S1:S2"/>
    <mergeCell ref="AA1:AA2"/>
    <mergeCell ref="Z1:Z2"/>
    <mergeCell ref="U1:U2"/>
    <mergeCell ref="V1:V2"/>
    <mergeCell ref="X1:X2"/>
    <mergeCell ref="Y1:Y2"/>
    <mergeCell ref="W1:W2"/>
    <mergeCell ref="T1:T2"/>
    <mergeCell ref="B7:B10"/>
    <mergeCell ref="D7:E7"/>
    <mergeCell ref="D8:E8"/>
    <mergeCell ref="D9:E9"/>
    <mergeCell ref="R1:R2"/>
    <mergeCell ref="K1:K2"/>
    <mergeCell ref="L1:L2"/>
    <mergeCell ref="M1:M2"/>
    <mergeCell ref="N1:N2"/>
    <mergeCell ref="O1:O2"/>
    <mergeCell ref="D10:E10"/>
    <mergeCell ref="B6:E6"/>
  </mergeCells>
  <conditionalFormatting sqref="C21:J26">
    <cfRule type="expression" dxfId="23" priority="3">
      <formula>$H$15=0</formula>
    </cfRule>
  </conditionalFormatting>
  <conditionalFormatting sqref="C28:J33">
    <cfRule type="expression" dxfId="22" priority="2">
      <formula>IFERROR(OR($H$15=0,INT($H$24)=$H$24),1)</formula>
    </cfRule>
  </conditionalFormatting>
  <conditionalFormatting sqref="F7 G9">
    <cfRule type="expression" dxfId="21" priority="87">
      <formula>IF($D$1="oui",MAX($Q$3:$Q$9)=$Q$6)</formula>
    </cfRule>
  </conditionalFormatting>
  <conditionalFormatting sqref="F7">
    <cfRule type="expression" dxfId="20" priority="21">
      <formula>IF($D$1="non",MAX($Q$3:$Q$4)=Q3,MAX($Q$3:$Q$9)=Q3)</formula>
    </cfRule>
  </conditionalFormatting>
  <conditionalFormatting sqref="G7 F9">
    <cfRule type="expression" dxfId="19" priority="89">
      <formula>IF($D$1="oui",MAX($Q$3:$Q$9)=$Q$8)</formula>
    </cfRule>
  </conditionalFormatting>
  <conditionalFormatting sqref="G7">
    <cfRule type="expression" dxfId="18" priority="32">
      <formula>IF($D$1="non",MAX($Q$3:$Q$4)=Q4,MAX($Q$3:$Q$9)=Q4)</formula>
    </cfRule>
  </conditionalFormatting>
  <conditionalFormatting sqref="H7 F9">
    <cfRule type="expression" dxfId="17" priority="91">
      <formula>IF($D$1="oui",MAX($Q$3:$Q$9)=$Q$9)</formula>
    </cfRule>
  </conditionalFormatting>
  <conditionalFormatting sqref="H7 G9">
    <cfRule type="expression" dxfId="16" priority="88">
      <formula>IF($D$1="oui",MAX($Q$3:$Q$9)=$Q$7)</formula>
    </cfRule>
  </conditionalFormatting>
  <conditionalFormatting sqref="H13 H18">
    <cfRule type="expression" dxfId="15" priority="95">
      <formula>$H$15&gt;0</formula>
    </cfRule>
  </conditionalFormatting>
  <conditionalFormatting sqref="H13">
    <cfRule type="expression" dxfId="14" priority="93">
      <formula>$H$15&lt;=0</formula>
    </cfRule>
  </conditionalFormatting>
  <conditionalFormatting sqref="H15">
    <cfRule type="expression" dxfId="13" priority="8">
      <formula>$H$15&gt;0</formula>
    </cfRule>
  </conditionalFormatting>
  <conditionalFormatting sqref="H21">
    <cfRule type="expression" dxfId="12" priority="96">
      <formula>OR(H15&gt;0,INT(H24)=H24)</formula>
    </cfRule>
  </conditionalFormatting>
  <conditionalFormatting sqref="H28">
    <cfRule type="expression" dxfId="11" priority="9">
      <formula>OR(H26&gt;0,INT(H31)=H31)</formula>
    </cfRule>
  </conditionalFormatting>
  <conditionalFormatting sqref="K3:T4">
    <cfRule type="expression" dxfId="10" priority="102">
      <formula>AND($D$1="non",MAX(_xlfn.VSTACK($Q$3:$Q$4,$X$3:$X$4))=$Q3)</formula>
    </cfRule>
  </conditionalFormatting>
  <conditionalFormatting sqref="K3:T9">
    <cfRule type="expression" dxfId="9" priority="98">
      <formula>AND($D$1="oui",MAX(_xlfn.VSTACK($Q$3:$Q$9,$X$3:$X$4))=$Q3)</formula>
    </cfRule>
  </conditionalFormatting>
  <conditionalFormatting sqref="K5:T9">
    <cfRule type="expression" dxfId="8" priority="6">
      <formula>$D$1="non"</formula>
    </cfRule>
  </conditionalFormatting>
  <conditionalFormatting sqref="U3:AA4">
    <cfRule type="expression" dxfId="7" priority="99">
      <formula>AND($D$1="oui",MAX(_xlfn.VSTACK($Q$3:$Q$9,$X$3:$X$4))=$X3)</formula>
    </cfRule>
    <cfRule type="expression" dxfId="6" priority="104">
      <formula>AND($D$1="non",MAX(_xlfn.VSTACK($Q$3:$Q$4,$X$3:$X$4))=$X3)</formula>
    </cfRule>
  </conditionalFormatting>
  <dataValidations count="3">
    <dataValidation type="list" allowBlank="1" showInputMessage="1" showErrorMessage="1" sqref="F4:H4" xr:uid="{00000000-0002-0000-0000-000000000000}">
      <formula1>ListeCartons</formula1>
    </dataValidation>
    <dataValidation type="list" allowBlank="1" showInputMessage="1" showErrorMessage="1" sqref="B6" xr:uid="{00000000-0002-0000-0000-000001000000}">
      <formula1>ListePalettes</formula1>
    </dataValidation>
    <dataValidation type="list" allowBlank="1" showInputMessage="1" showErrorMessage="1" sqref="D1 D11" xr:uid="{00000000-0002-0000-0000-000002000000}">
      <formula1>$AC$1:$AC$2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odule1.SOLVEUR_sens_LP">
                <anchor moveWithCells="1" sizeWithCells="1">
                  <from>
                    <xdr:col>23</xdr:col>
                    <xdr:colOff>0</xdr:colOff>
                    <xdr:row>10</xdr:row>
                    <xdr:rowOff>129540</xdr:rowOff>
                  </from>
                  <to>
                    <xdr:col>24</xdr:col>
                    <xdr:colOff>259080</xdr:colOff>
                    <xdr:row>14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Module2.SOLVEUR_sens_lP">
                <anchor moveWithCells="1" sizeWithCells="1">
                  <from>
                    <xdr:col>23</xdr:col>
                    <xdr:colOff>0</xdr:colOff>
                    <xdr:row>14</xdr:row>
                    <xdr:rowOff>152400</xdr:rowOff>
                  </from>
                  <to>
                    <xdr:col>24</xdr:col>
                    <xdr:colOff>259080</xdr:colOff>
                    <xdr:row>17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47CAC3-D131-4005-A5E7-9DE203E9326E}">
  <sheetPr codeName="Blad1"/>
  <dimension ref="A1:L15"/>
  <sheetViews>
    <sheetView workbookViewId="0">
      <selection activeCell="A3" sqref="A3"/>
    </sheetView>
  </sheetViews>
  <sheetFormatPr defaultRowHeight="13.2" x14ac:dyDescent="0.25"/>
  <cols>
    <col min="1" max="1" width="11.77734375" customWidth="1"/>
    <col min="2" max="2" width="36.44140625" bestFit="1" customWidth="1"/>
    <col min="3" max="3" width="5.44140625" bestFit="1" customWidth="1"/>
    <col min="4" max="4" width="4.33203125" bestFit="1" customWidth="1"/>
    <col min="5" max="5" width="5.44140625" bestFit="1" customWidth="1"/>
    <col min="6" max="6" width="11.33203125" customWidth="1"/>
    <col min="7" max="7" width="10.21875" style="122" bestFit="1" customWidth="1"/>
    <col min="8" max="8" width="5" style="122" bestFit="1" customWidth="1"/>
    <col min="9" max="9" width="8.88671875" style="122" bestFit="1" customWidth="1"/>
    <col min="10" max="10" width="8.21875" style="122" bestFit="1" customWidth="1"/>
    <col min="11" max="11" width="12" style="122" bestFit="1" customWidth="1"/>
    <col min="12" max="12" width="5.6640625" style="122" bestFit="1" customWidth="1"/>
    <col min="13" max="29" width="0" hidden="1" customWidth="1"/>
    <col min="31" max="32" width="4" bestFit="1" customWidth="1"/>
    <col min="33" max="33" width="5.109375" customWidth="1"/>
    <col min="34" max="36" width="5.21875" customWidth="1"/>
    <col min="37" max="37" width="8.77734375" customWidth="1"/>
    <col min="38" max="38" width="8.21875" customWidth="1"/>
    <col min="39" max="39" width="11.33203125" customWidth="1"/>
    <col min="40" max="40" width="11.77734375" customWidth="1"/>
  </cols>
  <sheetData>
    <row r="1" spans="1:12" ht="13.8" thickBot="1" x14ac:dyDescent="0.3"/>
    <row r="2" spans="1:12" ht="13.8" x14ac:dyDescent="0.25">
      <c r="A2" s="129" t="s">
        <v>49</v>
      </c>
      <c r="B2" s="130" t="str">
        <f>VLOOKUP($A2,TableauPalette[],COLUMN(),0)</f>
        <v>EPAL1 F -Europalette 1200x800x144</v>
      </c>
      <c r="C2" s="130">
        <f>VLOOKUP($A2,TableauPalette[],COLUMN(),0)</f>
        <v>1200</v>
      </c>
      <c r="D2" s="130">
        <f>VLOOKUP($A2,TableauPalette[],COLUMN(),0)</f>
        <v>800</v>
      </c>
      <c r="E2" s="131">
        <f>1200-VLOOKUP($A2,TableauPalette[],COLUMN(),0)</f>
        <v>1056</v>
      </c>
    </row>
    <row r="3" spans="1:12" ht="14.4" thickBot="1" x14ac:dyDescent="0.3">
      <c r="A3" s="132" t="s">
        <v>44</v>
      </c>
      <c r="B3" s="133" t="str">
        <f>VLOOKUP($A3,TableauCarton[],COLUMN(),0)</f>
        <v>FST K4318/2 -329x204x94</v>
      </c>
      <c r="C3" s="133">
        <f>VLOOKUP($A3,TableauCarton[],COLUMN(),0)</f>
        <v>329</v>
      </c>
      <c r="D3" s="133">
        <f>VLOOKUP($A3,TableauCarton[],COLUMN(),0)</f>
        <v>204</v>
      </c>
      <c r="E3" s="134">
        <f>VLOOKUP($A3,TableauCarton[],COLUMN(),0)</f>
        <v>94</v>
      </c>
    </row>
    <row r="5" spans="1:12" x14ac:dyDescent="0.25">
      <c r="I5" s="139" t="s">
        <v>85</v>
      </c>
      <c r="J5" s="139" t="s">
        <v>86</v>
      </c>
      <c r="K5" s="139" t="s">
        <v>87</v>
      </c>
    </row>
    <row r="6" spans="1:12" x14ac:dyDescent="0.25">
      <c r="I6" s="139">
        <v>94</v>
      </c>
      <c r="J6" s="139">
        <v>204</v>
      </c>
      <c r="K6" s="139">
        <v>329</v>
      </c>
    </row>
    <row r="7" spans="1:12" x14ac:dyDescent="0.25">
      <c r="G7" s="139" t="s">
        <v>82</v>
      </c>
      <c r="H7" s="139">
        <v>1056</v>
      </c>
      <c r="I7" s="122">
        <f>+TRUNC($H7/I$6)</f>
        <v>11</v>
      </c>
      <c r="J7" s="122">
        <f t="shared" ref="J7" si="0">+TRUNC($H7/J$6)</f>
        <v>5</v>
      </c>
      <c r="L7" s="135">
        <f>+I11*I6+J11*J6</f>
        <v>1020</v>
      </c>
    </row>
    <row r="8" spans="1:12" x14ac:dyDescent="0.25">
      <c r="G8" s="139" t="s">
        <v>83</v>
      </c>
      <c r="H8" s="139">
        <v>800</v>
      </c>
      <c r="I8" s="122">
        <f>+TRUNC($H8/J6)</f>
        <v>3</v>
      </c>
      <c r="J8" s="122">
        <f>+TRUNC($H8/I6)</f>
        <v>8</v>
      </c>
    </row>
    <row r="9" spans="1:12" x14ac:dyDescent="0.25">
      <c r="G9" s="139" t="s">
        <v>84</v>
      </c>
      <c r="H9" s="139">
        <v>1200</v>
      </c>
      <c r="I9" s="122">
        <f>TRUNC($H$9/$K$6)</f>
        <v>3</v>
      </c>
      <c r="J9" s="122">
        <f>TRUNC($H$9/$K$6)</f>
        <v>3</v>
      </c>
    </row>
    <row r="11" spans="1:12" x14ac:dyDescent="0.25">
      <c r="I11" s="136">
        <v>0</v>
      </c>
      <c r="J11" s="136">
        <v>5</v>
      </c>
    </row>
    <row r="12" spans="1:12" ht="17.399999999999999" x14ac:dyDescent="0.3">
      <c r="I12" s="122">
        <f>+I11*I8</f>
        <v>0</v>
      </c>
      <c r="J12" s="122">
        <f>+J11*J8</f>
        <v>40</v>
      </c>
      <c r="K12" s="140">
        <f>SUM(I12:J12)</f>
        <v>40</v>
      </c>
    </row>
    <row r="13" spans="1:12" x14ac:dyDescent="0.25">
      <c r="K13" s="122">
        <f>+K12*I9</f>
        <v>120</v>
      </c>
    </row>
    <row r="15" spans="1:12" x14ac:dyDescent="0.25">
      <c r="I15" s="137">
        <f>+P1_*P2_</f>
        <v>844800</v>
      </c>
      <c r="J15" s="137">
        <f>+B1_*B2_*Resultat</f>
        <v>767040</v>
      </c>
      <c r="K15" s="138">
        <f>+J15/I15</f>
        <v>0.90795454545454546</v>
      </c>
    </row>
  </sheetData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B775FAB-DDB2-43E1-B1F4-089E491A49EF}">
          <x14:formula1>
            <xm:f>'BD UM_UC'!$A$4:$A$8</xm:f>
          </x14:formula1>
          <xm:sqref>A2</xm:sqref>
        </x14:dataValidation>
        <x14:dataValidation type="list" allowBlank="1" showInputMessage="1" showErrorMessage="1" xr:uid="{AD5C16A7-937F-4A71-BB15-8C4CD6DB0B4C}">
          <x14:formula1>
            <xm:f>'BD UM_UC'!$J$4:$J$23</xm:f>
          </x14:formula1>
          <xm:sqref>A3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4F3280-9A0C-4862-BB12-274F82F29A63}">
  <sheetPr codeName="Blad2"/>
  <dimension ref="A1:S39"/>
  <sheetViews>
    <sheetView tabSelected="1" workbookViewId="0">
      <selection activeCell="G52" sqref="G52"/>
    </sheetView>
  </sheetViews>
  <sheetFormatPr defaultRowHeight="13.2" x14ac:dyDescent="0.25"/>
  <cols>
    <col min="1" max="3" width="5" style="122" bestFit="1" customWidth="1"/>
    <col min="4" max="6" width="4" style="122" bestFit="1" customWidth="1"/>
    <col min="7" max="7" width="15.33203125" style="122" bestFit="1" customWidth="1"/>
    <col min="8" max="8" width="6.33203125" style="122" bestFit="1" customWidth="1"/>
    <col min="9" max="9" width="9.44140625" style="122" bestFit="1" customWidth="1"/>
    <col min="10" max="10" width="9.88671875" style="122" bestFit="1" customWidth="1"/>
    <col min="11" max="11" width="8.109375" style="122" bestFit="1" customWidth="1"/>
    <col min="12" max="12" width="7.6640625" style="122" bestFit="1" customWidth="1"/>
    <col min="13" max="13" width="7.88671875" style="122" bestFit="1" customWidth="1"/>
    <col min="14" max="14" width="13.21875" style="143" bestFit="1" customWidth="1"/>
    <col min="15" max="15" width="4.88671875" style="122" bestFit="1" customWidth="1"/>
    <col min="16" max="16" width="10" style="141" bestFit="1" customWidth="1"/>
    <col min="17" max="17" width="9.44140625" style="141" bestFit="1" customWidth="1"/>
    <col min="18" max="18" width="10.33203125" style="123" bestFit="1" customWidth="1"/>
    <col min="19" max="19" width="5" style="122" bestFit="1" customWidth="1"/>
    <col min="20" max="16384" width="8.88671875" style="122"/>
  </cols>
  <sheetData>
    <row r="1" spans="1:19" x14ac:dyDescent="0.25">
      <c r="L1" s="122">
        <f>SUMPRODUCT(Tableau1[boites],Tableau1[Solveur])</f>
        <v>144.00094099999998</v>
      </c>
    </row>
    <row r="2" spans="1:19" ht="13.8" thickBot="1" x14ac:dyDescent="0.3">
      <c r="G2" s="124" t="s">
        <v>107</v>
      </c>
      <c r="I2" s="122">
        <f>_xlfn.XLOOKUP(100,Tableau1[bPalette],Tableau1[hauteut P],"?",0)</f>
        <v>1200</v>
      </c>
      <c r="L2" s="122">
        <f>SUMPRODUCT(Tableau1[Hauteur B],Tableau1[Solveur])</f>
        <v>1191</v>
      </c>
      <c r="M2" s="122">
        <f>SUMPRODUCT(Tableau1[boites],Tableau1[Nombre])</f>
        <v>872.00841600000012</v>
      </c>
    </row>
    <row r="3" spans="1:19" x14ac:dyDescent="0.25">
      <c r="A3" s="122" t="s">
        <v>82</v>
      </c>
      <c r="B3" s="122" t="s">
        <v>83</v>
      </c>
      <c r="C3" s="122" t="s">
        <v>84</v>
      </c>
      <c r="D3" s="145" t="s">
        <v>85</v>
      </c>
      <c r="E3" s="146" t="s">
        <v>86</v>
      </c>
      <c r="F3" s="147" t="s">
        <v>87</v>
      </c>
      <c r="G3" s="122" t="s">
        <v>88</v>
      </c>
      <c r="H3" s="122" t="s">
        <v>89</v>
      </c>
      <c r="I3" s="122" t="s">
        <v>90</v>
      </c>
      <c r="J3" s="122" t="s">
        <v>91</v>
      </c>
      <c r="K3" s="122" t="s">
        <v>92</v>
      </c>
      <c r="L3" s="122" t="s">
        <v>93</v>
      </c>
      <c r="M3" s="122" t="s">
        <v>94</v>
      </c>
      <c r="N3" s="143" t="s">
        <v>101</v>
      </c>
      <c r="O3" s="122" t="s">
        <v>81</v>
      </c>
      <c r="P3" s="141" t="s">
        <v>97</v>
      </c>
      <c r="Q3" s="141" t="s">
        <v>98</v>
      </c>
      <c r="R3" s="123" t="s">
        <v>99</v>
      </c>
      <c r="S3" s="122" t="s">
        <v>100</v>
      </c>
    </row>
    <row r="4" spans="1:19" x14ac:dyDescent="0.25">
      <c r="A4" s="122">
        <v>1200</v>
      </c>
      <c r="B4" s="122">
        <v>800</v>
      </c>
      <c r="C4" s="122">
        <v>1056</v>
      </c>
      <c r="D4" s="148">
        <v>329</v>
      </c>
      <c r="E4" s="149">
        <v>204</v>
      </c>
      <c r="F4" s="150">
        <v>94</v>
      </c>
      <c r="G4" s="125" t="s">
        <v>102</v>
      </c>
      <c r="H4" s="122">
        <v>11.000329000000001</v>
      </c>
      <c r="I4" s="122">
        <v>1056</v>
      </c>
      <c r="J4" s="122">
        <v>94</v>
      </c>
      <c r="K4" s="122">
        <f>100*(Tableau1[[#This Row],[palette]]=$G$2)</f>
        <v>0</v>
      </c>
      <c r="L4" s="122">
        <v>0</v>
      </c>
      <c r="M4" s="122">
        <v>0</v>
      </c>
      <c r="N4" s="143">
        <f>PRODUCT(Tableau1[[#This Row],[B1]:[B2]])*TRUNC(Tableau1[[#This Row],[boites]])/PRODUCT(Tableau1[[#This Row],[P1]:[P2]])</f>
        <v>0.76903750000000004</v>
      </c>
      <c r="O4" s="122" t="str" cm="1">
        <f t="array" aca="1" ref="O4" ca="1">IF(Tableau1[[#This Row],[palette]]&lt;&gt;OFFSET(Tableau1[[#This Row],[palette]],1,),SUMPRODUCT((Tableau1[palette]=Tableau1[[#This Row],[palette]])*Tableau1[boites]*Tableau1[Nombre]),"-")</f>
        <v>-</v>
      </c>
      <c r="P4" s="141" t="str">
        <f ca="1">IF(Tableau1[[#This Row],[palette]]&lt;&gt;OFFSET(Tableau1[[#This Row],[palette]],1,),PRODUCT(Tableau1[[#This Row],[P1]:[P3]])/1000000000,"-")</f>
        <v>-</v>
      </c>
      <c r="Q4" s="141" t="str">
        <f ca="1">IF(Tableau1[[#This Row],[palette]]&lt;&gt;OFFSET(Tableau1[[#This Row],[palette]],1,),PRODUCT(Tableau1[[#This Row],[B1]:[B3]])*Tableau1[[#This Row],[total]]/1000000000,"-")</f>
        <v>-</v>
      </c>
      <c r="R4" s="123" t="str">
        <f ca="1">IF(COUNT(Tableau1[[#This Row],[m3 palette]:[m3 boîtes]])=2,Tableau1[[#This Row],[m3 boîtes]]/Tableau1[[#This Row],[m3 palette]],"-")</f>
        <v>-</v>
      </c>
      <c r="S4" s="126" t="str">
        <f ca="1">IF(ISNUMBER(Tableau1[[#This Row],[rendement]]),COUNTIF(Tableau1[total],"&gt;"&amp;Tableau1[[#This Row],[total]])+1,"")</f>
        <v/>
      </c>
    </row>
    <row r="5" spans="1:19" x14ac:dyDescent="0.25">
      <c r="A5" s="122">
        <v>1200</v>
      </c>
      <c r="B5" s="122">
        <v>800</v>
      </c>
      <c r="C5" s="122">
        <v>1056</v>
      </c>
      <c r="D5" s="148">
        <v>329</v>
      </c>
      <c r="E5" s="149">
        <v>94</v>
      </c>
      <c r="F5" s="150">
        <v>204</v>
      </c>
      <c r="G5" s="125" t="s">
        <v>102</v>
      </c>
      <c r="H5" s="122">
        <v>28.000329000000001</v>
      </c>
      <c r="I5" s="122">
        <v>1056</v>
      </c>
      <c r="J5" s="122">
        <v>204</v>
      </c>
      <c r="K5" s="122">
        <f>100*(Tableau1[[#This Row],[palette]]=$G$2)</f>
        <v>0</v>
      </c>
      <c r="L5" s="122">
        <v>0</v>
      </c>
      <c r="M5" s="122">
        <v>5</v>
      </c>
      <c r="N5" s="143">
        <f>PRODUCT(Tableau1[[#This Row],[B1]:[B2]])*TRUNC(Tableau1[[#This Row],[boites]])/PRODUCT(Tableau1[[#This Row],[P1]:[P2]])</f>
        <v>0.9020083333333333</v>
      </c>
      <c r="O5" s="122" t="str" cm="1">
        <f t="array" aca="1" ref="O5" ca="1">IF(Tableau1[[#This Row],[palette]]&lt;&gt;OFFSET(Tableau1[[#This Row],[palette]],1,),SUMPRODUCT((Tableau1[palette]=Tableau1[[#This Row],[palette]])*Tableau1[boites]*Tableau1[Nombre]),"-")</f>
        <v>-</v>
      </c>
      <c r="P5" s="141" t="str">
        <f ca="1">IF(Tableau1[[#This Row],[palette]]&lt;&gt;OFFSET(Tableau1[[#This Row],[palette]],1,),PRODUCT(Tableau1[[#This Row],[P1]:[P3]])/1000000000,"-")</f>
        <v>-</v>
      </c>
      <c r="Q5" s="141" t="str">
        <f ca="1">IF(Tableau1[[#This Row],[palette]]&lt;&gt;OFFSET(Tableau1[[#This Row],[palette]],1,),PRODUCT(Tableau1[[#This Row],[B1]:[B3]])*Tableau1[[#This Row],[total]]/1000000000,"-")</f>
        <v>-</v>
      </c>
      <c r="R5" s="123" t="str">
        <f ca="1">IF(COUNT(Tableau1[[#This Row],[m3 palette]:[m3 boîtes]])=2,Tableau1[[#This Row],[m3 boîtes]]/Tableau1[[#This Row],[m3 palette]],"-")</f>
        <v>-</v>
      </c>
      <c r="S5" s="126" t="str">
        <f ca="1">IF(ISNUMBER(Tableau1[[#This Row],[rendement]]),COUNTIF(Tableau1[total],"&gt;"&amp;Tableau1[[#This Row],[total]])+1,"")</f>
        <v/>
      </c>
    </row>
    <row r="6" spans="1:19" x14ac:dyDescent="0.25">
      <c r="A6" s="122">
        <v>1200</v>
      </c>
      <c r="B6" s="122">
        <v>800</v>
      </c>
      <c r="C6" s="122">
        <v>1056</v>
      </c>
      <c r="D6" s="148">
        <v>204</v>
      </c>
      <c r="E6" s="149">
        <v>329</v>
      </c>
      <c r="F6" s="150">
        <v>94</v>
      </c>
      <c r="G6" s="125" t="s">
        <v>102</v>
      </c>
      <c r="H6" s="122">
        <v>11.000204</v>
      </c>
      <c r="I6" s="122">
        <v>1056</v>
      </c>
      <c r="J6" s="122">
        <v>94</v>
      </c>
      <c r="K6" s="122">
        <f>100*(Tableau1[[#This Row],[palette]]=$G$2)</f>
        <v>0</v>
      </c>
      <c r="L6" s="122">
        <v>0</v>
      </c>
      <c r="M6" s="122">
        <v>0</v>
      </c>
      <c r="N6" s="143">
        <f>PRODUCT(Tableau1[[#This Row],[B1]:[B2]])*TRUNC(Tableau1[[#This Row],[boites]])/PRODUCT(Tableau1[[#This Row],[P1]:[P2]])</f>
        <v>0.76903750000000004</v>
      </c>
      <c r="O6" s="122" t="str" cm="1">
        <f t="array" aca="1" ref="O6" ca="1">IF(Tableau1[[#This Row],[palette]]&lt;&gt;OFFSET(Tableau1[[#This Row],[palette]],1,),SUMPRODUCT((Tableau1[palette]=Tableau1[[#This Row],[palette]])*Tableau1[boites]*Tableau1[Nombre]),"-")</f>
        <v>-</v>
      </c>
      <c r="P6" s="141" t="str">
        <f ca="1">IF(Tableau1[[#This Row],[palette]]&lt;&gt;OFFSET(Tableau1[[#This Row],[palette]],1,),PRODUCT(Tableau1[[#This Row],[P1]:[P3]])/1000000000,"-")</f>
        <v>-</v>
      </c>
      <c r="Q6" s="141" t="str">
        <f ca="1">IF(Tableau1[[#This Row],[palette]]&lt;&gt;OFFSET(Tableau1[[#This Row],[palette]],1,),PRODUCT(Tableau1[[#This Row],[B1]:[B3]])*Tableau1[[#This Row],[total]]/1000000000,"-")</f>
        <v>-</v>
      </c>
      <c r="R6" s="123" t="str">
        <f ca="1">IF(COUNT(Tableau1[[#This Row],[m3 palette]:[m3 boîtes]])=2,Tableau1[[#This Row],[m3 boîtes]]/Tableau1[[#This Row],[m3 palette]],"-")</f>
        <v>-</v>
      </c>
      <c r="S6" s="126" t="str">
        <f ca="1">IF(ISNUMBER(Tableau1[[#This Row],[rendement]]),COUNTIF(Tableau1[total],"&gt;"&amp;Tableau1[[#This Row],[total]])+1,"")</f>
        <v/>
      </c>
    </row>
    <row r="7" spans="1:19" x14ac:dyDescent="0.25">
      <c r="A7" s="122">
        <v>1200</v>
      </c>
      <c r="B7" s="122">
        <v>800</v>
      </c>
      <c r="C7" s="122">
        <v>1056</v>
      </c>
      <c r="D7" s="148">
        <v>204</v>
      </c>
      <c r="E7" s="149">
        <v>94</v>
      </c>
      <c r="F7" s="150">
        <v>329</v>
      </c>
      <c r="G7" s="125" t="s">
        <v>102</v>
      </c>
      <c r="H7" s="122">
        <v>44.000203999999997</v>
      </c>
      <c r="I7" s="122">
        <v>1056</v>
      </c>
      <c r="J7" s="122">
        <v>329</v>
      </c>
      <c r="K7" s="122">
        <f>100*(Tableau1[[#This Row],[palette]]=$G$2)</f>
        <v>0</v>
      </c>
      <c r="L7" s="122">
        <v>0</v>
      </c>
      <c r="M7" s="122">
        <v>0</v>
      </c>
      <c r="N7" s="143">
        <f>PRODUCT(Tableau1[[#This Row],[B1]:[B2]])*TRUNC(Tableau1[[#This Row],[boites]])/PRODUCT(Tableau1[[#This Row],[P1]:[P2]])</f>
        <v>0.87890000000000001</v>
      </c>
      <c r="O7" s="122" t="str" cm="1">
        <f t="array" aca="1" ref="O7" ca="1">IF(Tableau1[[#This Row],[palette]]&lt;&gt;OFFSET(Tableau1[[#This Row],[palette]],1,),SUMPRODUCT((Tableau1[palette]=Tableau1[[#This Row],[palette]])*Tableau1[boites]*Tableau1[Nombre]),"-")</f>
        <v>-</v>
      </c>
      <c r="P7" s="141" t="str">
        <f ca="1">IF(Tableau1[[#This Row],[palette]]&lt;&gt;OFFSET(Tableau1[[#This Row],[palette]],1,),PRODUCT(Tableau1[[#This Row],[P1]:[P3]])/1000000000,"-")</f>
        <v>-</v>
      </c>
      <c r="Q7" s="141" t="str">
        <f ca="1">IF(Tableau1[[#This Row],[palette]]&lt;&gt;OFFSET(Tableau1[[#This Row],[palette]],1,),PRODUCT(Tableau1[[#This Row],[B1]:[B3]])*Tableau1[[#This Row],[total]]/1000000000,"-")</f>
        <v>-</v>
      </c>
      <c r="R7" s="123" t="str">
        <f ca="1">IF(COUNT(Tableau1[[#This Row],[m3 palette]:[m3 boîtes]])=2,Tableau1[[#This Row],[m3 boîtes]]/Tableau1[[#This Row],[m3 palette]],"-")</f>
        <v>-</v>
      </c>
      <c r="S7" s="126" t="str">
        <f ca="1">IF(ISNUMBER(Tableau1[[#This Row],[rendement]]),COUNTIF(Tableau1[total],"&gt;"&amp;Tableau1[[#This Row],[total]])+1,"")</f>
        <v/>
      </c>
    </row>
    <row r="8" spans="1:19" x14ac:dyDescent="0.25">
      <c r="A8" s="122">
        <v>1200</v>
      </c>
      <c r="B8" s="122">
        <v>800</v>
      </c>
      <c r="C8" s="122">
        <v>1056</v>
      </c>
      <c r="D8" s="148">
        <v>94</v>
      </c>
      <c r="E8" s="149">
        <v>329</v>
      </c>
      <c r="F8" s="150">
        <v>204</v>
      </c>
      <c r="G8" s="125" t="s">
        <v>102</v>
      </c>
      <c r="H8" s="122">
        <v>28.000094000000001</v>
      </c>
      <c r="I8" s="122">
        <v>1056</v>
      </c>
      <c r="J8" s="122">
        <v>204</v>
      </c>
      <c r="K8" s="122">
        <f>100*(Tableau1[[#This Row],[palette]]=$G$2)</f>
        <v>0</v>
      </c>
      <c r="L8" s="122">
        <v>0</v>
      </c>
      <c r="M8" s="122">
        <v>0</v>
      </c>
      <c r="N8" s="143">
        <f>PRODUCT(Tableau1[[#This Row],[B1]:[B2]])*TRUNC(Tableau1[[#This Row],[boites]])/PRODUCT(Tableau1[[#This Row],[P1]:[P2]])</f>
        <v>0.9020083333333333</v>
      </c>
      <c r="O8" s="122" t="str" cm="1">
        <f t="array" aca="1" ref="O8" ca="1">IF(Tableau1[[#This Row],[palette]]&lt;&gt;OFFSET(Tableau1[[#This Row],[palette]],1,),SUMPRODUCT((Tableau1[palette]=Tableau1[[#This Row],[palette]])*Tableau1[boites]*Tableau1[Nombre]),"-")</f>
        <v>-</v>
      </c>
      <c r="P8" s="141" t="str">
        <f ca="1">IF(Tableau1[[#This Row],[palette]]&lt;&gt;OFFSET(Tableau1[[#This Row],[palette]],1,),PRODUCT(Tableau1[[#This Row],[P1]:[P3]])/1000000000,"-")</f>
        <v>-</v>
      </c>
      <c r="Q8" s="141" t="str">
        <f ca="1">IF(Tableau1[[#This Row],[palette]]&lt;&gt;OFFSET(Tableau1[[#This Row],[palette]],1,),PRODUCT(Tableau1[[#This Row],[B1]:[B3]])*Tableau1[[#This Row],[total]]/1000000000,"-")</f>
        <v>-</v>
      </c>
      <c r="R8" s="123" t="str">
        <f ca="1">IF(COUNT(Tableau1[[#This Row],[m3 palette]:[m3 boîtes]])=2,Tableau1[[#This Row],[m3 boîtes]]/Tableau1[[#This Row],[m3 palette]],"-")</f>
        <v>-</v>
      </c>
      <c r="S8" s="126" t="str">
        <f ca="1">IF(ISNUMBER(Tableau1[[#This Row],[rendement]]),COUNTIF(Tableau1[total],"&gt;"&amp;Tableau1[[#This Row],[total]])+1,"")</f>
        <v/>
      </c>
    </row>
    <row r="9" spans="1:19" x14ac:dyDescent="0.25">
      <c r="A9" s="122">
        <v>1200</v>
      </c>
      <c r="B9" s="122">
        <v>800</v>
      </c>
      <c r="C9" s="122">
        <v>1056</v>
      </c>
      <c r="D9" s="148">
        <v>94</v>
      </c>
      <c r="E9" s="149">
        <v>204</v>
      </c>
      <c r="F9" s="150">
        <v>329</v>
      </c>
      <c r="G9" s="125" t="s">
        <v>102</v>
      </c>
      <c r="H9" s="122">
        <v>44.000093999999997</v>
      </c>
      <c r="I9" s="122">
        <v>1056</v>
      </c>
      <c r="J9" s="122">
        <v>329</v>
      </c>
      <c r="K9" s="122">
        <f>100*(Tableau1[[#This Row],[palette]]=$G$2)</f>
        <v>0</v>
      </c>
      <c r="L9" s="122">
        <v>0</v>
      </c>
      <c r="M9" s="122">
        <v>0</v>
      </c>
      <c r="N9" s="143">
        <f>PRODUCT(Tableau1[[#This Row],[B1]:[B2]])*TRUNC(Tableau1[[#This Row],[boites]])/PRODUCT(Tableau1[[#This Row],[P1]:[P2]])</f>
        <v>0.87890000000000001</v>
      </c>
      <c r="O9" s="122" cm="1">
        <f t="array" aca="1" ref="O9" ca="1">IF(Tableau1[[#This Row],[palette]]&lt;&gt;OFFSET(Tableau1[[#This Row],[palette]],1,),SUMPRODUCT((Tableau1[palette]=Tableau1[[#This Row],[palette]])*Tableau1[boites]*Tableau1[Nombre]),"-")</f>
        <v>140.001645</v>
      </c>
      <c r="P9" s="141">
        <f ca="1">IF(Tableau1[[#This Row],[palette]]&lt;&gt;OFFSET(Tableau1[[#This Row],[palette]],1,),PRODUCT(Tableau1[[#This Row],[P1]:[P3]])/1000000000,"-")</f>
        <v>1.01376</v>
      </c>
      <c r="Q9" s="141">
        <f ca="1">IF(Tableau1[[#This Row],[palette]]&lt;&gt;OFFSET(Tableau1[[#This Row],[palette]],1,),PRODUCT(Tableau1[[#This Row],[B1]:[B3]])*Tableau1[[#This Row],[total]]/1000000000,"-")</f>
        <v>0.88325693814707995</v>
      </c>
      <c r="R9" s="123">
        <f ca="1">IF(COUNT(Tableau1[[#This Row],[m3 palette]:[m3 boîtes]])=2,Tableau1[[#This Row],[m3 boîtes]]/Tableau1[[#This Row],[m3 palette]],"-")</f>
        <v>0.87126828652450283</v>
      </c>
      <c r="S9" s="126">
        <f ca="1">IF(ISNUMBER(Tableau1[[#This Row],[rendement]]),COUNTIF(Tableau1[total],"&gt;"&amp;Tableau1[[#This Row],[total]])+1,"")</f>
        <v>5</v>
      </c>
    </row>
    <row r="10" spans="1:19" x14ac:dyDescent="0.25">
      <c r="A10" s="122">
        <v>1200</v>
      </c>
      <c r="B10" s="122">
        <v>1056</v>
      </c>
      <c r="C10" s="122">
        <v>800</v>
      </c>
      <c r="D10" s="148">
        <v>329</v>
      </c>
      <c r="E10" s="149">
        <v>204</v>
      </c>
      <c r="F10" s="150">
        <v>94</v>
      </c>
      <c r="G10" s="125" t="s">
        <v>103</v>
      </c>
      <c r="H10" s="122">
        <v>18.000329000000001</v>
      </c>
      <c r="I10" s="122">
        <v>800</v>
      </c>
      <c r="J10" s="122">
        <v>94</v>
      </c>
      <c r="K10" s="122">
        <f>100*(Tableau1[[#This Row],[palette]]=$G$2)</f>
        <v>0</v>
      </c>
      <c r="L10" s="122">
        <v>0</v>
      </c>
      <c r="M10" s="122">
        <v>5</v>
      </c>
      <c r="N10" s="143">
        <f>PRODUCT(Tableau1[[#This Row],[B1]:[B2]])*TRUNC(Tableau1[[#This Row],[boites]])/PRODUCT(Tableau1[[#This Row],[P1]:[P2]])</f>
        <v>0.95335227272727274</v>
      </c>
      <c r="O10" s="122" t="str" cm="1">
        <f t="array" aca="1" ref="O10" ca="1">IF(Tableau1[[#This Row],[palette]]&lt;&gt;OFFSET(Tableau1[[#This Row],[palette]],1,),SUMPRODUCT((Tableau1[palette]=Tableau1[[#This Row],[palette]])*Tableau1[boites]*Tableau1[Nombre]),"-")</f>
        <v>-</v>
      </c>
      <c r="P10" s="141" t="str">
        <f ca="1">IF(Tableau1[[#This Row],[palette]]&lt;&gt;OFFSET(Tableau1[[#This Row],[palette]],1,),PRODUCT(Tableau1[[#This Row],[P1]:[P3]])/1000000000,"-")</f>
        <v>-</v>
      </c>
      <c r="Q10" s="141" t="str">
        <f ca="1">IF(Tableau1[[#This Row],[palette]]&lt;&gt;OFFSET(Tableau1[[#This Row],[palette]],1,),PRODUCT(Tableau1[[#This Row],[B1]:[B3]])*Tableau1[[#This Row],[total]]/1000000000,"-")</f>
        <v>-</v>
      </c>
      <c r="R10" s="123" t="str">
        <f ca="1">IF(COUNT(Tableau1[[#This Row],[m3 palette]:[m3 boîtes]])=2,Tableau1[[#This Row],[m3 boîtes]]/Tableau1[[#This Row],[m3 palette]],"-")</f>
        <v>-</v>
      </c>
      <c r="S10" s="126" t="str">
        <f ca="1">IF(ISNUMBER(Tableau1[[#This Row],[rendement]]),COUNTIF(Tableau1[total],"&gt;"&amp;Tableau1[[#This Row],[total]])+1,"")</f>
        <v/>
      </c>
    </row>
    <row r="11" spans="1:19" x14ac:dyDescent="0.25">
      <c r="A11" s="122">
        <v>1200</v>
      </c>
      <c r="B11" s="122">
        <v>1056</v>
      </c>
      <c r="C11" s="122">
        <v>800</v>
      </c>
      <c r="D11" s="148">
        <v>329</v>
      </c>
      <c r="E11" s="149">
        <v>94</v>
      </c>
      <c r="F11" s="150">
        <v>204</v>
      </c>
      <c r="G11" s="125" t="s">
        <v>103</v>
      </c>
      <c r="H11" s="122">
        <v>39.000329000000001</v>
      </c>
      <c r="I11" s="122">
        <v>800</v>
      </c>
      <c r="J11" s="122">
        <v>204</v>
      </c>
      <c r="K11" s="122">
        <f>100*(Tableau1[[#This Row],[palette]]=$G$2)</f>
        <v>0</v>
      </c>
      <c r="L11" s="122">
        <v>0</v>
      </c>
      <c r="M11" s="122">
        <v>0</v>
      </c>
      <c r="N11" s="143">
        <f>PRODUCT(Tableau1[[#This Row],[B1]:[B2]])*TRUNC(Tableau1[[#This Row],[boites]])/PRODUCT(Tableau1[[#This Row],[P1]:[P2]])</f>
        <v>0.95179450757575756</v>
      </c>
      <c r="O11" s="122" t="str" cm="1">
        <f t="array" aca="1" ref="O11" ca="1">IF(Tableau1[[#This Row],[palette]]&lt;&gt;OFFSET(Tableau1[[#This Row],[palette]],1,),SUMPRODUCT((Tableau1[palette]=Tableau1[[#This Row],[palette]])*Tableau1[boites]*Tableau1[Nombre]),"-")</f>
        <v>-</v>
      </c>
      <c r="P11" s="141" t="str">
        <f ca="1">IF(Tableau1[[#This Row],[palette]]&lt;&gt;OFFSET(Tableau1[[#This Row],[palette]],1,),PRODUCT(Tableau1[[#This Row],[P1]:[P3]])/1000000000,"-")</f>
        <v>-</v>
      </c>
      <c r="Q11" s="141" t="str">
        <f ca="1">IF(Tableau1[[#This Row],[palette]]&lt;&gt;OFFSET(Tableau1[[#This Row],[palette]],1,),PRODUCT(Tableau1[[#This Row],[B1]:[B3]])*Tableau1[[#This Row],[total]]/1000000000,"-")</f>
        <v>-</v>
      </c>
      <c r="R11" s="123" t="str">
        <f ca="1">IF(COUNT(Tableau1[[#This Row],[m3 palette]:[m3 boîtes]])=2,Tableau1[[#This Row],[m3 boîtes]]/Tableau1[[#This Row],[m3 palette]],"-")</f>
        <v>-</v>
      </c>
      <c r="S11" s="126" t="str">
        <f ca="1">IF(ISNUMBER(Tableau1[[#This Row],[rendement]]),COUNTIF(Tableau1[total],"&gt;"&amp;Tableau1[[#This Row],[total]])+1,"")</f>
        <v/>
      </c>
    </row>
    <row r="12" spans="1:19" x14ac:dyDescent="0.25">
      <c r="A12" s="122">
        <v>1200</v>
      </c>
      <c r="B12" s="122">
        <v>1056</v>
      </c>
      <c r="C12" s="122">
        <v>800</v>
      </c>
      <c r="D12" s="148">
        <v>204</v>
      </c>
      <c r="E12" s="149">
        <v>329</v>
      </c>
      <c r="F12" s="150">
        <v>94</v>
      </c>
      <c r="G12" s="125" t="s">
        <v>103</v>
      </c>
      <c r="H12" s="122">
        <v>18.000204</v>
      </c>
      <c r="I12" s="122">
        <v>800</v>
      </c>
      <c r="J12" s="122">
        <v>94</v>
      </c>
      <c r="K12" s="122">
        <f>100*(Tableau1[[#This Row],[palette]]=$G$2)</f>
        <v>0</v>
      </c>
      <c r="L12" s="122">
        <v>0</v>
      </c>
      <c r="M12" s="122">
        <v>0</v>
      </c>
      <c r="N12" s="143">
        <f>PRODUCT(Tableau1[[#This Row],[B1]:[B2]])*TRUNC(Tableau1[[#This Row],[boites]])/PRODUCT(Tableau1[[#This Row],[P1]:[P2]])</f>
        <v>0.95335227272727274</v>
      </c>
      <c r="O12" s="122" t="str" cm="1">
        <f t="array" aca="1" ref="O12" ca="1">IF(Tableau1[[#This Row],[palette]]&lt;&gt;OFFSET(Tableau1[[#This Row],[palette]],1,),SUMPRODUCT((Tableau1[palette]=Tableau1[[#This Row],[palette]])*Tableau1[boites]*Tableau1[Nombre]),"-")</f>
        <v>-</v>
      </c>
      <c r="P12" s="141" t="str">
        <f ca="1">IF(Tableau1[[#This Row],[palette]]&lt;&gt;OFFSET(Tableau1[[#This Row],[palette]],1,),PRODUCT(Tableau1[[#This Row],[P1]:[P3]])/1000000000,"-")</f>
        <v>-</v>
      </c>
      <c r="Q12" s="141" t="str">
        <f ca="1">IF(Tableau1[[#This Row],[palette]]&lt;&gt;OFFSET(Tableau1[[#This Row],[palette]],1,),PRODUCT(Tableau1[[#This Row],[B1]:[B3]])*Tableau1[[#This Row],[total]]/1000000000,"-")</f>
        <v>-</v>
      </c>
      <c r="R12" s="123" t="str">
        <f ca="1">IF(COUNT(Tableau1[[#This Row],[m3 palette]:[m3 boîtes]])=2,Tableau1[[#This Row],[m3 boîtes]]/Tableau1[[#This Row],[m3 palette]],"-")</f>
        <v>-</v>
      </c>
      <c r="S12" s="126" t="str">
        <f ca="1">IF(ISNUMBER(Tableau1[[#This Row],[rendement]]),COUNTIF(Tableau1[total],"&gt;"&amp;Tableau1[[#This Row],[total]])+1,"")</f>
        <v/>
      </c>
    </row>
    <row r="13" spans="1:19" x14ac:dyDescent="0.25">
      <c r="A13" s="122">
        <v>1200</v>
      </c>
      <c r="B13" s="122">
        <v>1056</v>
      </c>
      <c r="C13" s="122">
        <v>800</v>
      </c>
      <c r="D13" s="148">
        <v>204</v>
      </c>
      <c r="E13" s="149">
        <v>94</v>
      </c>
      <c r="F13" s="150">
        <v>329</v>
      </c>
      <c r="G13" s="125" t="s">
        <v>103</v>
      </c>
      <c r="H13" s="122">
        <v>64.000203999999997</v>
      </c>
      <c r="I13" s="122">
        <v>800</v>
      </c>
      <c r="J13" s="122">
        <v>329</v>
      </c>
      <c r="K13" s="122">
        <f>100*(Tableau1[[#This Row],[palette]]=$G$2)</f>
        <v>0</v>
      </c>
      <c r="L13" s="122">
        <v>0</v>
      </c>
      <c r="M13" s="122">
        <v>1</v>
      </c>
      <c r="N13" s="143">
        <f>PRODUCT(Tableau1[[#This Row],[B1]:[B2]])*TRUNC(Tableau1[[#This Row],[boites]])/PRODUCT(Tableau1[[#This Row],[P1]:[P2]])</f>
        <v>0.9684848484848485</v>
      </c>
      <c r="O13" s="122" t="str" cm="1">
        <f t="array" aca="1" ref="O13" ca="1">IF(Tableau1[[#This Row],[palette]]&lt;&gt;OFFSET(Tableau1[[#This Row],[palette]],1,),SUMPRODUCT((Tableau1[palette]=Tableau1[[#This Row],[palette]])*Tableau1[boites]*Tableau1[Nombre]),"-")</f>
        <v>-</v>
      </c>
      <c r="P13" s="141" t="str">
        <f ca="1">IF(Tableau1[[#This Row],[palette]]&lt;&gt;OFFSET(Tableau1[[#This Row],[palette]],1,),PRODUCT(Tableau1[[#This Row],[P1]:[P3]])/1000000000,"-")</f>
        <v>-</v>
      </c>
      <c r="Q13" s="141" t="str">
        <f ca="1">IF(Tableau1[[#This Row],[palette]]&lt;&gt;OFFSET(Tableau1[[#This Row],[palette]],1,),PRODUCT(Tableau1[[#This Row],[B1]:[B3]])*Tableau1[[#This Row],[total]]/1000000000,"-")</f>
        <v>-</v>
      </c>
      <c r="R13" s="123" t="str">
        <f ca="1">IF(COUNT(Tableau1[[#This Row],[m3 palette]:[m3 boîtes]])=2,Tableau1[[#This Row],[m3 boîtes]]/Tableau1[[#This Row],[m3 palette]],"-")</f>
        <v>-</v>
      </c>
      <c r="S13" s="126" t="str">
        <f ca="1">IF(ISNUMBER(Tableau1[[#This Row],[rendement]]),COUNTIF(Tableau1[total],"&gt;"&amp;Tableau1[[#This Row],[total]])+1,"")</f>
        <v/>
      </c>
    </row>
    <row r="14" spans="1:19" x14ac:dyDescent="0.25">
      <c r="A14" s="122">
        <v>1200</v>
      </c>
      <c r="B14" s="122">
        <v>1056</v>
      </c>
      <c r="C14" s="122">
        <v>800</v>
      </c>
      <c r="D14" s="148">
        <v>94</v>
      </c>
      <c r="E14" s="149">
        <v>329</v>
      </c>
      <c r="F14" s="150">
        <v>204</v>
      </c>
      <c r="G14" s="125" t="s">
        <v>103</v>
      </c>
      <c r="H14" s="122">
        <v>39.000093999999997</v>
      </c>
      <c r="I14" s="122">
        <v>800</v>
      </c>
      <c r="J14" s="122">
        <v>204</v>
      </c>
      <c r="K14" s="122">
        <f>100*(Tableau1[[#This Row],[palette]]=$G$2)</f>
        <v>0</v>
      </c>
      <c r="L14" s="122">
        <v>0</v>
      </c>
      <c r="M14" s="122">
        <v>0</v>
      </c>
      <c r="N14" s="143">
        <f>PRODUCT(Tableau1[[#This Row],[B1]:[B2]])*TRUNC(Tableau1[[#This Row],[boites]])/PRODUCT(Tableau1[[#This Row],[P1]:[P2]])</f>
        <v>0.95179450757575756</v>
      </c>
      <c r="O14" s="122" t="str" cm="1">
        <f t="array" aca="1" ref="O14" ca="1">IF(Tableau1[[#This Row],[palette]]&lt;&gt;OFFSET(Tableau1[[#This Row],[palette]],1,),SUMPRODUCT((Tableau1[palette]=Tableau1[[#This Row],[palette]])*Tableau1[boites]*Tableau1[Nombre]),"-")</f>
        <v>-</v>
      </c>
      <c r="P14" s="141" t="str">
        <f ca="1">IF(Tableau1[[#This Row],[palette]]&lt;&gt;OFFSET(Tableau1[[#This Row],[palette]],1,),PRODUCT(Tableau1[[#This Row],[P1]:[P3]])/1000000000,"-")</f>
        <v>-</v>
      </c>
      <c r="Q14" s="141" t="str">
        <f ca="1">IF(Tableau1[[#This Row],[palette]]&lt;&gt;OFFSET(Tableau1[[#This Row],[palette]],1,),PRODUCT(Tableau1[[#This Row],[B1]:[B3]])*Tableau1[[#This Row],[total]]/1000000000,"-")</f>
        <v>-</v>
      </c>
      <c r="R14" s="123" t="str">
        <f ca="1">IF(COUNT(Tableau1[[#This Row],[m3 palette]:[m3 boîtes]])=2,Tableau1[[#This Row],[m3 boîtes]]/Tableau1[[#This Row],[m3 palette]],"-")</f>
        <v>-</v>
      </c>
      <c r="S14" s="126" t="str">
        <f ca="1">IF(ISNUMBER(Tableau1[[#This Row],[rendement]]),COUNTIF(Tableau1[total],"&gt;"&amp;Tableau1[[#This Row],[total]])+1,"")</f>
        <v/>
      </c>
    </row>
    <row r="15" spans="1:19" x14ac:dyDescent="0.25">
      <c r="A15" s="122">
        <v>1200</v>
      </c>
      <c r="B15" s="122">
        <v>1056</v>
      </c>
      <c r="C15" s="122">
        <v>800</v>
      </c>
      <c r="D15" s="148">
        <v>94</v>
      </c>
      <c r="E15" s="149">
        <v>204</v>
      </c>
      <c r="F15" s="150">
        <v>329</v>
      </c>
      <c r="G15" s="125" t="s">
        <v>103</v>
      </c>
      <c r="H15" s="122">
        <v>64.000094000000004</v>
      </c>
      <c r="I15" s="122">
        <v>800</v>
      </c>
      <c r="J15" s="122">
        <v>329</v>
      </c>
      <c r="K15" s="122">
        <f>100*(Tableau1[[#This Row],[palette]]=$G$2)</f>
        <v>0</v>
      </c>
      <c r="L15" s="122">
        <v>0</v>
      </c>
      <c r="M15" s="122">
        <v>0</v>
      </c>
      <c r="N15" s="143">
        <f>PRODUCT(Tableau1[[#This Row],[B1]:[B2]])*TRUNC(Tableau1[[#This Row],[boites]])/PRODUCT(Tableau1[[#This Row],[P1]:[P2]])</f>
        <v>0.9684848484848485</v>
      </c>
      <c r="O15" s="122" cm="1">
        <f t="array" aca="1" ref="O15" ca="1">IF(Tableau1[[#This Row],[palette]]&lt;&gt;OFFSET(Tableau1[[#This Row],[palette]],1,),SUMPRODUCT((Tableau1[palette]=Tableau1[[#This Row],[palette]])*Tableau1[boites]*Tableau1[Nombre]),"-")</f>
        <v>154.00184899999999</v>
      </c>
      <c r="P15" s="141">
        <f ca="1">IF(Tableau1[[#This Row],[palette]]&lt;&gt;OFFSET(Tableau1[[#This Row],[palette]],1,),PRODUCT(Tableau1[[#This Row],[P1]:[P3]])/1000000000,"-")</f>
        <v>1.01376</v>
      </c>
      <c r="Q15" s="141">
        <f ca="1">IF(Tableau1[[#This Row],[palette]]&lt;&gt;OFFSET(Tableau1[[#This Row],[palette]],1,),PRODUCT(Tableau1[[#This Row],[B1]:[B3]])*Tableau1[[#This Row],[total]]/1000000000,"-")</f>
        <v>0.97158288116349589</v>
      </c>
      <c r="R15" s="123">
        <f ca="1">IF(COUNT(Tableau1[[#This Row],[m3 palette]:[m3 boîtes]])=2,Tableau1[[#This Row],[m3 boîtes]]/Tableau1[[#This Row],[m3 palette]],"-")</f>
        <v>0.95839536099618838</v>
      </c>
      <c r="S15" s="126">
        <f ca="1">IF(ISNUMBER(Tableau1[[#This Row],[rendement]]),COUNTIF(Tableau1[total],"&gt;"&amp;Tableau1[[#This Row],[total]])+1,"")</f>
        <v>2</v>
      </c>
    </row>
    <row r="16" spans="1:19" x14ac:dyDescent="0.25">
      <c r="A16" s="122">
        <v>800</v>
      </c>
      <c r="B16" s="122">
        <v>1200</v>
      </c>
      <c r="C16" s="122">
        <v>1056</v>
      </c>
      <c r="D16" s="148">
        <v>329</v>
      </c>
      <c r="E16" s="149">
        <v>204</v>
      </c>
      <c r="F16" s="150">
        <v>94</v>
      </c>
      <c r="G16" s="125" t="s">
        <v>104</v>
      </c>
      <c r="H16" s="122">
        <v>11.000329000000001</v>
      </c>
      <c r="I16" s="122">
        <v>1056</v>
      </c>
      <c r="J16" s="122">
        <v>94</v>
      </c>
      <c r="K16" s="122">
        <f>100*(Tableau1[[#This Row],[palette]]=$G$2)</f>
        <v>0</v>
      </c>
      <c r="L16" s="122">
        <v>0</v>
      </c>
      <c r="M16" s="122">
        <v>2</v>
      </c>
      <c r="N16" s="143">
        <f>PRODUCT(Tableau1[[#This Row],[B1]:[B2]])*TRUNC(Tableau1[[#This Row],[boites]])/PRODUCT(Tableau1[[#This Row],[P1]:[P2]])</f>
        <v>0.76903750000000004</v>
      </c>
      <c r="O16" s="122" t="str" cm="1">
        <f t="array" aca="1" ref="O16" ca="1">IF(Tableau1[[#This Row],[palette]]&lt;&gt;OFFSET(Tableau1[[#This Row],[palette]],1,),SUMPRODUCT((Tableau1[palette]=Tableau1[[#This Row],[palette]])*Tableau1[boites]*Tableau1[Nombre]),"-")</f>
        <v>-</v>
      </c>
      <c r="P16" s="141" t="str">
        <f ca="1">IF(Tableau1[[#This Row],[palette]]&lt;&gt;OFFSET(Tableau1[[#This Row],[palette]],1,),PRODUCT(Tableau1[[#This Row],[P1]:[P3]])/1000000000,"-")</f>
        <v>-</v>
      </c>
      <c r="Q16" s="141" t="str">
        <f ca="1">IF(Tableau1[[#This Row],[palette]]&lt;&gt;OFFSET(Tableau1[[#This Row],[palette]],1,),PRODUCT(Tableau1[[#This Row],[B1]:[B3]])*Tableau1[[#This Row],[total]]/1000000000,"-")</f>
        <v>-</v>
      </c>
      <c r="R16" s="123" t="str">
        <f ca="1">IF(COUNT(Tableau1[[#This Row],[m3 palette]:[m3 boîtes]])=2,Tableau1[[#This Row],[m3 boîtes]]/Tableau1[[#This Row],[m3 palette]],"-")</f>
        <v>-</v>
      </c>
      <c r="S16" s="126" t="str">
        <f ca="1">IF(ISNUMBER(Tableau1[[#This Row],[rendement]]),COUNTIF(Tableau1[total],"&gt;"&amp;Tableau1[[#This Row],[total]])+1,"")</f>
        <v/>
      </c>
    </row>
    <row r="17" spans="1:19" x14ac:dyDescent="0.25">
      <c r="A17" s="122">
        <v>800</v>
      </c>
      <c r="B17" s="122">
        <v>1200</v>
      </c>
      <c r="C17" s="122">
        <v>1056</v>
      </c>
      <c r="D17" s="148">
        <v>329</v>
      </c>
      <c r="E17" s="149">
        <v>94</v>
      </c>
      <c r="F17" s="150">
        <v>204</v>
      </c>
      <c r="G17" s="125" t="s">
        <v>104</v>
      </c>
      <c r="H17" s="122">
        <v>27.000329000000001</v>
      </c>
      <c r="I17" s="122">
        <v>1056</v>
      </c>
      <c r="J17" s="122">
        <v>204</v>
      </c>
      <c r="K17" s="122">
        <f>100*(Tableau1[[#This Row],[palette]]=$G$2)</f>
        <v>0</v>
      </c>
      <c r="L17" s="122">
        <v>0</v>
      </c>
      <c r="M17" s="122">
        <v>1</v>
      </c>
      <c r="N17" s="143">
        <f>PRODUCT(Tableau1[[#This Row],[B1]:[B2]])*TRUNC(Tableau1[[#This Row],[boites]])/PRODUCT(Tableau1[[#This Row],[P1]:[P2]])</f>
        <v>0.86979375000000003</v>
      </c>
      <c r="O17" s="122" t="str" cm="1">
        <f t="array" aca="1" ref="O17" ca="1">IF(Tableau1[[#This Row],[palette]]&lt;&gt;OFFSET(Tableau1[[#This Row],[palette]],1,),SUMPRODUCT((Tableau1[palette]=Tableau1[[#This Row],[palette]])*Tableau1[boites]*Tableau1[Nombre]),"-")</f>
        <v>-</v>
      </c>
      <c r="P17" s="141" t="str">
        <f ca="1">IF(Tableau1[[#This Row],[palette]]&lt;&gt;OFFSET(Tableau1[[#This Row],[palette]],1,),PRODUCT(Tableau1[[#This Row],[P1]:[P3]])/1000000000,"-")</f>
        <v>-</v>
      </c>
      <c r="Q17" s="141" t="str">
        <f ca="1">IF(Tableau1[[#This Row],[palette]]&lt;&gt;OFFSET(Tableau1[[#This Row],[palette]],1,),PRODUCT(Tableau1[[#This Row],[B1]:[B3]])*Tableau1[[#This Row],[total]]/1000000000,"-")</f>
        <v>-</v>
      </c>
      <c r="R17" s="123" t="str">
        <f ca="1">IF(COUNT(Tableau1[[#This Row],[m3 palette]:[m3 boîtes]])=2,Tableau1[[#This Row],[m3 boîtes]]/Tableau1[[#This Row],[m3 palette]],"-")</f>
        <v>-</v>
      </c>
      <c r="S17" s="126" t="str">
        <f ca="1">IF(ISNUMBER(Tableau1[[#This Row],[rendement]]),COUNTIF(Tableau1[total],"&gt;"&amp;Tableau1[[#This Row],[total]])+1,"")</f>
        <v/>
      </c>
    </row>
    <row r="18" spans="1:19" x14ac:dyDescent="0.25">
      <c r="A18" s="122">
        <v>800</v>
      </c>
      <c r="B18" s="122">
        <v>1200</v>
      </c>
      <c r="C18" s="122">
        <v>1056</v>
      </c>
      <c r="D18" s="148">
        <v>204</v>
      </c>
      <c r="E18" s="149">
        <v>329</v>
      </c>
      <c r="F18" s="150">
        <v>94</v>
      </c>
      <c r="G18" s="125" t="s">
        <v>104</v>
      </c>
      <c r="H18" s="122">
        <v>11.000204</v>
      </c>
      <c r="I18" s="122">
        <v>1056</v>
      </c>
      <c r="J18" s="122">
        <v>94</v>
      </c>
      <c r="K18" s="122">
        <f>100*(Tableau1[[#This Row],[palette]]=$G$2)</f>
        <v>0</v>
      </c>
      <c r="L18" s="122">
        <v>0</v>
      </c>
      <c r="M18" s="122">
        <v>0</v>
      </c>
      <c r="N18" s="143">
        <f>PRODUCT(Tableau1[[#This Row],[B1]:[B2]])*TRUNC(Tableau1[[#This Row],[boites]])/PRODUCT(Tableau1[[#This Row],[P1]:[P2]])</f>
        <v>0.76903750000000004</v>
      </c>
      <c r="O18" s="122" t="str" cm="1">
        <f t="array" aca="1" ref="O18" ca="1">IF(Tableau1[[#This Row],[palette]]&lt;&gt;OFFSET(Tableau1[[#This Row],[palette]],1,),SUMPRODUCT((Tableau1[palette]=Tableau1[[#This Row],[palette]])*Tableau1[boites]*Tableau1[Nombre]),"-")</f>
        <v>-</v>
      </c>
      <c r="P18" s="141" t="str">
        <f ca="1">IF(Tableau1[[#This Row],[palette]]&lt;&gt;OFFSET(Tableau1[[#This Row],[palette]],1,),PRODUCT(Tableau1[[#This Row],[P1]:[P3]])/1000000000,"-")</f>
        <v>-</v>
      </c>
      <c r="Q18" s="141" t="str">
        <f ca="1">IF(Tableau1[[#This Row],[palette]]&lt;&gt;OFFSET(Tableau1[[#This Row],[palette]],1,),PRODUCT(Tableau1[[#This Row],[B1]:[B3]])*Tableau1[[#This Row],[total]]/1000000000,"-")</f>
        <v>-</v>
      </c>
      <c r="R18" s="123" t="str">
        <f ca="1">IF(COUNT(Tableau1[[#This Row],[m3 palette]:[m3 boîtes]])=2,Tableau1[[#This Row],[m3 boîtes]]/Tableau1[[#This Row],[m3 palette]],"-")</f>
        <v>-</v>
      </c>
      <c r="S18" s="126" t="str">
        <f ca="1">IF(ISNUMBER(Tableau1[[#This Row],[rendement]]),COUNTIF(Tableau1[total],"&gt;"&amp;Tableau1[[#This Row],[total]])+1,"")</f>
        <v/>
      </c>
    </row>
    <row r="19" spans="1:19" x14ac:dyDescent="0.25">
      <c r="A19" s="122">
        <v>800</v>
      </c>
      <c r="B19" s="122">
        <v>1200</v>
      </c>
      <c r="C19" s="122">
        <v>1056</v>
      </c>
      <c r="D19" s="148">
        <v>204</v>
      </c>
      <c r="E19" s="149">
        <v>94</v>
      </c>
      <c r="F19" s="150">
        <v>329</v>
      </c>
      <c r="G19" s="125" t="s">
        <v>104</v>
      </c>
      <c r="H19" s="122">
        <v>46.000203999999997</v>
      </c>
      <c r="I19" s="122">
        <v>1056</v>
      </c>
      <c r="J19" s="122">
        <v>329</v>
      </c>
      <c r="K19" s="122">
        <f>100*(Tableau1[[#This Row],[palette]]=$G$2)</f>
        <v>0</v>
      </c>
      <c r="L19" s="122">
        <v>0</v>
      </c>
      <c r="M19" s="122">
        <v>2</v>
      </c>
      <c r="N19" s="143">
        <f>PRODUCT(Tableau1[[#This Row],[B1]:[B2]])*TRUNC(Tableau1[[#This Row],[boites]])/PRODUCT(Tableau1[[#This Row],[P1]:[P2]])</f>
        <v>0.91884999999999994</v>
      </c>
      <c r="O19" s="122" t="str" cm="1">
        <f t="array" aca="1" ref="O19" ca="1">IF(Tableau1[[#This Row],[palette]]&lt;&gt;OFFSET(Tableau1[[#This Row],[palette]],1,),SUMPRODUCT((Tableau1[palette]=Tableau1[[#This Row],[palette]])*Tableau1[boites]*Tableau1[Nombre]),"-")</f>
        <v>-</v>
      </c>
      <c r="P19" s="141" t="str">
        <f ca="1">IF(Tableau1[[#This Row],[palette]]&lt;&gt;OFFSET(Tableau1[[#This Row],[palette]],1,),PRODUCT(Tableau1[[#This Row],[P1]:[P3]])/1000000000,"-")</f>
        <v>-</v>
      </c>
      <c r="Q19" s="141" t="str">
        <f ca="1">IF(Tableau1[[#This Row],[palette]]&lt;&gt;OFFSET(Tableau1[[#This Row],[palette]],1,),PRODUCT(Tableau1[[#This Row],[B1]:[B3]])*Tableau1[[#This Row],[total]]/1000000000,"-")</f>
        <v>-</v>
      </c>
      <c r="R19" s="123" t="str">
        <f ca="1">IF(COUNT(Tableau1[[#This Row],[m3 palette]:[m3 boîtes]])=2,Tableau1[[#This Row],[m3 boîtes]]/Tableau1[[#This Row],[m3 palette]],"-")</f>
        <v>-</v>
      </c>
      <c r="S19" s="126" t="str">
        <f ca="1">IF(ISNUMBER(Tableau1[[#This Row],[rendement]]),COUNTIF(Tableau1[total],"&gt;"&amp;Tableau1[[#This Row],[total]])+1,"")</f>
        <v/>
      </c>
    </row>
    <row r="20" spans="1:19" x14ac:dyDescent="0.25">
      <c r="A20" s="122">
        <v>800</v>
      </c>
      <c r="B20" s="122">
        <v>1200</v>
      </c>
      <c r="C20" s="122">
        <v>1056</v>
      </c>
      <c r="D20" s="148">
        <v>94</v>
      </c>
      <c r="E20" s="149">
        <v>329</v>
      </c>
      <c r="F20" s="150">
        <v>204</v>
      </c>
      <c r="G20" s="125" t="s">
        <v>104</v>
      </c>
      <c r="H20" s="122">
        <v>27.000094000000001</v>
      </c>
      <c r="I20" s="122">
        <v>1056</v>
      </c>
      <c r="J20" s="122">
        <v>204</v>
      </c>
      <c r="K20" s="122">
        <f>100*(Tableau1[[#This Row],[palette]]=$G$2)</f>
        <v>0</v>
      </c>
      <c r="L20" s="122">
        <v>0</v>
      </c>
      <c r="M20" s="122">
        <v>0</v>
      </c>
      <c r="N20" s="143">
        <f>PRODUCT(Tableau1[[#This Row],[B1]:[B2]])*TRUNC(Tableau1[[#This Row],[boites]])/PRODUCT(Tableau1[[#This Row],[P1]:[P2]])</f>
        <v>0.86979375000000003</v>
      </c>
      <c r="O20" s="122" t="str" cm="1">
        <f t="array" aca="1" ref="O20" ca="1">IF(Tableau1[[#This Row],[palette]]&lt;&gt;OFFSET(Tableau1[[#This Row],[palette]],1,),SUMPRODUCT((Tableau1[palette]=Tableau1[[#This Row],[palette]])*Tableau1[boites]*Tableau1[Nombre]),"-")</f>
        <v>-</v>
      </c>
      <c r="P20" s="141" t="str">
        <f ca="1">IF(Tableau1[[#This Row],[palette]]&lt;&gt;OFFSET(Tableau1[[#This Row],[palette]],1,),PRODUCT(Tableau1[[#This Row],[P1]:[P3]])/1000000000,"-")</f>
        <v>-</v>
      </c>
      <c r="Q20" s="141" t="str">
        <f ca="1">IF(Tableau1[[#This Row],[palette]]&lt;&gt;OFFSET(Tableau1[[#This Row],[palette]],1,),PRODUCT(Tableau1[[#This Row],[B1]:[B3]])*Tableau1[[#This Row],[total]]/1000000000,"-")</f>
        <v>-</v>
      </c>
      <c r="R20" s="123" t="str">
        <f ca="1">IF(COUNT(Tableau1[[#This Row],[m3 palette]:[m3 boîtes]])=2,Tableau1[[#This Row],[m3 boîtes]]/Tableau1[[#This Row],[m3 palette]],"-")</f>
        <v>-</v>
      </c>
      <c r="S20" s="126" t="str">
        <f ca="1">IF(ISNUMBER(Tableau1[[#This Row],[rendement]]),COUNTIF(Tableau1[total],"&gt;"&amp;Tableau1[[#This Row],[total]])+1,"")</f>
        <v/>
      </c>
    </row>
    <row r="21" spans="1:19" x14ac:dyDescent="0.25">
      <c r="A21" s="122">
        <v>800</v>
      </c>
      <c r="B21" s="122">
        <v>1200</v>
      </c>
      <c r="C21" s="122">
        <v>1056</v>
      </c>
      <c r="D21" s="148">
        <v>94</v>
      </c>
      <c r="E21" s="149">
        <v>204</v>
      </c>
      <c r="F21" s="150">
        <v>329</v>
      </c>
      <c r="G21" s="125" t="s">
        <v>104</v>
      </c>
      <c r="H21" s="122">
        <v>46.000093999999997</v>
      </c>
      <c r="I21" s="122">
        <v>1056</v>
      </c>
      <c r="J21" s="122">
        <v>329</v>
      </c>
      <c r="K21" s="122">
        <f>100*(Tableau1[[#This Row],[palette]]=$G$2)</f>
        <v>0</v>
      </c>
      <c r="L21" s="122">
        <v>0</v>
      </c>
      <c r="M21" s="122">
        <v>0</v>
      </c>
      <c r="N21" s="143">
        <f>PRODUCT(Tableau1[[#This Row],[B1]:[B2]])*TRUNC(Tableau1[[#This Row],[boites]])/PRODUCT(Tableau1[[#This Row],[P1]:[P2]])</f>
        <v>0.91884999999999994</v>
      </c>
      <c r="O21" s="122" cm="1">
        <f t="array" aca="1" ref="O21" ca="1">IF(Tableau1[[#This Row],[palette]]&lt;&gt;OFFSET(Tableau1[[#This Row],[palette]],1,),SUMPRODUCT((Tableau1[palette]=Tableau1[[#This Row],[palette]])*Tableau1[boites]*Tableau1[Nombre]),"-")</f>
        <v>141.001395</v>
      </c>
      <c r="P21" s="141">
        <f ca="1">IF(Tableau1[[#This Row],[palette]]&lt;&gt;OFFSET(Tableau1[[#This Row],[palette]],1,),PRODUCT(Tableau1[[#This Row],[P1]:[P3]])/1000000000,"-")</f>
        <v>1.01376</v>
      </c>
      <c r="Q21" s="141">
        <f ca="1">IF(Tableau1[[#This Row],[palette]]&lt;&gt;OFFSET(Tableau1[[#This Row],[palette]],1,),PRODUCT(Tableau1[[#This Row],[B1]:[B3]])*Tableau1[[#This Row],[total]]/1000000000,"-")</f>
        <v>0.88956426492107998</v>
      </c>
      <c r="R21" s="123">
        <f ca="1">IF(COUNT(Tableau1[[#This Row],[m3 palette]:[m3 boîtes]])=2,Tableau1[[#This Row],[m3 boîtes]]/Tableau1[[#This Row],[m3 palette]],"-")</f>
        <v>0.87749000248686082</v>
      </c>
      <c r="S21" s="126">
        <f ca="1">IF(ISNUMBER(Tableau1[[#This Row],[rendement]]),COUNTIF(Tableau1[total],"&gt;"&amp;Tableau1[[#This Row],[total]])+1,"")</f>
        <v>4</v>
      </c>
    </row>
    <row r="22" spans="1:19" x14ac:dyDescent="0.25">
      <c r="A22" s="122">
        <v>800</v>
      </c>
      <c r="B22" s="122">
        <v>1056</v>
      </c>
      <c r="C22" s="122">
        <v>1200</v>
      </c>
      <c r="D22" s="148">
        <v>329</v>
      </c>
      <c r="E22" s="149">
        <v>204</v>
      </c>
      <c r="F22" s="150">
        <v>94</v>
      </c>
      <c r="G22" s="125" t="s">
        <v>105</v>
      </c>
      <c r="H22" s="122">
        <v>11.000329000000001</v>
      </c>
      <c r="I22" s="122">
        <v>1200</v>
      </c>
      <c r="J22" s="122">
        <v>94</v>
      </c>
      <c r="K22" s="122">
        <f>100*(Tableau1[[#This Row],[palette]]=$G$2)</f>
        <v>0</v>
      </c>
      <c r="L22" s="122">
        <v>0</v>
      </c>
      <c r="M22" s="122">
        <v>0</v>
      </c>
      <c r="N22" s="143">
        <f>PRODUCT(Tableau1[[#This Row],[B1]:[B2]])*TRUNC(Tableau1[[#This Row],[boites]])/PRODUCT(Tableau1[[#This Row],[P1]:[P2]])</f>
        <v>0.87390625</v>
      </c>
      <c r="O22" s="122" t="str" cm="1">
        <f t="array" aca="1" ref="O22" ca="1">IF(Tableau1[[#This Row],[palette]]&lt;&gt;OFFSET(Tableau1[[#This Row],[palette]],1,),SUMPRODUCT((Tableau1[palette]=Tableau1[[#This Row],[palette]])*Tableau1[boites]*Tableau1[Nombre]),"-")</f>
        <v>-</v>
      </c>
      <c r="P22" s="141" t="str">
        <f ca="1">IF(Tableau1[[#This Row],[palette]]&lt;&gt;OFFSET(Tableau1[[#This Row],[palette]],1,),PRODUCT(Tableau1[[#This Row],[P1]:[P3]])/1000000000,"-")</f>
        <v>-</v>
      </c>
      <c r="Q22" s="141" t="str">
        <f ca="1">IF(Tableau1[[#This Row],[palette]]&lt;&gt;OFFSET(Tableau1[[#This Row],[palette]],1,),PRODUCT(Tableau1[[#This Row],[B1]:[B3]])*Tableau1[[#This Row],[total]]/1000000000,"-")</f>
        <v>-</v>
      </c>
      <c r="R22" s="123" t="str">
        <f ca="1">IF(COUNT(Tableau1[[#This Row],[m3 palette]:[m3 boîtes]])=2,Tableau1[[#This Row],[m3 boîtes]]/Tableau1[[#This Row],[m3 palette]],"-")</f>
        <v>-</v>
      </c>
      <c r="S22" s="126" t="str">
        <f ca="1">IF(ISNUMBER(Tableau1[[#This Row],[rendement]]),COUNTIF(Tableau1[total],"&gt;"&amp;Tableau1[[#This Row],[total]])+1,"")</f>
        <v/>
      </c>
    </row>
    <row r="23" spans="1:19" x14ac:dyDescent="0.25">
      <c r="A23" s="122">
        <v>800</v>
      </c>
      <c r="B23" s="122">
        <v>1056</v>
      </c>
      <c r="C23" s="122">
        <v>1200</v>
      </c>
      <c r="D23" s="148">
        <v>329</v>
      </c>
      <c r="E23" s="149">
        <v>94</v>
      </c>
      <c r="F23" s="150">
        <v>204</v>
      </c>
      <c r="G23" s="125" t="s">
        <v>105</v>
      </c>
      <c r="H23" s="122">
        <v>26.000329000000001</v>
      </c>
      <c r="I23" s="122">
        <v>1200</v>
      </c>
      <c r="J23" s="122">
        <v>204</v>
      </c>
      <c r="K23" s="122">
        <f>100*(Tableau1[[#This Row],[palette]]=$G$2)</f>
        <v>0</v>
      </c>
      <c r="L23" s="122">
        <v>0</v>
      </c>
      <c r="M23" s="122">
        <v>1</v>
      </c>
      <c r="N23" s="143">
        <f>PRODUCT(Tableau1[[#This Row],[B1]:[B2]])*TRUNC(Tableau1[[#This Row],[boites]])/PRODUCT(Tableau1[[#This Row],[P1]:[P2]])</f>
        <v>0.95179450757575756</v>
      </c>
      <c r="O23" s="122" t="str" cm="1">
        <f t="array" aca="1" ref="O23" ca="1">IF(Tableau1[[#This Row],[palette]]&lt;&gt;OFFSET(Tableau1[[#This Row],[palette]],1,),SUMPRODUCT((Tableau1[palette]=Tableau1[[#This Row],[palette]])*Tableau1[boites]*Tableau1[Nombre]),"-")</f>
        <v>-</v>
      </c>
      <c r="P23" s="141" t="str">
        <f ca="1">IF(Tableau1[[#This Row],[palette]]&lt;&gt;OFFSET(Tableau1[[#This Row],[palette]],1,),PRODUCT(Tableau1[[#This Row],[P1]:[P3]])/1000000000,"-")</f>
        <v>-</v>
      </c>
      <c r="Q23" s="141" t="str">
        <f ca="1">IF(Tableau1[[#This Row],[palette]]&lt;&gt;OFFSET(Tableau1[[#This Row],[palette]],1,),PRODUCT(Tableau1[[#This Row],[B1]:[B3]])*Tableau1[[#This Row],[total]]/1000000000,"-")</f>
        <v>-</v>
      </c>
      <c r="R23" s="123" t="str">
        <f ca="1">IF(COUNT(Tableau1[[#This Row],[m3 palette]:[m3 boîtes]])=2,Tableau1[[#This Row],[m3 boîtes]]/Tableau1[[#This Row],[m3 palette]],"-")</f>
        <v>-</v>
      </c>
      <c r="S23" s="126" t="str">
        <f ca="1">IF(ISNUMBER(Tableau1[[#This Row],[rendement]]),COUNTIF(Tableau1[total],"&gt;"&amp;Tableau1[[#This Row],[total]])+1,"")</f>
        <v/>
      </c>
    </row>
    <row r="24" spans="1:19" x14ac:dyDescent="0.25">
      <c r="A24" s="122">
        <v>800</v>
      </c>
      <c r="B24" s="122">
        <v>1056</v>
      </c>
      <c r="C24" s="122">
        <v>1200</v>
      </c>
      <c r="D24" s="148">
        <v>204</v>
      </c>
      <c r="E24" s="149">
        <v>329</v>
      </c>
      <c r="F24" s="150">
        <v>94</v>
      </c>
      <c r="G24" s="125" t="s">
        <v>105</v>
      </c>
      <c r="H24" s="122">
        <v>11.000204</v>
      </c>
      <c r="I24" s="122">
        <v>1200</v>
      </c>
      <c r="J24" s="122">
        <v>94</v>
      </c>
      <c r="K24" s="122">
        <f>100*(Tableau1[[#This Row],[palette]]=$G$2)</f>
        <v>0</v>
      </c>
      <c r="L24" s="122">
        <v>0</v>
      </c>
      <c r="M24" s="122">
        <v>0</v>
      </c>
      <c r="N24" s="143">
        <f>PRODUCT(Tableau1[[#This Row],[B1]:[B2]])*TRUNC(Tableau1[[#This Row],[boites]])/PRODUCT(Tableau1[[#This Row],[P1]:[P2]])</f>
        <v>0.87390625</v>
      </c>
      <c r="O24" s="122" t="str" cm="1">
        <f t="array" aca="1" ref="O24" ca="1">IF(Tableau1[[#This Row],[palette]]&lt;&gt;OFFSET(Tableau1[[#This Row],[palette]],1,),SUMPRODUCT((Tableau1[palette]=Tableau1[[#This Row],[palette]])*Tableau1[boites]*Tableau1[Nombre]),"-")</f>
        <v>-</v>
      </c>
      <c r="P24" s="141" t="str">
        <f ca="1">IF(Tableau1[[#This Row],[palette]]&lt;&gt;OFFSET(Tableau1[[#This Row],[palette]],1,),PRODUCT(Tableau1[[#This Row],[P1]:[P3]])/1000000000,"-")</f>
        <v>-</v>
      </c>
      <c r="Q24" s="141" t="str">
        <f ca="1">IF(Tableau1[[#This Row],[palette]]&lt;&gt;OFFSET(Tableau1[[#This Row],[palette]],1,),PRODUCT(Tableau1[[#This Row],[B1]:[B3]])*Tableau1[[#This Row],[total]]/1000000000,"-")</f>
        <v>-</v>
      </c>
      <c r="R24" s="123" t="str">
        <f ca="1">IF(COUNT(Tableau1[[#This Row],[m3 palette]:[m3 boîtes]])=2,Tableau1[[#This Row],[m3 boîtes]]/Tableau1[[#This Row],[m3 palette]],"-")</f>
        <v>-</v>
      </c>
      <c r="S24" s="126" t="str">
        <f ca="1">IF(ISNUMBER(Tableau1[[#This Row],[rendement]]),COUNTIF(Tableau1[total],"&gt;"&amp;Tableau1[[#This Row],[total]])+1,"")</f>
        <v/>
      </c>
    </row>
    <row r="25" spans="1:19" x14ac:dyDescent="0.25">
      <c r="A25" s="122">
        <v>800</v>
      </c>
      <c r="B25" s="122">
        <v>1056</v>
      </c>
      <c r="C25" s="122">
        <v>1200</v>
      </c>
      <c r="D25" s="148">
        <v>204</v>
      </c>
      <c r="E25" s="149">
        <v>94</v>
      </c>
      <c r="F25" s="150">
        <v>329</v>
      </c>
      <c r="G25" s="125" t="s">
        <v>105</v>
      </c>
      <c r="H25" s="122">
        <v>43.000203999999997</v>
      </c>
      <c r="I25" s="122">
        <v>1200</v>
      </c>
      <c r="J25" s="122">
        <v>329</v>
      </c>
      <c r="K25" s="122">
        <f>100*(Tableau1[[#This Row],[palette]]=$G$2)</f>
        <v>0</v>
      </c>
      <c r="L25" s="122">
        <v>0</v>
      </c>
      <c r="M25" s="122">
        <v>3</v>
      </c>
      <c r="N25" s="143">
        <f>PRODUCT(Tableau1[[#This Row],[B1]:[B2]])*TRUNC(Tableau1[[#This Row],[boites]])/PRODUCT(Tableau1[[#This Row],[P1]:[P2]])</f>
        <v>0.97605113636363638</v>
      </c>
      <c r="O25" s="122" t="str" cm="1">
        <f t="array" aca="1" ref="O25" ca="1">IF(Tableau1[[#This Row],[palette]]&lt;&gt;OFFSET(Tableau1[[#This Row],[palette]],1,),SUMPRODUCT((Tableau1[palette]=Tableau1[[#This Row],[palette]])*Tableau1[boites]*Tableau1[Nombre]),"-")</f>
        <v>-</v>
      </c>
      <c r="P25" s="141" t="str">
        <f ca="1">IF(Tableau1[[#This Row],[palette]]&lt;&gt;OFFSET(Tableau1[[#This Row],[palette]],1,),PRODUCT(Tableau1[[#This Row],[P1]:[P3]])/1000000000,"-")</f>
        <v>-</v>
      </c>
      <c r="Q25" s="141" t="str">
        <f ca="1">IF(Tableau1[[#This Row],[palette]]&lt;&gt;OFFSET(Tableau1[[#This Row],[palette]],1,),PRODUCT(Tableau1[[#This Row],[B1]:[B3]])*Tableau1[[#This Row],[total]]/1000000000,"-")</f>
        <v>-</v>
      </c>
      <c r="R25" s="123" t="str">
        <f ca="1">IF(COUNT(Tableau1[[#This Row],[m3 palette]:[m3 boîtes]])=2,Tableau1[[#This Row],[m3 boîtes]]/Tableau1[[#This Row],[m3 palette]],"-")</f>
        <v>-</v>
      </c>
      <c r="S25" s="126" t="str">
        <f ca="1">IF(ISNUMBER(Tableau1[[#This Row],[rendement]]),COUNTIF(Tableau1[total],"&gt;"&amp;Tableau1[[#This Row],[total]])+1,"")</f>
        <v/>
      </c>
    </row>
    <row r="26" spans="1:19" x14ac:dyDescent="0.25">
      <c r="A26" s="122">
        <v>800</v>
      </c>
      <c r="B26" s="122">
        <v>1056</v>
      </c>
      <c r="C26" s="122">
        <v>1200</v>
      </c>
      <c r="D26" s="148">
        <v>94</v>
      </c>
      <c r="E26" s="149">
        <v>329</v>
      </c>
      <c r="F26" s="150">
        <v>204</v>
      </c>
      <c r="G26" s="125" t="s">
        <v>105</v>
      </c>
      <c r="H26" s="122">
        <v>26.000094000000001</v>
      </c>
      <c r="I26" s="122">
        <v>1200</v>
      </c>
      <c r="J26" s="122">
        <v>204</v>
      </c>
      <c r="K26" s="122">
        <f>100*(Tableau1[[#This Row],[palette]]=$G$2)</f>
        <v>0</v>
      </c>
      <c r="L26" s="122">
        <v>0</v>
      </c>
      <c r="M26" s="122">
        <v>0</v>
      </c>
      <c r="N26" s="143">
        <f>PRODUCT(Tableau1[[#This Row],[B1]:[B2]])*TRUNC(Tableau1[[#This Row],[boites]])/PRODUCT(Tableau1[[#This Row],[P1]:[P2]])</f>
        <v>0.95179450757575756</v>
      </c>
      <c r="O26" s="122" t="str" cm="1">
        <f t="array" aca="1" ref="O26" ca="1">IF(Tableau1[[#This Row],[palette]]&lt;&gt;OFFSET(Tableau1[[#This Row],[palette]],1,),SUMPRODUCT((Tableau1[palette]=Tableau1[[#This Row],[palette]])*Tableau1[boites]*Tableau1[Nombre]),"-")</f>
        <v>-</v>
      </c>
      <c r="P26" s="141" t="str">
        <f ca="1">IF(Tableau1[[#This Row],[palette]]&lt;&gt;OFFSET(Tableau1[[#This Row],[palette]],1,),PRODUCT(Tableau1[[#This Row],[P1]:[P3]])/1000000000,"-")</f>
        <v>-</v>
      </c>
      <c r="Q26" s="141" t="str">
        <f ca="1">IF(Tableau1[[#This Row],[palette]]&lt;&gt;OFFSET(Tableau1[[#This Row],[palette]],1,),PRODUCT(Tableau1[[#This Row],[B1]:[B3]])*Tableau1[[#This Row],[total]]/1000000000,"-")</f>
        <v>-</v>
      </c>
      <c r="R26" s="123" t="str">
        <f ca="1">IF(COUNT(Tableau1[[#This Row],[m3 palette]:[m3 boîtes]])=2,Tableau1[[#This Row],[m3 boîtes]]/Tableau1[[#This Row],[m3 palette]],"-")</f>
        <v>-</v>
      </c>
      <c r="S26" s="126" t="str">
        <f ca="1">IF(ISNUMBER(Tableau1[[#This Row],[rendement]]),COUNTIF(Tableau1[total],"&gt;"&amp;Tableau1[[#This Row],[total]])+1,"")</f>
        <v/>
      </c>
    </row>
    <row r="27" spans="1:19" x14ac:dyDescent="0.25">
      <c r="A27" s="122">
        <v>800</v>
      </c>
      <c r="B27" s="122">
        <v>1056</v>
      </c>
      <c r="C27" s="122">
        <v>1200</v>
      </c>
      <c r="D27" s="148">
        <v>94</v>
      </c>
      <c r="E27" s="149">
        <v>204</v>
      </c>
      <c r="F27" s="150">
        <v>329</v>
      </c>
      <c r="G27" s="125" t="s">
        <v>105</v>
      </c>
      <c r="H27" s="122">
        <v>43.000093999999997</v>
      </c>
      <c r="I27" s="122">
        <v>1200</v>
      </c>
      <c r="J27" s="122">
        <v>329</v>
      </c>
      <c r="K27" s="122">
        <f>100*(Tableau1[[#This Row],[palette]]=$G$2)</f>
        <v>0</v>
      </c>
      <c r="L27" s="122">
        <v>0</v>
      </c>
      <c r="M27" s="122">
        <v>0</v>
      </c>
      <c r="N27" s="143">
        <f>PRODUCT(Tableau1[[#This Row],[B1]:[B2]])*TRUNC(Tableau1[[#This Row],[boites]])/PRODUCT(Tableau1[[#This Row],[P1]:[P2]])</f>
        <v>0.97605113636363638</v>
      </c>
      <c r="O27" s="122" cm="1">
        <f t="array" aca="1" ref="O27" ca="1">IF(Tableau1[[#This Row],[palette]]&lt;&gt;OFFSET(Tableau1[[#This Row],[palette]],1,),SUMPRODUCT((Tableau1[palette]=Tableau1[[#This Row],[palette]])*Tableau1[boites]*Tableau1[Nombre]),"-")</f>
        <v>155.00094099999998</v>
      </c>
      <c r="P27" s="141">
        <f ca="1">IF(Tableau1[[#This Row],[palette]]&lt;&gt;OFFSET(Tableau1[[#This Row],[palette]],1,),PRODUCT(Tableau1[[#This Row],[P1]:[P3]])/1000000000,"-")</f>
        <v>1.01376</v>
      </c>
      <c r="Q27" s="141">
        <f ca="1">IF(Tableau1[[#This Row],[palette]]&lt;&gt;OFFSET(Tableau1[[#This Row],[palette]],1,),PRODUCT(Tableau1[[#This Row],[B1]:[B3]])*Tableau1[[#This Row],[total]]/1000000000,"-")</f>
        <v>0.9778860566786638</v>
      </c>
      <c r="R27" s="123">
        <f ca="1">IF(COUNT(Tableau1[[#This Row],[m3 palette]:[m3 boîtes]])=2,Tableau1[[#This Row],[m3 boîtes]]/Tableau1[[#This Row],[m3 palette]],"-")</f>
        <v>0.96461298204571477</v>
      </c>
      <c r="S27" s="126">
        <f ca="1">IF(ISNUMBER(Tableau1[[#This Row],[rendement]]),COUNTIF(Tableau1[total],"&gt;"&amp;Tableau1[[#This Row],[total]])+1,"")</f>
        <v>1</v>
      </c>
    </row>
    <row r="28" spans="1:19" x14ac:dyDescent="0.25">
      <c r="A28" s="122">
        <v>1056</v>
      </c>
      <c r="B28" s="122">
        <v>1200</v>
      </c>
      <c r="C28" s="122">
        <v>800</v>
      </c>
      <c r="D28" s="148">
        <v>329</v>
      </c>
      <c r="E28" s="149">
        <v>204</v>
      </c>
      <c r="F28" s="150">
        <v>94</v>
      </c>
      <c r="G28" s="125" t="s">
        <v>106</v>
      </c>
      <c r="H28" s="122">
        <v>15.000329000000001</v>
      </c>
      <c r="I28" s="122">
        <v>800</v>
      </c>
      <c r="J28" s="122">
        <v>94</v>
      </c>
      <c r="K28" s="122">
        <f>100*(Tableau1[[#This Row],[palette]]=$G$2)</f>
        <v>0</v>
      </c>
      <c r="L28" s="122">
        <v>0</v>
      </c>
      <c r="M28" s="122">
        <v>2</v>
      </c>
      <c r="N28" s="143">
        <f>PRODUCT(Tableau1[[#This Row],[B1]:[B2]])*TRUNC(Tableau1[[#This Row],[boites]])/PRODUCT(Tableau1[[#This Row],[P1]:[P2]])</f>
        <v>0.79446022727272725</v>
      </c>
      <c r="O28" s="122" t="str" cm="1">
        <f t="array" aca="1" ref="O28" ca="1">IF(Tableau1[[#This Row],[palette]]&lt;&gt;OFFSET(Tableau1[[#This Row],[palette]],1,),SUMPRODUCT((Tableau1[palette]=Tableau1[[#This Row],[palette]])*Tableau1[boites]*Tableau1[Nombre]),"-")</f>
        <v>-</v>
      </c>
      <c r="P28" s="141" t="str">
        <f ca="1">IF(Tableau1[[#This Row],[palette]]&lt;&gt;OFFSET(Tableau1[[#This Row],[palette]],1,),PRODUCT(Tableau1[[#This Row],[P1]:[P3]])/1000000000,"-")</f>
        <v>-</v>
      </c>
      <c r="Q28" s="141" t="str">
        <f ca="1">IF(Tableau1[[#This Row],[palette]]&lt;&gt;OFFSET(Tableau1[[#This Row],[palette]],1,),PRODUCT(Tableau1[[#This Row],[B1]:[B3]])*Tableau1[[#This Row],[total]]/1000000000,"-")</f>
        <v>-</v>
      </c>
      <c r="R28" s="123" t="str">
        <f ca="1">IF(COUNT(Tableau1[[#This Row],[m3 palette]:[m3 boîtes]])=2,Tableau1[[#This Row],[m3 boîtes]]/Tableau1[[#This Row],[m3 palette]],"-")</f>
        <v>-</v>
      </c>
      <c r="S28" s="126" t="str">
        <f ca="1">IF(ISNUMBER(Tableau1[[#This Row],[rendement]]),COUNTIF(Tableau1[total],"&gt;"&amp;Tableau1[[#This Row],[total]])+1,"")</f>
        <v/>
      </c>
    </row>
    <row r="29" spans="1:19" x14ac:dyDescent="0.25">
      <c r="A29" s="122">
        <v>1056</v>
      </c>
      <c r="B29" s="122">
        <v>1200</v>
      </c>
      <c r="C29" s="122">
        <v>800</v>
      </c>
      <c r="D29" s="148">
        <v>329</v>
      </c>
      <c r="E29" s="149">
        <v>94</v>
      </c>
      <c r="F29" s="150">
        <v>204</v>
      </c>
      <c r="G29" s="125" t="s">
        <v>106</v>
      </c>
      <c r="H29" s="122">
        <v>36.000329000000001</v>
      </c>
      <c r="I29" s="122">
        <v>800</v>
      </c>
      <c r="J29" s="122">
        <v>204</v>
      </c>
      <c r="K29" s="122">
        <f>100*(Tableau1[[#This Row],[palette]]=$G$2)</f>
        <v>0</v>
      </c>
      <c r="L29" s="122">
        <v>0</v>
      </c>
      <c r="M29" s="122">
        <v>3</v>
      </c>
      <c r="N29" s="143">
        <f>PRODUCT(Tableau1[[#This Row],[B1]:[B2]])*TRUNC(Tableau1[[#This Row],[boites]])/PRODUCT(Tableau1[[#This Row],[P1]:[P2]])</f>
        <v>0.87857954545454542</v>
      </c>
      <c r="O29" s="122" t="str" cm="1">
        <f t="array" aca="1" ref="O29" ca="1">IF(Tableau1[[#This Row],[palette]]&lt;&gt;OFFSET(Tableau1[[#This Row],[palette]],1,),SUMPRODUCT((Tableau1[palette]=Tableau1[[#This Row],[palette]])*Tableau1[boites]*Tableau1[Nombre]),"-")</f>
        <v>-</v>
      </c>
      <c r="P29" s="141" t="str">
        <f ca="1">IF(Tableau1[[#This Row],[palette]]&lt;&gt;OFFSET(Tableau1[[#This Row],[palette]],1,),PRODUCT(Tableau1[[#This Row],[P1]:[P3]])/1000000000,"-")</f>
        <v>-</v>
      </c>
      <c r="Q29" s="141" t="str">
        <f ca="1">IF(Tableau1[[#This Row],[palette]]&lt;&gt;OFFSET(Tableau1[[#This Row],[palette]],1,),PRODUCT(Tableau1[[#This Row],[B1]:[B3]])*Tableau1[[#This Row],[total]]/1000000000,"-")</f>
        <v>-</v>
      </c>
      <c r="R29" s="123" t="str">
        <f ca="1">IF(COUNT(Tableau1[[#This Row],[m3 palette]:[m3 boîtes]])=2,Tableau1[[#This Row],[m3 boîtes]]/Tableau1[[#This Row],[m3 palette]],"-")</f>
        <v>-</v>
      </c>
      <c r="S29" s="126" t="str">
        <f ca="1">IF(ISNUMBER(Tableau1[[#This Row],[rendement]]),COUNTIF(Tableau1[total],"&gt;"&amp;Tableau1[[#This Row],[total]])+1,"")</f>
        <v/>
      </c>
    </row>
    <row r="30" spans="1:19" x14ac:dyDescent="0.25">
      <c r="A30" s="122">
        <v>1056</v>
      </c>
      <c r="B30" s="122">
        <v>1200</v>
      </c>
      <c r="C30" s="122">
        <v>800</v>
      </c>
      <c r="D30" s="148">
        <v>204</v>
      </c>
      <c r="E30" s="149">
        <v>329</v>
      </c>
      <c r="F30" s="150">
        <v>94</v>
      </c>
      <c r="G30" s="125" t="s">
        <v>106</v>
      </c>
      <c r="H30" s="122">
        <v>15.000204</v>
      </c>
      <c r="I30" s="122">
        <v>800</v>
      </c>
      <c r="J30" s="122">
        <v>94</v>
      </c>
      <c r="K30" s="122">
        <f>100*(Tableau1[[#This Row],[palette]]=$G$2)</f>
        <v>0</v>
      </c>
      <c r="L30" s="122">
        <v>0</v>
      </c>
      <c r="M30" s="122">
        <v>0</v>
      </c>
      <c r="N30" s="143">
        <f>PRODUCT(Tableau1[[#This Row],[B1]:[B2]])*TRUNC(Tableau1[[#This Row],[boites]])/PRODUCT(Tableau1[[#This Row],[P1]:[P2]])</f>
        <v>0.79446022727272725</v>
      </c>
      <c r="O30" s="122" t="str" cm="1">
        <f t="array" aca="1" ref="O30" ca="1">IF(Tableau1[[#This Row],[palette]]&lt;&gt;OFFSET(Tableau1[[#This Row],[palette]],1,),SUMPRODUCT((Tableau1[palette]=Tableau1[[#This Row],[palette]])*Tableau1[boites]*Tableau1[Nombre]),"-")</f>
        <v>-</v>
      </c>
      <c r="P30" s="141" t="str">
        <f ca="1">IF(Tableau1[[#This Row],[palette]]&lt;&gt;OFFSET(Tableau1[[#This Row],[palette]],1,),PRODUCT(Tableau1[[#This Row],[P1]:[P3]])/1000000000,"-")</f>
        <v>-</v>
      </c>
      <c r="Q30" s="141" t="str">
        <f ca="1">IF(Tableau1[[#This Row],[palette]]&lt;&gt;OFFSET(Tableau1[[#This Row],[palette]],1,),PRODUCT(Tableau1[[#This Row],[B1]:[B3]])*Tableau1[[#This Row],[total]]/1000000000,"-")</f>
        <v>-</v>
      </c>
      <c r="R30" s="123" t="str">
        <f ca="1">IF(COUNT(Tableau1[[#This Row],[m3 palette]:[m3 boîtes]])=2,Tableau1[[#This Row],[m3 boîtes]]/Tableau1[[#This Row],[m3 palette]],"-")</f>
        <v>-</v>
      </c>
      <c r="S30" s="126" t="str">
        <f ca="1">IF(ISNUMBER(Tableau1[[#This Row],[rendement]]),COUNTIF(Tableau1[total],"&gt;"&amp;Tableau1[[#This Row],[total]])+1,"")</f>
        <v/>
      </c>
    </row>
    <row r="31" spans="1:19" x14ac:dyDescent="0.25">
      <c r="A31" s="122">
        <v>1056</v>
      </c>
      <c r="B31" s="122">
        <v>1200</v>
      </c>
      <c r="C31" s="122">
        <v>800</v>
      </c>
      <c r="D31" s="148">
        <v>204</v>
      </c>
      <c r="E31" s="149">
        <v>94</v>
      </c>
      <c r="F31" s="150">
        <v>329</v>
      </c>
      <c r="G31" s="125" t="s">
        <v>106</v>
      </c>
      <c r="H31" s="122">
        <v>60.000203999999997</v>
      </c>
      <c r="I31" s="122">
        <v>800</v>
      </c>
      <c r="J31" s="122">
        <v>329</v>
      </c>
      <c r="K31" s="122">
        <f>100*(Tableau1[[#This Row],[palette]]=$G$2)</f>
        <v>0</v>
      </c>
      <c r="L31" s="122">
        <v>0</v>
      </c>
      <c r="M31" s="122">
        <v>0</v>
      </c>
      <c r="N31" s="143">
        <f>PRODUCT(Tableau1[[#This Row],[B1]:[B2]])*TRUNC(Tableau1[[#This Row],[boites]])/PRODUCT(Tableau1[[#This Row],[P1]:[P2]])</f>
        <v>0.90795454545454546</v>
      </c>
      <c r="O31" s="122" t="str" cm="1">
        <f t="array" aca="1" ref="O31" ca="1">IF(Tableau1[[#This Row],[palette]]&lt;&gt;OFFSET(Tableau1[[#This Row],[palette]],1,),SUMPRODUCT((Tableau1[palette]=Tableau1[[#This Row],[palette]])*Tableau1[boites]*Tableau1[Nombre]),"-")</f>
        <v>-</v>
      </c>
      <c r="P31" s="141" t="str">
        <f ca="1">IF(Tableau1[[#This Row],[palette]]&lt;&gt;OFFSET(Tableau1[[#This Row],[palette]],1,),PRODUCT(Tableau1[[#This Row],[P1]:[P3]])/1000000000,"-")</f>
        <v>-</v>
      </c>
      <c r="Q31" s="141" t="str">
        <f ca="1">IF(Tableau1[[#This Row],[palette]]&lt;&gt;OFFSET(Tableau1[[#This Row],[palette]],1,),PRODUCT(Tableau1[[#This Row],[B1]:[B3]])*Tableau1[[#This Row],[total]]/1000000000,"-")</f>
        <v>-</v>
      </c>
      <c r="R31" s="123" t="str">
        <f ca="1">IF(COUNT(Tableau1[[#This Row],[m3 palette]:[m3 boîtes]])=2,Tableau1[[#This Row],[m3 boîtes]]/Tableau1[[#This Row],[m3 palette]],"-")</f>
        <v>-</v>
      </c>
      <c r="S31" s="126" t="str">
        <f ca="1">IF(ISNUMBER(Tableau1[[#This Row],[rendement]]),COUNTIF(Tableau1[total],"&gt;"&amp;Tableau1[[#This Row],[total]])+1,"")</f>
        <v/>
      </c>
    </row>
    <row r="32" spans="1:19" x14ac:dyDescent="0.25">
      <c r="A32" s="122">
        <v>1056</v>
      </c>
      <c r="B32" s="122">
        <v>1200</v>
      </c>
      <c r="C32" s="122">
        <v>800</v>
      </c>
      <c r="D32" s="148">
        <v>94</v>
      </c>
      <c r="E32" s="149">
        <v>329</v>
      </c>
      <c r="F32" s="150">
        <v>204</v>
      </c>
      <c r="G32" s="125" t="s">
        <v>106</v>
      </c>
      <c r="H32" s="122">
        <v>36.000093999999997</v>
      </c>
      <c r="I32" s="122">
        <v>800</v>
      </c>
      <c r="J32" s="122">
        <v>204</v>
      </c>
      <c r="K32" s="122">
        <f>100*(Tableau1[[#This Row],[palette]]=$G$2)</f>
        <v>0</v>
      </c>
      <c r="L32" s="122">
        <v>0</v>
      </c>
      <c r="M32" s="122">
        <v>0</v>
      </c>
      <c r="N32" s="143">
        <f>PRODUCT(Tableau1[[#This Row],[B1]:[B2]])*TRUNC(Tableau1[[#This Row],[boites]])/PRODUCT(Tableau1[[#This Row],[P1]:[P2]])</f>
        <v>0.87857954545454542</v>
      </c>
      <c r="O32" s="122" t="str" cm="1">
        <f t="array" aca="1" ref="O32" ca="1">IF(Tableau1[[#This Row],[palette]]&lt;&gt;OFFSET(Tableau1[[#This Row],[palette]],1,),SUMPRODUCT((Tableau1[palette]=Tableau1[[#This Row],[palette]])*Tableau1[boites]*Tableau1[Nombre]),"-")</f>
        <v>-</v>
      </c>
      <c r="P32" s="141" t="str">
        <f ca="1">IF(Tableau1[[#This Row],[palette]]&lt;&gt;OFFSET(Tableau1[[#This Row],[palette]],1,),PRODUCT(Tableau1[[#This Row],[P1]:[P3]])/1000000000,"-")</f>
        <v>-</v>
      </c>
      <c r="Q32" s="141" t="str">
        <f ca="1">IF(Tableau1[[#This Row],[palette]]&lt;&gt;OFFSET(Tableau1[[#This Row],[palette]],1,),PRODUCT(Tableau1[[#This Row],[B1]:[B3]])*Tableau1[[#This Row],[total]]/1000000000,"-")</f>
        <v>-</v>
      </c>
      <c r="R32" s="123" t="str">
        <f ca="1">IF(COUNT(Tableau1[[#This Row],[m3 palette]:[m3 boîtes]])=2,Tableau1[[#This Row],[m3 boîtes]]/Tableau1[[#This Row],[m3 palette]],"-")</f>
        <v>-</v>
      </c>
      <c r="S32" s="126" t="str">
        <f ca="1">IF(ISNUMBER(Tableau1[[#This Row],[rendement]]),COUNTIF(Tableau1[total],"&gt;"&amp;Tableau1[[#This Row],[total]])+1,"")</f>
        <v/>
      </c>
    </row>
    <row r="33" spans="1:19" x14ac:dyDescent="0.25">
      <c r="A33" s="122">
        <v>1056</v>
      </c>
      <c r="B33" s="122">
        <v>1200</v>
      </c>
      <c r="C33" s="122">
        <v>800</v>
      </c>
      <c r="D33" s="148">
        <v>94</v>
      </c>
      <c r="E33" s="149">
        <v>204</v>
      </c>
      <c r="F33" s="150">
        <v>329</v>
      </c>
      <c r="G33" s="125" t="s">
        <v>106</v>
      </c>
      <c r="H33" s="122">
        <v>60.000093999999997</v>
      </c>
      <c r="I33" s="122">
        <v>800</v>
      </c>
      <c r="J33" s="122">
        <v>329</v>
      </c>
      <c r="K33" s="122">
        <f>100*(Tableau1[[#This Row],[palette]]=$G$2)</f>
        <v>0</v>
      </c>
      <c r="L33" s="122">
        <v>0</v>
      </c>
      <c r="M33" s="122">
        <v>0</v>
      </c>
      <c r="N33" s="143">
        <f>PRODUCT(Tableau1[[#This Row],[B1]:[B2]])*TRUNC(Tableau1[[#This Row],[boites]])/PRODUCT(Tableau1[[#This Row],[P1]:[P2]])</f>
        <v>0.90795454545454546</v>
      </c>
      <c r="O33" s="122" cm="1">
        <f t="array" aca="1" ref="O33" ca="1">IF(Tableau1[[#This Row],[palette]]&lt;&gt;OFFSET(Tableau1[[#This Row],[palette]],1,),SUMPRODUCT((Tableau1[palette]=Tableau1[[#This Row],[palette]])*Tableau1[boites]*Tableau1[Nombre]),"-")</f>
        <v>138.001645</v>
      </c>
      <c r="P33" s="141">
        <f ca="1">IF(Tableau1[[#This Row],[palette]]&lt;&gt;OFFSET(Tableau1[[#This Row],[palette]],1,),PRODUCT(Tableau1[[#This Row],[P1]:[P3]])/1000000000,"-")</f>
        <v>1.01376</v>
      </c>
      <c r="Q33" s="141">
        <f ca="1">IF(Tableau1[[#This Row],[palette]]&lt;&gt;OFFSET(Tableau1[[#This Row],[palette]],1,),PRODUCT(Tableau1[[#This Row],[B1]:[B3]])*Tableau1[[#This Row],[total]]/1000000000,"-")</f>
        <v>0.87063913014707994</v>
      </c>
      <c r="R33" s="123">
        <f ca="1">IF(COUNT(Tableau1[[#This Row],[m3 palette]:[m3 boîtes]])=2,Tableau1[[#This Row],[m3 boîtes]]/Tableau1[[#This Row],[m3 palette]],"-")</f>
        <v>0.85882174296389668</v>
      </c>
      <c r="S33" s="126">
        <f ca="1">IF(ISNUMBER(Tableau1[[#This Row],[rendement]]),COUNTIF(Tableau1[total],"&gt;"&amp;Tableau1[[#This Row],[total]])+1,"")</f>
        <v>6</v>
      </c>
    </row>
    <row r="34" spans="1:19" x14ac:dyDescent="0.25">
      <c r="A34" s="122">
        <v>1056</v>
      </c>
      <c r="B34" s="122">
        <v>800</v>
      </c>
      <c r="C34" s="122">
        <v>1200</v>
      </c>
      <c r="D34" s="148">
        <v>329</v>
      </c>
      <c r="E34" s="149">
        <v>204</v>
      </c>
      <c r="F34" s="150">
        <v>94</v>
      </c>
      <c r="G34" s="125" t="s">
        <v>107</v>
      </c>
      <c r="H34" s="122">
        <v>10.000329000000001</v>
      </c>
      <c r="I34" s="122">
        <v>1200</v>
      </c>
      <c r="J34" s="122">
        <v>94</v>
      </c>
      <c r="K34" s="122">
        <f>100*(Tableau1[[#This Row],[palette]]=$G$2)</f>
        <v>100</v>
      </c>
      <c r="L34" s="122">
        <v>0</v>
      </c>
      <c r="M34" s="122">
        <v>0</v>
      </c>
      <c r="N34" s="143">
        <f>PRODUCT(Tableau1[[#This Row],[B1]:[B2]])*TRUNC(Tableau1[[#This Row],[boites]])/PRODUCT(Tableau1[[#This Row],[P1]:[P2]])</f>
        <v>0.79446022727272725</v>
      </c>
      <c r="O34" s="122" t="str" cm="1">
        <f t="array" aca="1" ref="O34" ca="1">IF(Tableau1[[#This Row],[palette]]&lt;&gt;OFFSET(Tableau1[[#This Row],[palette]],1,),SUMPRODUCT((Tableau1[palette]=Tableau1[[#This Row],[palette]])*Tableau1[boites]*Tableau1[Nombre]),"-")</f>
        <v>-</v>
      </c>
      <c r="P34" s="141" t="str">
        <f ca="1">IF(Tableau1[[#This Row],[palette]]&lt;&gt;OFFSET(Tableau1[[#This Row],[palette]],1,),PRODUCT(Tableau1[[#This Row],[P1]:[P3]])/1000000000,"-")</f>
        <v>-</v>
      </c>
      <c r="Q34" s="141" t="str">
        <f ca="1">IF(Tableau1[[#This Row],[palette]]&lt;&gt;OFFSET(Tableau1[[#This Row],[palette]],1,),PRODUCT(Tableau1[[#This Row],[B1]:[B3]])*Tableau1[[#This Row],[total]]/1000000000,"-")</f>
        <v>-</v>
      </c>
      <c r="R34" s="123" t="str">
        <f ca="1">IF(COUNT(Tableau1[[#This Row],[m3 palette]:[m3 boîtes]])=2,Tableau1[[#This Row],[m3 boîtes]]/Tableau1[[#This Row],[m3 palette]],"-")</f>
        <v>-</v>
      </c>
      <c r="S34" s="126" t="str">
        <f ca="1">IF(ISNUMBER(Tableau1[[#This Row],[rendement]]),COUNTIF(Tableau1[total],"&gt;"&amp;Tableau1[[#This Row],[total]])+1,"")</f>
        <v/>
      </c>
    </row>
    <row r="35" spans="1:19" x14ac:dyDescent="0.25">
      <c r="A35" s="122">
        <v>1056</v>
      </c>
      <c r="B35" s="122">
        <v>800</v>
      </c>
      <c r="C35" s="122">
        <v>1200</v>
      </c>
      <c r="D35" s="148">
        <v>329</v>
      </c>
      <c r="E35" s="149">
        <v>94</v>
      </c>
      <c r="F35" s="150">
        <v>204</v>
      </c>
      <c r="G35" s="125" t="s">
        <v>107</v>
      </c>
      <c r="H35" s="122">
        <v>24.000329000000001</v>
      </c>
      <c r="I35" s="122">
        <v>1200</v>
      </c>
      <c r="J35" s="122">
        <v>204</v>
      </c>
      <c r="K35" s="122">
        <f>100*(Tableau1[[#This Row],[palette]]=$G$2)</f>
        <v>100</v>
      </c>
      <c r="L35" s="122">
        <v>1</v>
      </c>
      <c r="M35" s="122">
        <v>1</v>
      </c>
      <c r="N35" s="143">
        <f>PRODUCT(Tableau1[[#This Row],[B1]:[B2]])*TRUNC(Tableau1[[#This Row],[boites]])/PRODUCT(Tableau1[[#This Row],[P1]:[P2]])</f>
        <v>0.87857954545454542</v>
      </c>
      <c r="O35" s="122" t="str" cm="1">
        <f t="array" aca="1" ref="O35" ca="1">IF(Tableau1[[#This Row],[palette]]&lt;&gt;OFFSET(Tableau1[[#This Row],[palette]],1,),SUMPRODUCT((Tableau1[palette]=Tableau1[[#This Row],[palette]])*Tableau1[boites]*Tableau1[Nombre]),"-")</f>
        <v>-</v>
      </c>
      <c r="P35" s="141" t="str">
        <f ca="1">IF(Tableau1[[#This Row],[palette]]&lt;&gt;OFFSET(Tableau1[[#This Row],[palette]],1,),PRODUCT(Tableau1[[#This Row],[P1]:[P3]])/1000000000,"-")</f>
        <v>-</v>
      </c>
      <c r="Q35" s="141" t="str">
        <f ca="1">IF(Tableau1[[#This Row],[palette]]&lt;&gt;OFFSET(Tableau1[[#This Row],[palette]],1,),PRODUCT(Tableau1[[#This Row],[B1]:[B3]])*Tableau1[[#This Row],[total]]/1000000000,"-")</f>
        <v>-</v>
      </c>
      <c r="R35" s="123" t="str">
        <f ca="1">IF(COUNT(Tableau1[[#This Row],[m3 palette]:[m3 boîtes]])=2,Tableau1[[#This Row],[m3 boîtes]]/Tableau1[[#This Row],[m3 palette]],"-")</f>
        <v>-</v>
      </c>
      <c r="S35" s="126" t="str">
        <f ca="1">IF(ISNUMBER(Tableau1[[#This Row],[rendement]]),COUNTIF(Tableau1[total],"&gt;"&amp;Tableau1[[#This Row],[total]])+1,"")</f>
        <v/>
      </c>
    </row>
    <row r="36" spans="1:19" x14ac:dyDescent="0.25">
      <c r="A36" s="122">
        <v>1056</v>
      </c>
      <c r="B36" s="122">
        <v>800</v>
      </c>
      <c r="C36" s="122">
        <v>1200</v>
      </c>
      <c r="D36" s="148">
        <v>204</v>
      </c>
      <c r="E36" s="149">
        <v>329</v>
      </c>
      <c r="F36" s="150">
        <v>94</v>
      </c>
      <c r="G36" s="125" t="s">
        <v>107</v>
      </c>
      <c r="H36" s="122">
        <v>10.000204</v>
      </c>
      <c r="I36" s="122">
        <v>1200</v>
      </c>
      <c r="J36" s="122">
        <v>94</v>
      </c>
      <c r="K36" s="122">
        <f>100*(Tableau1[[#This Row],[palette]]=$G$2)</f>
        <v>100</v>
      </c>
      <c r="L36" s="122">
        <v>0</v>
      </c>
      <c r="M36" s="122">
        <v>0</v>
      </c>
      <c r="N36" s="143">
        <f>PRODUCT(Tableau1[[#This Row],[B1]:[B2]])*TRUNC(Tableau1[[#This Row],[boites]])/PRODUCT(Tableau1[[#This Row],[P1]:[P2]])</f>
        <v>0.79446022727272725</v>
      </c>
      <c r="O36" s="122" t="str" cm="1">
        <f t="array" aca="1" ref="O36" ca="1">IF(Tableau1[[#This Row],[palette]]&lt;&gt;OFFSET(Tableau1[[#This Row],[palette]],1,),SUMPRODUCT((Tableau1[palette]=Tableau1[[#This Row],[palette]])*Tableau1[boites]*Tableau1[Nombre]),"-")</f>
        <v>-</v>
      </c>
      <c r="P36" s="141" t="str">
        <f ca="1">IF(Tableau1[[#This Row],[palette]]&lt;&gt;OFFSET(Tableau1[[#This Row],[palette]],1,),PRODUCT(Tableau1[[#This Row],[P1]:[P3]])/1000000000,"-")</f>
        <v>-</v>
      </c>
      <c r="Q36" s="141" t="str">
        <f ca="1">IF(Tableau1[[#This Row],[palette]]&lt;&gt;OFFSET(Tableau1[[#This Row],[palette]],1,),PRODUCT(Tableau1[[#This Row],[B1]:[B3]])*Tableau1[[#This Row],[total]]/1000000000,"-")</f>
        <v>-</v>
      </c>
      <c r="R36" s="123" t="str">
        <f ca="1">IF(COUNT(Tableau1[[#This Row],[m3 palette]:[m3 boîtes]])=2,Tableau1[[#This Row],[m3 boîtes]]/Tableau1[[#This Row],[m3 palette]],"-")</f>
        <v>-</v>
      </c>
      <c r="S36" s="126" t="str">
        <f ca="1">IF(ISNUMBER(Tableau1[[#This Row],[rendement]]),COUNTIF(Tableau1[total],"&gt;"&amp;Tableau1[[#This Row],[total]])+1,"")</f>
        <v/>
      </c>
    </row>
    <row r="37" spans="1:19" x14ac:dyDescent="0.25">
      <c r="A37" s="122">
        <v>1056</v>
      </c>
      <c r="B37" s="122">
        <v>800</v>
      </c>
      <c r="C37" s="122">
        <v>1200</v>
      </c>
      <c r="D37" s="148">
        <v>204</v>
      </c>
      <c r="E37" s="149">
        <v>94</v>
      </c>
      <c r="F37" s="150">
        <v>329</v>
      </c>
      <c r="G37" s="125" t="s">
        <v>107</v>
      </c>
      <c r="H37" s="122">
        <v>40.000203999999997</v>
      </c>
      <c r="I37" s="122">
        <v>1200</v>
      </c>
      <c r="J37" s="122">
        <v>329</v>
      </c>
      <c r="K37" s="122">
        <f>100*(Tableau1[[#This Row],[palette]]=$G$2)</f>
        <v>100</v>
      </c>
      <c r="L37" s="122">
        <v>3</v>
      </c>
      <c r="M37" s="122">
        <v>3</v>
      </c>
      <c r="N37" s="143">
        <f>PRODUCT(Tableau1[[#This Row],[B1]:[B2]])*TRUNC(Tableau1[[#This Row],[boites]])/PRODUCT(Tableau1[[#This Row],[P1]:[P2]])</f>
        <v>0.90795454545454546</v>
      </c>
      <c r="O37" s="122" t="str" cm="1">
        <f t="array" aca="1" ref="O37" ca="1">IF(Tableau1[[#This Row],[palette]]&lt;&gt;OFFSET(Tableau1[[#This Row],[palette]],1,),SUMPRODUCT((Tableau1[palette]=Tableau1[[#This Row],[palette]])*Tableau1[boites]*Tableau1[Nombre]),"-")</f>
        <v>-</v>
      </c>
      <c r="P37" s="141" t="str">
        <f ca="1">IF(Tableau1[[#This Row],[palette]]&lt;&gt;OFFSET(Tableau1[[#This Row],[palette]],1,),PRODUCT(Tableau1[[#This Row],[P1]:[P3]])/1000000000,"-")</f>
        <v>-</v>
      </c>
      <c r="Q37" s="141" t="str">
        <f ca="1">IF(Tableau1[[#This Row],[palette]]&lt;&gt;OFFSET(Tableau1[[#This Row],[palette]],1,),PRODUCT(Tableau1[[#This Row],[B1]:[B3]])*Tableau1[[#This Row],[total]]/1000000000,"-")</f>
        <v>-</v>
      </c>
      <c r="R37" s="123" t="str">
        <f ca="1">IF(COUNT(Tableau1[[#This Row],[m3 palette]:[m3 boîtes]])=2,Tableau1[[#This Row],[m3 boîtes]]/Tableau1[[#This Row],[m3 palette]],"-")</f>
        <v>-</v>
      </c>
      <c r="S37" s="126" t="str">
        <f ca="1">IF(ISNUMBER(Tableau1[[#This Row],[rendement]]),COUNTIF(Tableau1[total],"&gt;"&amp;Tableau1[[#This Row],[total]])+1,"")</f>
        <v/>
      </c>
    </row>
    <row r="38" spans="1:19" x14ac:dyDescent="0.25">
      <c r="A38" s="122">
        <v>1056</v>
      </c>
      <c r="B38" s="122">
        <v>800</v>
      </c>
      <c r="C38" s="122">
        <v>1200</v>
      </c>
      <c r="D38" s="148">
        <v>94</v>
      </c>
      <c r="E38" s="149">
        <v>329</v>
      </c>
      <c r="F38" s="150">
        <v>204</v>
      </c>
      <c r="G38" s="125" t="s">
        <v>107</v>
      </c>
      <c r="H38" s="122">
        <v>24.000094000000001</v>
      </c>
      <c r="I38" s="122">
        <v>1200</v>
      </c>
      <c r="J38" s="122">
        <v>204</v>
      </c>
      <c r="K38" s="122">
        <f>100*(Tableau1[[#This Row],[palette]]=$G$2)</f>
        <v>100</v>
      </c>
      <c r="L38" s="122">
        <v>0</v>
      </c>
      <c r="M38" s="122">
        <v>0</v>
      </c>
      <c r="N38" s="143">
        <f>PRODUCT(Tableau1[[#This Row],[B1]:[B2]])*TRUNC(Tableau1[[#This Row],[boites]])/PRODUCT(Tableau1[[#This Row],[P1]:[P2]])</f>
        <v>0.87857954545454542</v>
      </c>
      <c r="O38" s="122" t="str" cm="1">
        <f t="array" aca="1" ref="O38" ca="1">IF(Tableau1[[#This Row],[palette]]&lt;&gt;OFFSET(Tableau1[[#This Row],[palette]],1,),SUMPRODUCT((Tableau1[palette]=Tableau1[[#This Row],[palette]])*Tableau1[boites]*Tableau1[Nombre]),"-")</f>
        <v>-</v>
      </c>
      <c r="P38" s="141" t="str">
        <f ca="1">IF(Tableau1[[#This Row],[palette]]&lt;&gt;OFFSET(Tableau1[[#This Row],[palette]],1,),PRODUCT(Tableau1[[#This Row],[P1]:[P3]])/1000000000,"-")</f>
        <v>-</v>
      </c>
      <c r="Q38" s="141" t="str">
        <f ca="1">IF(Tableau1[[#This Row],[palette]]&lt;&gt;OFFSET(Tableau1[[#This Row],[palette]],1,),PRODUCT(Tableau1[[#This Row],[B1]:[B3]])*Tableau1[[#This Row],[total]]/1000000000,"-")</f>
        <v>-</v>
      </c>
      <c r="R38" s="123" t="str">
        <f ca="1">IF(COUNT(Tableau1[[#This Row],[m3 palette]:[m3 boîtes]])=2,Tableau1[[#This Row],[m3 boîtes]]/Tableau1[[#This Row],[m3 palette]],"-")</f>
        <v>-</v>
      </c>
      <c r="S38" s="126" t="str">
        <f ca="1">IF(ISNUMBER(Tableau1[[#This Row],[rendement]]),COUNTIF(Tableau1[total],"&gt;"&amp;Tableau1[[#This Row],[total]])+1,"")</f>
        <v/>
      </c>
    </row>
    <row r="39" spans="1:19" ht="13.8" thickBot="1" x14ac:dyDescent="0.3">
      <c r="A39" s="122">
        <v>1056</v>
      </c>
      <c r="B39" s="122">
        <v>800</v>
      </c>
      <c r="C39" s="122">
        <v>1200</v>
      </c>
      <c r="D39" s="151">
        <v>94</v>
      </c>
      <c r="E39" s="152">
        <v>204</v>
      </c>
      <c r="F39" s="153">
        <v>329</v>
      </c>
      <c r="G39" s="125" t="s">
        <v>107</v>
      </c>
      <c r="H39" s="122">
        <v>40.000093999999997</v>
      </c>
      <c r="I39" s="122">
        <v>1200</v>
      </c>
      <c r="J39" s="122">
        <v>329</v>
      </c>
      <c r="K39" s="122">
        <f>100*(Tableau1[[#This Row],[palette]]=$G$2)</f>
        <v>100</v>
      </c>
      <c r="L39" s="122">
        <v>0</v>
      </c>
      <c r="M39" s="122">
        <v>0</v>
      </c>
      <c r="N39" s="144">
        <f>PRODUCT(Tableau1[[#This Row],[B1]:[B2]])*TRUNC(Tableau1[[#This Row],[boites]])/PRODUCT(Tableau1[[#This Row],[P1]:[P2]])</f>
        <v>0.90795454545454546</v>
      </c>
      <c r="O39" s="125" cm="1">
        <f t="array" aca="1" ref="O39" ca="1">IF(Tableau1[[#This Row],[palette]]&lt;&gt;OFFSET(Tableau1[[#This Row],[palette]],1,),SUMPRODUCT((Tableau1[palette]=Tableau1[[#This Row],[palette]])*Tableau1[boites]*Tableau1[Nombre]),"-")</f>
        <v>144.00094099999998</v>
      </c>
      <c r="P39" s="142">
        <f ca="1">IF(Tableau1[[#This Row],[palette]]&lt;&gt;OFFSET(Tableau1[[#This Row],[palette]],1,),PRODUCT(Tableau1[[#This Row],[P1]:[P3]])/1000000000,"-")</f>
        <v>1.01376</v>
      </c>
      <c r="Q39" s="142">
        <f ca="1">IF(Tableau1[[#This Row],[palette]]&lt;&gt;OFFSET(Tableau1[[#This Row],[palette]],1,),PRODUCT(Tableau1[[#This Row],[B1]:[B3]])*Tableau1[[#This Row],[total]]/1000000000,"-")</f>
        <v>0.90848811267866381</v>
      </c>
      <c r="R39" s="127">
        <f ca="1">IF(COUNT(Tableau1[[#This Row],[m3 palette]:[m3 boîtes]])=2,Tableau1[[#This Row],[m3 boîtes]]/Tableau1[[#This Row],[m3 palette]],"-")</f>
        <v>0.89615699246238145</v>
      </c>
      <c r="S39" s="126">
        <f ca="1">IF(ISNUMBER(Tableau1[[#This Row],[rendement]]),COUNTIF(Tableau1[total],"&gt;"&amp;Tableau1[[#This Row],[total]])+1,"")</f>
        <v>3</v>
      </c>
    </row>
  </sheetData>
  <phoneticPr fontId="19" type="noConversion"/>
  <conditionalFormatting sqref="A3:R39">
    <cfRule type="expression" dxfId="5" priority="3">
      <formula>$G3&lt;&gt;OFFSET($G3,1,)</formula>
    </cfRule>
  </conditionalFormatting>
  <conditionalFormatting sqref="N4:S39">
    <cfRule type="expression" dxfId="4" priority="2">
      <formula>$S4=1</formula>
    </cfRule>
  </conditionalFormatting>
  <conditionalFormatting sqref="A3:N39">
    <cfRule type="expression" dxfId="3" priority="1">
      <formula>$M3=0</formula>
    </cfRule>
  </conditionalFormatting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R23"/>
  <sheetViews>
    <sheetView showGridLines="0" workbookViewId="0">
      <pane ySplit="3" topLeftCell="A4" activePane="bottomLeft" state="frozen"/>
      <selection pane="bottomLeft" activeCell="A9" sqref="A9"/>
    </sheetView>
  </sheetViews>
  <sheetFormatPr defaultColWidth="11.5546875" defaultRowHeight="13.2" x14ac:dyDescent="0.25"/>
  <cols>
    <col min="1" max="1" width="11.88671875" bestFit="1" customWidth="1"/>
    <col min="2" max="2" width="34.109375" customWidth="1"/>
    <col min="3" max="3" width="10.44140625" customWidth="1"/>
    <col min="4" max="4" width="8.21875" customWidth="1"/>
    <col min="5" max="5" width="8.88671875" customWidth="1"/>
    <col min="6" max="6" width="7.6640625" customWidth="1"/>
    <col min="7" max="7" width="8.44140625" customWidth="1"/>
    <col min="8" max="8" width="8.109375" customWidth="1"/>
    <col min="9" max="9" width="7.44140625" customWidth="1"/>
    <col min="10" max="10" width="11.88671875" bestFit="1" customWidth="1"/>
    <col min="11" max="11" width="22.6640625" bestFit="1" customWidth="1"/>
    <col min="12" max="12" width="10.77734375" customWidth="1"/>
    <col min="13" max="13" width="8.109375" customWidth="1"/>
    <col min="14" max="14" width="8.88671875" customWidth="1"/>
    <col min="15" max="15" width="6.44140625" customWidth="1"/>
    <col min="16" max="16" width="8.109375" customWidth="1"/>
    <col min="17" max="18" width="7.44140625" customWidth="1"/>
  </cols>
  <sheetData>
    <row r="1" spans="1:18" x14ac:dyDescent="0.25">
      <c r="C1" s="2" t="s">
        <v>13</v>
      </c>
      <c r="L1" s="2" t="s">
        <v>14</v>
      </c>
    </row>
    <row r="2" spans="1:18" ht="7.2" customHeight="1" x14ac:dyDescent="0.25">
      <c r="C2" s="2"/>
      <c r="L2" s="2"/>
    </row>
    <row r="3" spans="1:18" ht="26.4" x14ac:dyDescent="0.25">
      <c r="A3" s="128" t="s">
        <v>95</v>
      </c>
      <c r="B3" s="128" t="s">
        <v>96</v>
      </c>
      <c r="C3" s="4" t="s">
        <v>34</v>
      </c>
      <c r="D3" s="3" t="s">
        <v>9</v>
      </c>
      <c r="E3" s="3" t="s">
        <v>10</v>
      </c>
      <c r="F3" s="4" t="s">
        <v>33</v>
      </c>
      <c r="G3" s="4" t="s">
        <v>55</v>
      </c>
      <c r="H3" s="4" t="s">
        <v>12</v>
      </c>
      <c r="J3" s="128" t="s">
        <v>95</v>
      </c>
      <c r="K3" s="128" t="s">
        <v>96</v>
      </c>
      <c r="L3" s="4" t="s">
        <v>34</v>
      </c>
      <c r="M3" s="3" t="s">
        <v>9</v>
      </c>
      <c r="N3" s="3" t="s">
        <v>10</v>
      </c>
      <c r="O3" s="3" t="s">
        <v>11</v>
      </c>
      <c r="P3" s="4" t="s">
        <v>57</v>
      </c>
      <c r="Q3" s="4" t="s">
        <v>12</v>
      </c>
      <c r="R3" s="4" t="s">
        <v>23</v>
      </c>
    </row>
    <row r="4" spans="1:18" x14ac:dyDescent="0.25">
      <c r="A4" s="8" t="s">
        <v>53</v>
      </c>
      <c r="B4" s="1" t="str">
        <f>CONCATENATE(A4," -Europalette ",C4&amp;"x",D4&amp;"x",E4)</f>
        <v>EPAL1 B&amp;H -Europalette 1200x800x144</v>
      </c>
      <c r="C4" s="5">
        <v>1200</v>
      </c>
      <c r="D4" s="5">
        <v>800</v>
      </c>
      <c r="E4" s="6">
        <v>144</v>
      </c>
      <c r="F4" s="6">
        <v>25</v>
      </c>
      <c r="G4" s="5">
        <v>750</v>
      </c>
      <c r="H4" s="5">
        <v>5500</v>
      </c>
      <c r="J4" s="8" t="s">
        <v>15</v>
      </c>
      <c r="K4" s="1" t="str">
        <f>CONCATENATE(J4&amp;" -"&amp;L4&amp;"x",M4&amp;"x",N4)</f>
        <v>C40 -300x200x90</v>
      </c>
      <c r="L4" s="6">
        <v>300</v>
      </c>
      <c r="M4" s="6">
        <v>200</v>
      </c>
      <c r="N4" s="6">
        <v>90</v>
      </c>
      <c r="O4" s="10">
        <v>0.15</v>
      </c>
      <c r="P4" s="6">
        <v>15</v>
      </c>
      <c r="Q4" s="6"/>
      <c r="R4" s="7">
        <f>L4*M4*N4/(100*100*100)</f>
        <v>5.4</v>
      </c>
    </row>
    <row r="5" spans="1:18" x14ac:dyDescent="0.25">
      <c r="A5" s="8" t="s">
        <v>49</v>
      </c>
      <c r="B5" s="1" t="str">
        <f>CONCATENATE(A5," -Europalette ",C5&amp;"x",D5&amp;"x",E5)</f>
        <v>EPAL1 F -Europalette 1200x800x144</v>
      </c>
      <c r="C5" s="5">
        <v>1200</v>
      </c>
      <c r="D5" s="5">
        <v>800</v>
      </c>
      <c r="E5" s="6">
        <v>144</v>
      </c>
      <c r="F5" s="6">
        <v>25</v>
      </c>
      <c r="G5" s="5">
        <v>1000</v>
      </c>
      <c r="H5" s="5">
        <v>5500</v>
      </c>
      <c r="J5" s="8" t="s">
        <v>22</v>
      </c>
      <c r="K5" s="1" t="str">
        <f t="shared" ref="K5:K16" si="0">CONCATENATE(J5&amp;" -"&amp;L5&amp;"x",M5&amp;"x",N5)</f>
        <v>A12 -400x300x300</v>
      </c>
      <c r="L5" s="6">
        <v>400</v>
      </c>
      <c r="M5" s="6">
        <v>300</v>
      </c>
      <c r="N5" s="6">
        <v>300</v>
      </c>
      <c r="O5" s="10"/>
      <c r="P5" s="6"/>
      <c r="Q5" s="6"/>
      <c r="R5" s="7">
        <f t="shared" ref="R5:R10" si="1">L5*M5*N5/(100*100*100)</f>
        <v>36</v>
      </c>
    </row>
    <row r="6" spans="1:18" x14ac:dyDescent="0.25">
      <c r="A6" s="8" t="s">
        <v>50</v>
      </c>
      <c r="B6" s="1" t="str">
        <f t="shared" ref="B6:B8" si="2">CONCATENATE(A6," -Europalette ",C6&amp;"x",D6&amp;"x",E6)</f>
        <v>EPAL2 -Europalette 1200x1000x144</v>
      </c>
      <c r="C6" s="5">
        <v>1200</v>
      </c>
      <c r="D6" s="5">
        <v>1000</v>
      </c>
      <c r="E6" s="5">
        <v>144</v>
      </c>
      <c r="F6" s="5">
        <v>35</v>
      </c>
      <c r="G6" s="5">
        <v>1000</v>
      </c>
      <c r="H6" s="5">
        <v>4250</v>
      </c>
      <c r="J6" s="8" t="s">
        <v>21</v>
      </c>
      <c r="K6" s="1" t="str">
        <f t="shared" si="0"/>
        <v>A16 -300x200x125</v>
      </c>
      <c r="L6" s="6">
        <v>300</v>
      </c>
      <c r="M6" s="6">
        <v>200</v>
      </c>
      <c r="N6" s="6">
        <v>125</v>
      </c>
      <c r="O6" s="10"/>
      <c r="P6" s="6"/>
      <c r="Q6" s="6"/>
      <c r="R6" s="7">
        <f t="shared" si="1"/>
        <v>7.5</v>
      </c>
    </row>
    <row r="7" spans="1:18" x14ac:dyDescent="0.25">
      <c r="A7" s="8" t="s">
        <v>51</v>
      </c>
      <c r="B7" s="1" t="str">
        <f t="shared" si="2"/>
        <v>EPAL3 -Europalette 1200x1000x144</v>
      </c>
      <c r="C7" s="5">
        <v>1200</v>
      </c>
      <c r="D7" s="5">
        <v>1000</v>
      </c>
      <c r="E7" s="5">
        <v>144</v>
      </c>
      <c r="F7" s="5">
        <v>30</v>
      </c>
      <c r="G7" s="5">
        <v>1000</v>
      </c>
      <c r="H7" s="5">
        <v>4250</v>
      </c>
      <c r="J7" s="8" t="s">
        <v>43</v>
      </c>
      <c r="K7" s="1" t="str">
        <f t="shared" si="0"/>
        <v>FST K4314 -346x266x95</v>
      </c>
      <c r="L7" s="6">
        <v>346</v>
      </c>
      <c r="M7" s="6">
        <v>266</v>
      </c>
      <c r="N7" s="6">
        <v>95</v>
      </c>
      <c r="O7" s="10"/>
      <c r="P7" s="6"/>
      <c r="Q7" s="6"/>
      <c r="R7" s="7">
        <f t="shared" si="1"/>
        <v>8.7434200000000004</v>
      </c>
    </row>
    <row r="8" spans="1:18" x14ac:dyDescent="0.25">
      <c r="A8" s="8" t="s">
        <v>52</v>
      </c>
      <c r="B8" s="1" t="str">
        <f t="shared" si="2"/>
        <v>EPAL6 -Europalette 800x600x144</v>
      </c>
      <c r="C8" s="5">
        <v>800</v>
      </c>
      <c r="D8" s="5">
        <v>600</v>
      </c>
      <c r="E8" s="6">
        <v>144</v>
      </c>
      <c r="F8" s="6">
        <v>9.5</v>
      </c>
      <c r="G8" s="5">
        <v>500</v>
      </c>
      <c r="H8" s="5">
        <v>2000</v>
      </c>
      <c r="J8" s="8" t="s">
        <v>44</v>
      </c>
      <c r="K8" s="1" t="str">
        <f t="shared" si="0"/>
        <v>FST K4318/2 -329x204x94</v>
      </c>
      <c r="L8" s="6">
        <v>329</v>
      </c>
      <c r="M8" s="6">
        <v>204</v>
      </c>
      <c r="N8" s="6">
        <v>94</v>
      </c>
      <c r="O8" s="10"/>
      <c r="P8" s="6"/>
      <c r="Q8" s="6"/>
      <c r="R8" s="7">
        <f t="shared" si="1"/>
        <v>6.3089040000000001</v>
      </c>
    </row>
    <row r="9" spans="1:18" x14ac:dyDescent="0.25">
      <c r="A9" s="9"/>
      <c r="C9" s="5"/>
      <c r="D9" s="5"/>
      <c r="E9" s="6"/>
      <c r="F9" s="6"/>
      <c r="G9" s="5"/>
      <c r="H9" s="5"/>
      <c r="J9" s="8" t="s">
        <v>45</v>
      </c>
      <c r="K9" s="1" t="str">
        <f t="shared" si="0"/>
        <v>FST K4318 -437x337x95</v>
      </c>
      <c r="L9" s="6">
        <v>437</v>
      </c>
      <c r="M9" s="6">
        <v>337</v>
      </c>
      <c r="N9" s="6">
        <v>95</v>
      </c>
      <c r="O9" s="10"/>
      <c r="P9" s="6"/>
      <c r="Q9" s="6"/>
      <c r="R9" s="7">
        <f t="shared" si="1"/>
        <v>13.990555000000001</v>
      </c>
    </row>
    <row r="10" spans="1:18" x14ac:dyDescent="0.25">
      <c r="J10" s="8" t="s">
        <v>46</v>
      </c>
      <c r="K10" s="1" t="str">
        <f t="shared" si="0"/>
        <v>FST K4328 -336x251x234</v>
      </c>
      <c r="L10" s="6">
        <v>336</v>
      </c>
      <c r="M10" s="6">
        <v>251</v>
      </c>
      <c r="N10" s="6">
        <v>234</v>
      </c>
      <c r="O10" s="10"/>
      <c r="P10" s="6"/>
      <c r="Q10" s="6"/>
      <c r="R10" s="7">
        <f t="shared" si="1"/>
        <v>19.734624</v>
      </c>
    </row>
    <row r="11" spans="1:18" x14ac:dyDescent="0.25">
      <c r="J11" s="8" t="s">
        <v>73</v>
      </c>
      <c r="K11" s="1" t="str">
        <f>CONCATENATE(J11&amp;" -"&amp;L11&amp;"x",M11&amp;"x",N11)</f>
        <v>TSS1 -260x230x270</v>
      </c>
      <c r="L11" s="6">
        <v>260</v>
      </c>
      <c r="M11" s="6">
        <v>230</v>
      </c>
      <c r="N11" s="6">
        <v>270</v>
      </c>
      <c r="O11" s="10"/>
      <c r="P11" s="6"/>
      <c r="Q11" s="6"/>
      <c r="R11" s="7">
        <f>L11*M11*N11/(100*100*100)</f>
        <v>16.146000000000001</v>
      </c>
    </row>
    <row r="12" spans="1:18" x14ac:dyDescent="0.25">
      <c r="J12" s="8" t="s">
        <v>74</v>
      </c>
      <c r="K12" s="1" t="str">
        <f>CONCATENATE(J12&amp;" -"&amp;L12&amp;"x",M12&amp;"x",N12)</f>
        <v>TSS2 -370x270x120</v>
      </c>
      <c r="L12" s="6">
        <v>370</v>
      </c>
      <c r="M12" s="6">
        <v>270</v>
      </c>
      <c r="N12" s="6">
        <v>120</v>
      </c>
      <c r="O12" s="10"/>
      <c r="P12" s="6"/>
      <c r="Q12" s="6"/>
      <c r="R12" s="7">
        <f>L12*M12*N12/(100*100*100)</f>
        <v>11.988</v>
      </c>
    </row>
    <row r="13" spans="1:18" x14ac:dyDescent="0.25">
      <c r="J13" s="8" t="s">
        <v>37</v>
      </c>
      <c r="K13" s="1" t="str">
        <f>CONCATENATE(J13&amp;" -"&amp;L13&amp;"x",M13&amp;"x",N13)</f>
        <v>C9 -600x400x300</v>
      </c>
      <c r="L13" s="6">
        <v>600</v>
      </c>
      <c r="M13" s="6">
        <v>400</v>
      </c>
      <c r="N13" s="6">
        <v>300</v>
      </c>
      <c r="O13" s="10"/>
      <c r="P13" s="6"/>
      <c r="Q13" s="6"/>
      <c r="R13" s="7">
        <f>L13*M13*N13/(100*100*100)</f>
        <v>72</v>
      </c>
    </row>
    <row r="14" spans="1:18" x14ac:dyDescent="0.25">
      <c r="J14" s="8" t="s">
        <v>38</v>
      </c>
      <c r="K14" s="1" t="str">
        <f>CONCATENATE(J14&amp;" -"&amp;L14&amp;"x",M14&amp;"x",N14)</f>
        <v>C10 -600x400x250</v>
      </c>
      <c r="L14" s="6">
        <v>600</v>
      </c>
      <c r="M14" s="6">
        <v>400</v>
      </c>
      <c r="N14" s="6">
        <v>250</v>
      </c>
      <c r="O14" s="10"/>
      <c r="P14" s="6"/>
      <c r="Q14" s="6"/>
      <c r="R14" s="7">
        <f>L14*M14*N14/(100*100*100)</f>
        <v>60</v>
      </c>
    </row>
    <row r="15" spans="1:18" x14ac:dyDescent="0.25">
      <c r="J15" s="8" t="s">
        <v>26</v>
      </c>
      <c r="K15" s="1" t="str">
        <f t="shared" si="0"/>
        <v>C11 -600x400x200</v>
      </c>
      <c r="L15" s="6">
        <v>600</v>
      </c>
      <c r="M15" s="6">
        <v>400</v>
      </c>
      <c r="N15" s="6">
        <v>200</v>
      </c>
      <c r="O15" s="10">
        <v>0.86199999999999999</v>
      </c>
      <c r="P15" s="6"/>
      <c r="Q15" s="6"/>
      <c r="R15" s="7">
        <f t="shared" ref="R15:R19" si="3">L15*M15*N15/(100*100*100)</f>
        <v>48</v>
      </c>
    </row>
    <row r="16" spans="1:18" x14ac:dyDescent="0.25">
      <c r="J16" s="8" t="s">
        <v>27</v>
      </c>
      <c r="K16" s="1" t="str">
        <f t="shared" si="0"/>
        <v>C13 -400x300x200</v>
      </c>
      <c r="L16" s="6">
        <v>400</v>
      </c>
      <c r="M16" s="6">
        <v>300</v>
      </c>
      <c r="N16" s="6">
        <v>200</v>
      </c>
      <c r="O16" s="10">
        <v>0.51</v>
      </c>
      <c r="P16" s="6"/>
      <c r="Q16" s="6"/>
      <c r="R16" s="7">
        <f t="shared" si="3"/>
        <v>24</v>
      </c>
    </row>
    <row r="17" spans="10:18" x14ac:dyDescent="0.25">
      <c r="J17" s="8" t="s">
        <v>32</v>
      </c>
      <c r="K17" s="1" t="str">
        <f t="shared" ref="K17:K22" si="4">CONCATENATE(J17&amp;" -"&amp;L17&amp;"x",M17&amp;"x",N17)</f>
        <v>C14 -400x300x150</v>
      </c>
      <c r="L17" s="6">
        <v>400</v>
      </c>
      <c r="M17" s="6">
        <v>300</v>
      </c>
      <c r="N17" s="6">
        <v>150</v>
      </c>
      <c r="O17" s="10">
        <v>0.45400000000000001</v>
      </c>
      <c r="P17" s="6"/>
      <c r="Q17" s="6"/>
      <c r="R17" s="7">
        <f t="shared" si="3"/>
        <v>18</v>
      </c>
    </row>
    <row r="18" spans="10:18" x14ac:dyDescent="0.25">
      <c r="J18" s="8" t="s">
        <v>56</v>
      </c>
      <c r="K18" s="1" t="str">
        <f>CONCATENATE(J18&amp;" -"&amp;L18&amp;"x",M18&amp;"x",N18)</f>
        <v>C15 -300x200x200</v>
      </c>
      <c r="L18" s="6">
        <v>300</v>
      </c>
      <c r="M18" s="6">
        <v>200</v>
      </c>
      <c r="N18" s="6">
        <v>200</v>
      </c>
      <c r="O18" s="10">
        <v>0.28000000000000003</v>
      </c>
      <c r="P18" s="6"/>
      <c r="Q18" s="6"/>
      <c r="R18" s="7">
        <f>L18*M18*N18/(100*100*100)</f>
        <v>12</v>
      </c>
    </row>
    <row r="19" spans="10:18" x14ac:dyDescent="0.25">
      <c r="J19" s="8" t="s">
        <v>35</v>
      </c>
      <c r="K19" s="1" t="str">
        <f t="shared" si="4"/>
        <v>C16 -300x200x125</v>
      </c>
      <c r="L19" s="6">
        <v>300</v>
      </c>
      <c r="M19" s="6">
        <v>200</v>
      </c>
      <c r="N19" s="6">
        <v>125</v>
      </c>
      <c r="O19" s="10">
        <v>0.24</v>
      </c>
      <c r="P19" s="6"/>
      <c r="Q19" s="6"/>
      <c r="R19" s="7">
        <f t="shared" si="3"/>
        <v>7.5</v>
      </c>
    </row>
    <row r="20" spans="10:18" x14ac:dyDescent="0.25">
      <c r="J20" s="8" t="s">
        <v>39</v>
      </c>
      <c r="K20" s="1" t="str">
        <f t="shared" si="4"/>
        <v>BITO 3G -600x400x170</v>
      </c>
      <c r="L20" s="6">
        <v>600</v>
      </c>
      <c r="M20" s="6">
        <v>400</v>
      </c>
      <c r="N20" s="6">
        <v>170</v>
      </c>
      <c r="O20" s="10"/>
      <c r="P20" s="6">
        <v>75</v>
      </c>
      <c r="Q20" s="6"/>
      <c r="R20" s="7">
        <f t="shared" ref="R20:R22" si="5">L20*M20*N20/(100*100*100)</f>
        <v>40.799999999999997</v>
      </c>
    </row>
    <row r="21" spans="10:18" x14ac:dyDescent="0.25">
      <c r="J21" s="8" t="s">
        <v>40</v>
      </c>
      <c r="K21" s="1" t="str">
        <f t="shared" si="4"/>
        <v>BITO 4G -600x400x270</v>
      </c>
      <c r="L21" s="6">
        <v>600</v>
      </c>
      <c r="M21" s="6">
        <v>400</v>
      </c>
      <c r="N21" s="6">
        <v>270</v>
      </c>
      <c r="O21" s="10"/>
      <c r="P21" s="6">
        <v>75</v>
      </c>
      <c r="Q21" s="6"/>
      <c r="R21" s="7">
        <f t="shared" si="5"/>
        <v>64.8</v>
      </c>
    </row>
    <row r="22" spans="10:18" x14ac:dyDescent="0.25">
      <c r="J22" s="8" t="s">
        <v>41</v>
      </c>
      <c r="K22" s="1" t="str">
        <f t="shared" si="4"/>
        <v>BITO 8G -400x300x170</v>
      </c>
      <c r="L22" s="6">
        <v>400</v>
      </c>
      <c r="M22" s="6">
        <v>300</v>
      </c>
      <c r="N22" s="6">
        <v>170</v>
      </c>
      <c r="O22" s="6"/>
      <c r="P22" s="6">
        <v>50</v>
      </c>
      <c r="Q22" s="6"/>
      <c r="R22" s="7">
        <f t="shared" si="5"/>
        <v>20.399999999999999</v>
      </c>
    </row>
    <row r="23" spans="10:18" x14ac:dyDescent="0.25">
      <c r="J23" s="9" t="s">
        <v>60</v>
      </c>
      <c r="K23" s="1" t="str">
        <f>CONCATENATE(J23&amp;" -"&amp;L23&amp;"x",M23&amp;"x",N23)</f>
        <v>test -97x72x70</v>
      </c>
      <c r="L23" s="6">
        <v>97</v>
      </c>
      <c r="M23" s="6">
        <v>72</v>
      </c>
      <c r="N23" s="6">
        <v>70</v>
      </c>
      <c r="O23" s="6"/>
      <c r="P23" s="6"/>
      <c r="Q23" s="6"/>
      <c r="R23" s="7">
        <f>L23*M23*N23/(100*100*100)</f>
        <v>0.48887999999999998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4</vt:i4>
      </vt:variant>
      <vt:variant>
        <vt:lpstr>Benoemde bereiken</vt:lpstr>
      </vt:variant>
      <vt:variant>
        <vt:i4>12</vt:i4>
      </vt:variant>
    </vt:vector>
  </HeadingPairs>
  <TitlesOfParts>
    <vt:vector size="16" baseType="lpstr">
      <vt:lpstr>Palettisation</vt:lpstr>
      <vt:lpstr>Blad1</vt:lpstr>
      <vt:lpstr>Blad2</vt:lpstr>
      <vt:lpstr>BD UM_UC</vt:lpstr>
      <vt:lpstr>aantallen</vt:lpstr>
      <vt:lpstr>B1_</vt:lpstr>
      <vt:lpstr>B2_</vt:lpstr>
      <vt:lpstr>B3_</vt:lpstr>
      <vt:lpstr>Dimensions</vt:lpstr>
      <vt:lpstr>ListeCartons</vt:lpstr>
      <vt:lpstr>ListePalettes</vt:lpstr>
      <vt:lpstr>MaPalette</vt:lpstr>
      <vt:lpstr>P1_</vt:lpstr>
      <vt:lpstr>P2_</vt:lpstr>
      <vt:lpstr>P3_</vt:lpstr>
      <vt:lpstr>Resultat</vt:lpstr>
    </vt:vector>
  </TitlesOfParts>
  <Company>SEW-EURODRIVE GmbH &amp; Co KG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FRBATGAB</dc:creator>
  <cp:lastModifiedBy>Pia Strubbe</cp:lastModifiedBy>
  <dcterms:created xsi:type="dcterms:W3CDTF">2024-08-04T17:25:10Z</dcterms:created>
  <dcterms:modified xsi:type="dcterms:W3CDTF">2025-03-20T06:19:40Z</dcterms:modified>
</cp:coreProperties>
</file>