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E7720F37-0D9A-496E-A2DE-A576AD9FD507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alettisation" sheetId="4" r:id="rId1"/>
    <sheet name="Blad1" sheetId="6" r:id="rId2"/>
    <sheet name="Blad2" sheetId="7" r:id="rId3"/>
    <sheet name="BD UM_UC" sheetId="5" r:id="rId4"/>
  </sheets>
  <definedNames>
    <definedName name="_xlpm.posmax" hidden="1" xlm="1">#NAME?</definedName>
    <definedName name="_xlpm.posmaxnon" hidden="1" xlm="1">#NAME?</definedName>
    <definedName name="ListeCartons">TableauCarton[Colonne2]</definedName>
    <definedName name="ListePalettes">TableauPalette[Colonne2]</definedName>
    <definedName name="Ref">#REF!</definedName>
    <definedName name="solver_adj" localSheetId="1" hidden="1">Blad1!$E$7:$F$7</definedName>
    <definedName name="solver_adj" localSheetId="2" hidden="1">Blad2!$H$3:$H$5</definedName>
    <definedName name="solver_adj" localSheetId="0" hidden="1">Palettisation!$U$4:$V$4</definedName>
    <definedName name="solver_cvg" localSheetId="1" hidden="1">0.0001</definedName>
    <definedName name="solver_cvg" localSheetId="2" hidden="1">0.0001</definedName>
    <definedName name="solver_cvg" localSheetId="0" hidden="1">0.0001</definedName>
    <definedName name="solver_drv" localSheetId="1" hidden="1">1</definedName>
    <definedName name="solver_drv" localSheetId="2" hidden="1">2</definedName>
    <definedName name="solver_drv" localSheetId="0" hidden="1">1</definedName>
    <definedName name="solver_eng" localSheetId="1" hidden="1">2</definedName>
    <definedName name="solver_eng" localSheetId="2" hidden="1">2</definedName>
    <definedName name="solver_eng" localSheetId="0" hidden="1">2</definedName>
    <definedName name="solver_est" localSheetId="1" hidden="1">1</definedName>
    <definedName name="solver_est" localSheetId="2" hidden="1">1</definedName>
    <definedName name="solver_est" localSheetId="0" hidden="1">1</definedName>
    <definedName name="solver_itr" localSheetId="1" hidden="1">2147483647</definedName>
    <definedName name="solver_itr" localSheetId="2" hidden="1">2147483647</definedName>
    <definedName name="solver_itr" localSheetId="0" hidden="1">2147483647</definedName>
    <definedName name="solver_lhs1" localSheetId="1" hidden="1">Blad1!$E$7:$F$7</definedName>
    <definedName name="solver_lhs1" localSheetId="2" hidden="1">Blad2!$H$3:$H$5</definedName>
    <definedName name="solver_lhs1" localSheetId="0" hidden="1">Palettisation!$U$4</definedName>
    <definedName name="solver_lhs2" localSheetId="1" hidden="1">Blad1!$E$7:$F$7</definedName>
    <definedName name="solver_lhs2" localSheetId="2" hidden="1">Blad2!$H$7</definedName>
    <definedName name="solver_lhs2" localSheetId="0" hidden="1">Palettisation!$V$4</definedName>
    <definedName name="solver_lhs3" localSheetId="1" hidden="1">Blad1!$H$3</definedName>
    <definedName name="solver_lhs3" localSheetId="0" hidden="1">Palettisation!$U$4</definedName>
    <definedName name="solver_lhs4" localSheetId="0" hidden="1">Palettisation!$Z$4</definedName>
    <definedName name="solver_lhs5" localSheetId="0" hidden="1">Palettisation!$V$3</definedName>
    <definedName name="solver_lhs6" localSheetId="0" hidden="1">Palettisation!$V$3</definedName>
    <definedName name="solver_lhs7" localSheetId="0" hidden="1">Palettisation!$V$3</definedName>
    <definedName name="solver_lhs8" localSheetId="0" hidden="1">Palettisation!$V$3</definedName>
    <definedName name="solver_mip" localSheetId="1" hidden="1">2147483647</definedName>
    <definedName name="solver_mip" localSheetId="2" hidden="1">2147483647</definedName>
    <definedName name="solver_mip" localSheetId="0" hidden="1">2147483647</definedName>
    <definedName name="solver_mni" localSheetId="1" hidden="1">30</definedName>
    <definedName name="solver_mni" localSheetId="2" hidden="1">30</definedName>
    <definedName name="solver_mni" localSheetId="0" hidden="1">30</definedName>
    <definedName name="solver_mrt" localSheetId="1" hidden="1">0.075</definedName>
    <definedName name="solver_mrt" localSheetId="2" hidden="1">0.075</definedName>
    <definedName name="solver_mrt" localSheetId="0" hidden="1">0.075</definedName>
    <definedName name="solver_msl" localSheetId="1" hidden="1">2</definedName>
    <definedName name="solver_msl" localSheetId="2" hidden="1">2</definedName>
    <definedName name="solver_msl" localSheetId="0" hidden="1">2</definedName>
    <definedName name="solver_neg" localSheetId="1" hidden="1">1</definedName>
    <definedName name="solver_neg" localSheetId="2" hidden="1">1</definedName>
    <definedName name="solver_neg" localSheetId="0" hidden="1">1</definedName>
    <definedName name="solver_nod" localSheetId="1" hidden="1">2147483647</definedName>
    <definedName name="solver_nod" localSheetId="2" hidden="1">2147483647</definedName>
    <definedName name="solver_nod" localSheetId="0" hidden="1">2147483647</definedName>
    <definedName name="solver_num" localSheetId="1" hidden="1">3</definedName>
    <definedName name="solver_num" localSheetId="2" hidden="1">2</definedName>
    <definedName name="solver_num" localSheetId="0" hidden="1">3</definedName>
    <definedName name="solver_nwt" localSheetId="1" hidden="1">1</definedName>
    <definedName name="solver_nwt" localSheetId="2" hidden="1">1</definedName>
    <definedName name="solver_nwt" localSheetId="0" hidden="1">1</definedName>
    <definedName name="solver_opt" localSheetId="1" hidden="1">Blad1!$H$3</definedName>
    <definedName name="solver_opt" localSheetId="2" hidden="1">Blad2!$H$6</definedName>
    <definedName name="solver_opt" localSheetId="0" hidden="1">Palettisation!$AA$4</definedName>
    <definedName name="solver_pre" localSheetId="1" hidden="1">0.000001</definedName>
    <definedName name="solver_pre" localSheetId="2" hidden="1">0.000001</definedName>
    <definedName name="solver_pre" localSheetId="0" hidden="1">0.000001</definedName>
    <definedName name="solver_rbv" localSheetId="1" hidden="1">1</definedName>
    <definedName name="solver_rbv" localSheetId="2" hidden="1">2</definedName>
    <definedName name="solver_rbv" localSheetId="0" hidden="1">1</definedName>
    <definedName name="solver_rel1" localSheetId="1" hidden="1">1</definedName>
    <definedName name="solver_rel1" localSheetId="2" hidden="1">4</definedName>
    <definedName name="solver_rel1" localSheetId="0" hidden="1">4</definedName>
    <definedName name="solver_rel2" localSheetId="1" hidden="1">4</definedName>
    <definedName name="solver_rel2" localSheetId="2" hidden="1">1</definedName>
    <definedName name="solver_rel2" localSheetId="0" hidden="1">4</definedName>
    <definedName name="solver_rel3" localSheetId="1" hidden="1">1</definedName>
    <definedName name="solver_rel3" localSheetId="0" hidden="1">3</definedName>
    <definedName name="solver_rel4" localSheetId="0" hidden="1">1</definedName>
    <definedName name="solver_rel5" localSheetId="0" hidden="1">4</definedName>
    <definedName name="solver_rel6" localSheetId="0" hidden="1">4</definedName>
    <definedName name="solver_rel7" localSheetId="0" hidden="1">4</definedName>
    <definedName name="solver_rel8" localSheetId="0" hidden="1">4</definedName>
    <definedName name="solver_rhs1" localSheetId="1" hidden="1">Blad1!$E$3:$F$3</definedName>
    <definedName name="solver_rhs1" localSheetId="2" hidden="1">"geheeltallig"</definedName>
    <definedName name="solver_rhs1" localSheetId="0" hidden="1">"geheeltallig"</definedName>
    <definedName name="solver_rhs2" localSheetId="1" hidden="1">"geheeltallig"</definedName>
    <definedName name="solver_rhs2" localSheetId="2" hidden="1">Blad2!$I$7</definedName>
    <definedName name="solver_rhs2" localSheetId="0" hidden="1">"geheeltallig"</definedName>
    <definedName name="solver_rhs3" localSheetId="1" hidden="1">Blad1!$C$3</definedName>
    <definedName name="solver_rhs3" localSheetId="0" hidden="1">Palettisation!$V$4</definedName>
    <definedName name="solver_rhs4" localSheetId="0" hidden="1">1</definedName>
    <definedName name="solver_rhs5" localSheetId="0" hidden="1">"entier"</definedName>
    <definedName name="solver_rhs6" localSheetId="0" hidden="1">"entier"</definedName>
    <definedName name="solver_rhs7" localSheetId="0" hidden="1">"entier"</definedName>
    <definedName name="solver_rhs8" localSheetId="0" hidden="1">"entier"</definedName>
    <definedName name="solver_rlx" localSheetId="1" hidden="1">2</definedName>
    <definedName name="solver_rlx" localSheetId="2" hidden="1">2</definedName>
    <definedName name="solver_rlx" localSheetId="0" hidden="1">2</definedName>
    <definedName name="solver_rsd" localSheetId="1" hidden="1">0</definedName>
    <definedName name="solver_rsd" localSheetId="2" hidden="1">0</definedName>
    <definedName name="solver_rsd" localSheetId="0" hidden="1">0</definedName>
    <definedName name="solver_rxc1" localSheetId="1" hidden="1">1</definedName>
    <definedName name="solver_rxc2" localSheetId="1" hidden="1">1</definedName>
    <definedName name="solver_scl" localSheetId="1" hidden="1">1</definedName>
    <definedName name="solver_scl" localSheetId="2" hidden="1">2</definedName>
    <definedName name="solver_scl" localSheetId="0" hidden="1">1</definedName>
    <definedName name="solver_sho" localSheetId="1" hidden="1">2</definedName>
    <definedName name="solver_sho" localSheetId="2" hidden="1">2</definedName>
    <definedName name="solver_sho" localSheetId="0" hidden="1">2</definedName>
    <definedName name="solver_ssz" localSheetId="1" hidden="1">100</definedName>
    <definedName name="solver_ssz" localSheetId="2" hidden="1">100</definedName>
    <definedName name="solver_ssz" localSheetId="0" hidden="1">100</definedName>
    <definedName name="solver_tim" localSheetId="1" hidden="1">2147483647</definedName>
    <definedName name="solver_tim" localSheetId="2" hidden="1">2147483647</definedName>
    <definedName name="solver_tim" localSheetId="0" hidden="1">2147483647</definedName>
    <definedName name="solver_tol" localSheetId="1" hidden="1">0.01</definedName>
    <definedName name="solver_tol" localSheetId="2" hidden="1">0.01</definedName>
    <definedName name="solver_tol" localSheetId="0" hidden="1">0.01</definedName>
    <definedName name="solver_typ" localSheetId="1" hidden="1">1</definedName>
    <definedName name="solver_typ" localSheetId="2" hidden="1">1</definedName>
    <definedName name="solver_typ" localSheetId="0" hidden="1">1</definedName>
    <definedName name="solver_val" localSheetId="1" hidden="1">0</definedName>
    <definedName name="solver_val" localSheetId="2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7" l="1"/>
  <c r="H7" i="7"/>
  <c r="H6" i="7"/>
  <c r="F5" i="7"/>
  <c r="G5" i="7" s="1"/>
  <c r="F4" i="7"/>
  <c r="G4" i="7" s="1"/>
  <c r="F3" i="7"/>
  <c r="G3" i="7" s="1"/>
  <c r="G9" i="6"/>
  <c r="F5" i="6"/>
  <c r="E5" i="6"/>
  <c r="F8" i="6"/>
  <c r="E8" i="6"/>
  <c r="F4" i="6"/>
  <c r="E4" i="6"/>
  <c r="F3" i="6"/>
  <c r="G3" i="6"/>
  <c r="E3" i="6"/>
  <c r="H3" i="6"/>
  <c r="K6" i="4"/>
  <c r="F6" i="4"/>
  <c r="G8" i="6" l="1"/>
  <c r="G6" i="4"/>
  <c r="H6" i="4"/>
  <c r="W3" i="4" l="1"/>
  <c r="W4" i="4" l="1"/>
  <c r="K23" i="5" l="1"/>
  <c r="R23" i="5"/>
  <c r="D10" i="4" l="1"/>
  <c r="K18" i="5"/>
  <c r="R18" i="5"/>
  <c r="B5" i="5" l="1"/>
  <c r="K11" i="5" l="1"/>
  <c r="R11" i="5"/>
  <c r="K12" i="5"/>
  <c r="R12" i="5"/>
  <c r="K22" i="5" l="1"/>
  <c r="R22" i="5"/>
  <c r="K21" i="5"/>
  <c r="R21" i="5"/>
  <c r="K20" i="5"/>
  <c r="R20" i="5"/>
  <c r="K14" i="5"/>
  <c r="R14" i="5"/>
  <c r="K13" i="5"/>
  <c r="R13" i="5"/>
  <c r="K19" i="5" l="1"/>
  <c r="R19" i="5"/>
  <c r="K17" i="5"/>
  <c r="R17" i="5"/>
  <c r="D9" i="4" l="1"/>
  <c r="D8" i="4"/>
  <c r="Z4" i="4" s="1"/>
  <c r="D7" i="4"/>
  <c r="Z3" i="4" s="1"/>
  <c r="D13" i="4" l="1"/>
  <c r="K5" i="5"/>
  <c r="K6" i="5"/>
  <c r="K7" i="5"/>
  <c r="K8" i="5"/>
  <c r="K9" i="5"/>
  <c r="K10" i="5"/>
  <c r="K15" i="5"/>
  <c r="K16" i="5"/>
  <c r="K4" i="5"/>
  <c r="R16" i="5" l="1"/>
  <c r="R15" i="5"/>
  <c r="F7" i="4" l="1"/>
  <c r="R5" i="5"/>
  <c r="R6" i="5"/>
  <c r="R7" i="5"/>
  <c r="R8" i="5"/>
  <c r="R9" i="5"/>
  <c r="R10" i="5"/>
  <c r="R4" i="5"/>
  <c r="F8" i="4" l="1"/>
  <c r="N4" i="4" s="1"/>
  <c r="G7" i="4"/>
  <c r="G8" i="4"/>
  <c r="H8" i="4"/>
  <c r="H7" i="4"/>
  <c r="B6" i="5"/>
  <c r="B7" i="5"/>
  <c r="B8" i="5"/>
  <c r="B4" i="5"/>
  <c r="AA4" i="4" l="1"/>
  <c r="AA3" i="4"/>
  <c r="N3" i="4"/>
  <c r="M7" i="4"/>
  <c r="M9" i="4"/>
  <c r="N9" i="4"/>
  <c r="N6" i="4"/>
  <c r="N8" i="4"/>
  <c r="M8" i="4"/>
  <c r="M6" i="4"/>
  <c r="N7" i="4"/>
  <c r="M4" i="4"/>
  <c r="M3" i="4"/>
  <c r="F9" i="4" l="1"/>
  <c r="H9" i="4"/>
  <c r="X3" i="4" s="1"/>
  <c r="Y3" i="4" s="1"/>
  <c r="G9" i="4"/>
  <c r="X4" i="4" l="1"/>
  <c r="Y4" i="4" s="1"/>
  <c r="K9" i="4"/>
  <c r="K8" i="4"/>
  <c r="L6" i="4"/>
  <c r="P6" i="4" s="1"/>
  <c r="O6" i="4" s="1"/>
  <c r="K7" i="4"/>
  <c r="L7" i="4" s="1"/>
  <c r="P7" i="4" s="1"/>
  <c r="O7" i="4" s="1"/>
  <c r="T7" i="4"/>
  <c r="T6" i="4"/>
  <c r="T4" i="4"/>
  <c r="T3" i="4"/>
  <c r="T8" i="4"/>
  <c r="T9" i="4"/>
  <c r="K4" i="4"/>
  <c r="K3" i="4"/>
  <c r="L4" i="4" l="1"/>
  <c r="P4" i="4" s="1"/>
  <c r="L8" i="4"/>
  <c r="P8" i="4" s="1"/>
  <c r="O8" i="4" s="1"/>
  <c r="L9" i="4"/>
  <c r="L3" i="4"/>
  <c r="P3" i="4" s="1"/>
  <c r="O3" i="4" s="1"/>
  <c r="Q3" i="4" s="1"/>
  <c r="P9" i="4" l="1"/>
  <c r="Q7" i="4"/>
  <c r="R7" i="4"/>
  <c r="S7" i="4" s="1"/>
  <c r="R4" i="4"/>
  <c r="S4" i="4" s="1"/>
  <c r="R9" i="4" l="1"/>
  <c r="S9" i="4" s="1"/>
  <c r="O9" i="4"/>
  <c r="Q9" i="4" s="1"/>
  <c r="Q6" i="4"/>
  <c r="Q8" i="4"/>
  <c r="R8" i="4"/>
  <c r="S8" i="4" s="1"/>
  <c r="R6" i="4"/>
  <c r="S6" i="4" s="1"/>
  <c r="O4" i="4"/>
  <c r="Q4" i="4" s="1"/>
  <c r="R3" i="4"/>
  <c r="S3" i="4" s="1"/>
  <c r="M22" i="4" l="1"/>
  <c r="M21" i="4"/>
  <c r="H13" i="4"/>
  <c r="H17" i="4" s="1"/>
  <c r="H16" i="4"/>
  <c r="H19" i="4" l="1"/>
  <c r="H14" i="4"/>
  <c r="H15" i="4" s="1"/>
  <c r="H18" i="4"/>
  <c r="H23" i="4" l="1"/>
  <c r="J15" i="4"/>
  <c r="H21" i="4" s="1"/>
  <c r="H26" i="4" s="1"/>
  <c r="I16" i="4"/>
  <c r="J16" i="4"/>
  <c r="I15" i="4"/>
  <c r="I23" i="4"/>
  <c r="I22" i="4"/>
  <c r="J23" i="4" l="1"/>
  <c r="I14" i="4"/>
  <c r="J14" i="4"/>
  <c r="H24" i="4" l="1"/>
  <c r="H30" i="4" l="1"/>
  <c r="J21" i="4"/>
  <c r="I29" i="4"/>
  <c r="H22" i="4"/>
  <c r="J22" i="4"/>
  <c r="H25" i="4" l="1"/>
  <c r="I30" i="4"/>
  <c r="H28" i="4" l="1"/>
  <c r="J30" i="4"/>
  <c r="H31" i="4" l="1"/>
  <c r="H32" i="4" s="1"/>
  <c r="H33" i="4"/>
  <c r="H29" i="4"/>
  <c r="J29" i="4"/>
  <c r="J28" i="4"/>
</calcChain>
</file>

<file path=xl/sharedStrings.xml><?xml version="1.0" encoding="utf-8"?>
<sst xmlns="http://schemas.openxmlformats.org/spreadsheetml/2006/main" count="123" uniqueCount="89">
  <si>
    <t>Palette</t>
  </si>
  <si>
    <t>Palettisation</t>
  </si>
  <si>
    <t>oui</t>
  </si>
  <si>
    <t>non</t>
  </si>
  <si>
    <t>Longueur (L)</t>
  </si>
  <si>
    <t>largeur (l)</t>
  </si>
  <si>
    <t>Hauteur (H)</t>
  </si>
  <si>
    <t>Longueur (LP)</t>
  </si>
  <si>
    <t>Largeur (lP)</t>
  </si>
  <si>
    <t>largeur</t>
  </si>
  <si>
    <t>Hauteur</t>
  </si>
  <si>
    <t>poids</t>
  </si>
  <si>
    <t>charge totale</t>
  </si>
  <si>
    <t>Types de palettes</t>
  </si>
  <si>
    <t>Types de carton / boites</t>
  </si>
  <si>
    <t>C40</t>
  </si>
  <si>
    <t>taux de remplissage:</t>
  </si>
  <si>
    <t>dépassement charge:</t>
  </si>
  <si>
    <t>nbre de lits:</t>
  </si>
  <si>
    <t>Nbre cartons avec respect charge:</t>
  </si>
  <si>
    <t>Nbre cartons:</t>
  </si>
  <si>
    <t>A16</t>
  </si>
  <si>
    <t>A12</t>
  </si>
  <si>
    <t>volume (dm3)</t>
  </si>
  <si>
    <t>Colonne1</t>
  </si>
  <si>
    <t>Colonne2</t>
  </si>
  <si>
    <t>Nbre catons avec respect charge &amp; lits entiers:</t>
  </si>
  <si>
    <t>hauteur palette:</t>
  </si>
  <si>
    <t>C11</t>
  </si>
  <si>
    <t>C13</t>
  </si>
  <si>
    <t>qté pc par carton:</t>
  </si>
  <si>
    <t>poids palette &amp; qté pièces:</t>
  </si>
  <si>
    <t>Cartons
/lit:</t>
  </si>
  <si>
    <t>Cartons
/palette:</t>
  </si>
  <si>
    <t>C14</t>
  </si>
  <si>
    <t>poids (kg)</t>
  </si>
  <si>
    <t>Longueur (mm)</t>
  </si>
  <si>
    <t>C16</t>
  </si>
  <si>
    <t>poids brut carton (kg):</t>
  </si>
  <si>
    <t>C9</t>
  </si>
  <si>
    <t>C10</t>
  </si>
  <si>
    <t>BITO 3G</t>
  </si>
  <si>
    <t>BITO 4G</t>
  </si>
  <si>
    <t>BITO 8G</t>
  </si>
  <si>
    <t>Rangement à plat :</t>
  </si>
  <si>
    <t>FST K4314</t>
  </si>
  <si>
    <t>FST K4318/2</t>
  </si>
  <si>
    <t>FST K4318</t>
  </si>
  <si>
    <t>FST K4328</t>
  </si>
  <si>
    <t>Hauteur max palette complète (mm):</t>
  </si>
  <si>
    <t>cartons &amp; pièces par lit:</t>
  </si>
  <si>
    <t>EPAL1 F</t>
  </si>
  <si>
    <t>EPAL2</t>
  </si>
  <si>
    <t>EPAL3</t>
  </si>
  <si>
    <t>EPAL6</t>
  </si>
  <si>
    <t>EPAL1 B&amp;H</t>
  </si>
  <si>
    <t>EPAL1 B&amp;H -Europalette 1200x800x144</t>
  </si>
  <si>
    <t>charge utile</t>
  </si>
  <si>
    <t>C15</t>
  </si>
  <si>
    <t>charge max</t>
  </si>
  <si>
    <t>a</t>
  </si>
  <si>
    <t>b</t>
  </si>
  <si>
    <t>test</t>
  </si>
  <si>
    <t>a et b sont des entiers</t>
  </si>
  <si>
    <t>1/2P sur Palette (-144mm):</t>
  </si>
  <si>
    <t>Rangement:</t>
  </si>
  <si>
    <t>En travers pr compléter lit</t>
  </si>
  <si>
    <t>L x l
%</t>
  </si>
  <si>
    <t>L ou l
%</t>
  </si>
  <si>
    <t>H
%</t>
  </si>
  <si>
    <t>L, l et L x l sont &lt;=1</t>
  </si>
  <si>
    <t>L*a+l*b est le plus proche possible ou = LP (ou lP selon ligne considérée)</t>
  </si>
  <si>
    <t>Données d'entrées:</t>
  </si>
  <si>
    <t>Hauteur pal</t>
  </si>
  <si>
    <t>Hauteur utile</t>
  </si>
  <si>
    <t>TSS1</t>
  </si>
  <si>
    <t>TSS2</t>
  </si>
  <si>
    <t>Rangement sur le coté:</t>
  </si>
  <si>
    <t>Possibilité de ranger sur le coté:</t>
  </si>
  <si>
    <t>de préférence a&gt;=b</t>
  </si>
  <si>
    <t>Carton, boîte</t>
  </si>
  <si>
    <t>test -97x72x70</t>
  </si>
  <si>
    <r>
      <rPr>
        <sz val="11"/>
        <color theme="1"/>
        <rFont val="Arial"/>
        <family val="2"/>
      </rPr>
      <t>Particulièrement adapté pour les petites boites</t>
    </r>
    <r>
      <rPr>
        <b/>
        <sz val="11"/>
        <color theme="1"/>
        <rFont val="Arial"/>
        <family val="2"/>
      </rPr>
      <t xml:space="preserve">
Recherche d'une solution optimale par </t>
    </r>
    <r>
      <rPr>
        <b/>
        <u/>
        <sz val="11"/>
        <color theme="1"/>
        <rFont val="Arial"/>
        <family val="2"/>
      </rPr>
      <t>plusieurs</t>
    </r>
    <r>
      <rPr>
        <b/>
        <sz val="11"/>
        <color theme="1"/>
        <rFont val="Arial"/>
        <family val="2"/>
      </rPr>
      <t xml:space="preserve"> boîtes en travers; avec le complément </t>
    </r>
    <r>
      <rPr>
        <b/>
        <sz val="11"/>
        <color rgb="FF0000FF"/>
        <rFont val="Arial"/>
        <family val="2"/>
      </rPr>
      <t>SOLVER</t>
    </r>
  </si>
  <si>
    <t>Long</t>
  </si>
  <si>
    <t>Larg</t>
  </si>
  <si>
    <t>Haut</t>
  </si>
  <si>
    <t>nombre/niv</t>
  </si>
  <si>
    <t>niv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</si>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</sst>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&quot;€&quot;_-;\-* #,##0.00\ &quot;€&quot;_-;_-* &quot;-&quot;??\ &quot;€&quot;_-;_-@_-"/>
    <numFmt numFmtId="165" formatCode="0.0"/>
    <numFmt numFmtId="166" formatCode="0.0%"/>
    <numFmt numFmtId="167" formatCode="0.0&quot; cart&quot;"/>
    <numFmt numFmtId="168" formatCode="#,##0&quot; kg&quot;"/>
    <numFmt numFmtId="169" formatCode="0&quot; cart&quot;"/>
    <numFmt numFmtId="170" formatCode="#,##0;#,##0;"/>
  </numFmts>
  <fonts count="2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u/>
      <sz val="11"/>
      <color theme="1"/>
      <name val="Arial"/>
      <family val="2"/>
    </font>
    <font>
      <sz val="11"/>
      <color theme="1" tint="0.49998474074526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thin">
        <color rgb="FF0000FF"/>
      </bottom>
      <diagonal/>
    </border>
    <border>
      <left style="medium">
        <color theme="0"/>
      </left>
      <right style="thin">
        <color rgb="FF0000FF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rgb="FF0000FF"/>
      </right>
      <top/>
      <bottom style="medium">
        <color theme="0"/>
      </bottom>
      <diagonal/>
    </border>
    <border>
      <left style="thin">
        <color rgb="FF0000FF"/>
      </left>
      <right style="medium">
        <color theme="0"/>
      </right>
      <top/>
      <bottom/>
      <diagonal/>
    </border>
    <border>
      <left style="thin">
        <color rgb="FF0000FF"/>
      </left>
      <right style="medium">
        <color theme="0"/>
      </right>
      <top/>
      <bottom style="medium">
        <color theme="0"/>
      </bottom>
      <diagonal/>
    </border>
    <border>
      <left/>
      <right/>
      <top style="thin">
        <color rgb="FF0000FF"/>
      </top>
      <bottom/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4" fillId="0" borderId="0" applyFont="0" applyFill="0" applyBorder="0" applyAlignment="0" applyProtection="0"/>
  </cellStyleXfs>
  <cellXfs count="129">
    <xf numFmtId="0" fontId="0" fillId="0" borderId="0" xfId="0"/>
    <xf numFmtId="0" fontId="0" fillId="2" borderId="0" xfId="0" applyFill="1"/>
    <xf numFmtId="0" fontId="5" fillId="0" borderId="0" xfId="0" applyFont="1"/>
    <xf numFmtId="0" fontId="6" fillId="0" borderId="0" xfId="0" applyFon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5" fontId="0" fillId="0" borderId="0" xfId="0" applyNumberFormat="1" applyAlignment="1">
      <alignment horizontal="right" indent="1"/>
    </xf>
    <xf numFmtId="0" fontId="1" fillId="2" borderId="0" xfId="0" applyFont="1" applyFill="1"/>
    <xf numFmtId="0" fontId="1" fillId="0" borderId="0" xfId="0" applyFont="1"/>
    <xf numFmtId="2" fontId="0" fillId="0" borderId="0" xfId="0" applyNumberFormat="1" applyAlignment="1">
      <alignment horizontal="right" indent="1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3" borderId="17" xfId="0" applyFont="1" applyFill="1" applyBorder="1" applyAlignment="1">
      <alignment horizontal="right" vertical="center" indent="1"/>
    </xf>
    <xf numFmtId="0" fontId="10" fillId="0" borderId="0" xfId="0" applyFont="1"/>
    <xf numFmtId="0" fontId="12" fillId="0" borderId="0" xfId="0" applyFont="1"/>
    <xf numFmtId="3" fontId="9" fillId="3" borderId="17" xfId="0" applyNumberFormat="1" applyFont="1" applyFill="1" applyBorder="1" applyAlignment="1">
      <alignment horizontal="right" indent="1"/>
    </xf>
    <xf numFmtId="2" fontId="9" fillId="3" borderId="17" xfId="0" applyNumberFormat="1" applyFont="1" applyFill="1" applyBorder="1" applyAlignment="1">
      <alignment horizontal="right" indent="1"/>
    </xf>
    <xf numFmtId="3" fontId="11" fillId="0" borderId="6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10" fontId="11" fillId="0" borderId="6" xfId="5" applyNumberFormat="1" applyFont="1" applyBorder="1"/>
    <xf numFmtId="10" fontId="11" fillId="0" borderId="10" xfId="5" applyNumberFormat="1" applyFont="1" applyBorder="1"/>
    <xf numFmtId="0" fontId="11" fillId="0" borderId="21" xfId="0" applyFont="1" applyBorder="1" applyAlignment="1">
      <alignment horizontal="center"/>
    </xf>
    <xf numFmtId="0" fontId="11" fillId="0" borderId="29" xfId="0" applyFont="1" applyBorder="1"/>
    <xf numFmtId="3" fontId="11" fillId="0" borderId="16" xfId="0" applyNumberFormat="1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166" fontId="11" fillId="0" borderId="21" xfId="5" applyNumberFormat="1" applyFont="1" applyBorder="1"/>
    <xf numFmtId="10" fontId="11" fillId="0" borderId="21" xfId="5" applyNumberFormat="1" applyFont="1" applyBorder="1"/>
    <xf numFmtId="0" fontId="11" fillId="0" borderId="28" xfId="0" applyFont="1" applyBorder="1"/>
    <xf numFmtId="3" fontId="11" fillId="0" borderId="13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3" fontId="8" fillId="0" borderId="6" xfId="0" applyNumberFormat="1" applyFont="1" applyBorder="1"/>
    <xf numFmtId="0" fontId="8" fillId="0" borderId="6" xfId="0" applyFont="1" applyBorder="1"/>
    <xf numFmtId="0" fontId="12" fillId="2" borderId="6" xfId="0" applyFont="1" applyFill="1" applyBorder="1"/>
    <xf numFmtId="0" fontId="8" fillId="2" borderId="6" xfId="0" applyFont="1" applyFill="1" applyBorder="1"/>
    <xf numFmtId="3" fontId="11" fillId="2" borderId="6" xfId="0" applyNumberFormat="1" applyFont="1" applyFill="1" applyBorder="1"/>
    <xf numFmtId="0" fontId="11" fillId="2" borderId="6" xfId="0" applyFont="1" applyFill="1" applyBorder="1"/>
    <xf numFmtId="0" fontId="8" fillId="0" borderId="30" xfId="0" applyFont="1" applyBorder="1"/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 indent="3"/>
    </xf>
    <xf numFmtId="2" fontId="11" fillId="0" borderId="4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0" fontId="8" fillId="2" borderId="12" xfId="0" applyFont="1" applyFill="1" applyBorder="1" applyAlignment="1">
      <alignment horizontal="left" indent="3"/>
    </xf>
    <xf numFmtId="2" fontId="11" fillId="0" borderId="2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left" indent="3"/>
    </xf>
    <xf numFmtId="2" fontId="11" fillId="0" borderId="8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1" fillId="4" borderId="0" xfId="0" applyFont="1" applyFill="1"/>
    <xf numFmtId="0" fontId="8" fillId="4" borderId="0" xfId="0" applyFont="1" applyFill="1"/>
    <xf numFmtId="0" fontId="8" fillId="0" borderId="0" xfId="0" applyFont="1" applyAlignment="1">
      <alignment vertical="center"/>
    </xf>
    <xf numFmtId="0" fontId="11" fillId="4" borderId="25" xfId="0" applyFont="1" applyFill="1" applyBorder="1"/>
    <xf numFmtId="0" fontId="8" fillId="0" borderId="0" xfId="0" applyFont="1" applyAlignment="1">
      <alignment vertical="center" textRotation="90"/>
    </xf>
    <xf numFmtId="0" fontId="9" fillId="3" borderId="17" xfId="0" applyFont="1" applyFill="1" applyBorder="1" applyAlignment="1">
      <alignment horizontal="right" indent="1"/>
    </xf>
    <xf numFmtId="3" fontId="13" fillId="0" borderId="0" xfId="0" applyNumberFormat="1" applyFont="1" applyAlignment="1">
      <alignment horizontal="right" indent="1"/>
    </xf>
    <xf numFmtId="0" fontId="15" fillId="0" borderId="0" xfId="0" applyFont="1" applyAlignment="1">
      <alignment horizontal="right" indent="1"/>
    </xf>
    <xf numFmtId="0" fontId="11" fillId="4" borderId="22" xfId="0" applyFont="1" applyFill="1" applyBorder="1"/>
    <xf numFmtId="0" fontId="8" fillId="3" borderId="0" xfId="0" applyFont="1" applyFill="1" applyAlignment="1">
      <alignment horizontal="right"/>
    </xf>
    <xf numFmtId="0" fontId="15" fillId="3" borderId="0" xfId="0" applyFont="1" applyFill="1" applyAlignment="1">
      <alignment horizontal="right" indent="1"/>
    </xf>
    <xf numFmtId="3" fontId="13" fillId="3" borderId="0" xfId="0" applyNumberFormat="1" applyFont="1" applyFill="1" applyAlignment="1">
      <alignment horizontal="right" indent="1"/>
    </xf>
    <xf numFmtId="0" fontId="8" fillId="3" borderId="0" xfId="0" applyFont="1" applyFill="1"/>
    <xf numFmtId="0" fontId="10" fillId="3" borderId="0" xfId="0" applyFont="1" applyFill="1" applyAlignment="1">
      <alignment horizontal="right"/>
    </xf>
    <xf numFmtId="3" fontId="13" fillId="3" borderId="0" xfId="0" quotePrefix="1" applyNumberFormat="1" applyFont="1" applyFill="1" applyAlignment="1">
      <alignment horizontal="right" indent="1"/>
    </xf>
    <xf numFmtId="0" fontId="8" fillId="3" borderId="0" xfId="0" applyFont="1" applyFill="1" applyAlignment="1">
      <alignment vertical="center"/>
    </xf>
    <xf numFmtId="1" fontId="12" fillId="0" borderId="0" xfId="0" applyNumberFormat="1" applyFont="1"/>
    <xf numFmtId="0" fontId="11" fillId="4" borderId="13" xfId="0" applyFont="1" applyFill="1" applyBorder="1"/>
    <xf numFmtId="0" fontId="13" fillId="3" borderId="0" xfId="0" applyFont="1" applyFill="1" applyAlignment="1">
      <alignment horizontal="left" indent="1"/>
    </xf>
    <xf numFmtId="0" fontId="16" fillId="3" borderId="0" xfId="0" applyFont="1" applyFill="1" applyAlignment="1">
      <alignment horizontal="right"/>
    </xf>
    <xf numFmtId="168" fontId="8" fillId="3" borderId="0" xfId="0" applyNumberFormat="1" applyFont="1" applyFill="1" applyAlignment="1">
      <alignment horizontal="right" indent="1"/>
    </xf>
    <xf numFmtId="0" fontId="8" fillId="3" borderId="0" xfId="0" quotePrefix="1" applyFont="1" applyFill="1" applyAlignment="1">
      <alignment horizontal="center"/>
    </xf>
    <xf numFmtId="170" fontId="13" fillId="3" borderId="0" xfId="0" applyNumberFormat="1" applyFont="1" applyFill="1" applyAlignment="1">
      <alignment horizontal="left"/>
    </xf>
    <xf numFmtId="167" fontId="8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right" indent="1"/>
    </xf>
    <xf numFmtId="0" fontId="8" fillId="3" borderId="0" xfId="0" applyFont="1" applyFill="1" applyAlignment="1">
      <alignment horizontal="center" vertical="center"/>
    </xf>
    <xf numFmtId="3" fontId="8" fillId="3" borderId="0" xfId="0" applyNumberFormat="1" applyFont="1" applyFill="1" applyAlignment="1">
      <alignment horizontal="left" vertical="center"/>
    </xf>
    <xf numFmtId="0" fontId="12" fillId="4" borderId="0" xfId="0" applyFont="1" applyFill="1"/>
    <xf numFmtId="165" fontId="8" fillId="3" borderId="0" xfId="0" applyNumberFormat="1" applyFont="1" applyFill="1" applyAlignment="1">
      <alignment horizontal="right" indent="1"/>
    </xf>
    <xf numFmtId="166" fontId="8" fillId="3" borderId="0" xfId="5" applyNumberFormat="1" applyFont="1" applyFill="1" applyAlignment="1">
      <alignment horizontal="right" indent="1"/>
    </xf>
    <xf numFmtId="166" fontId="8" fillId="3" borderId="0" xfId="5" applyNumberFormat="1" applyFont="1" applyFill="1"/>
    <xf numFmtId="169" fontId="11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center"/>
    </xf>
    <xf numFmtId="3" fontId="8" fillId="3" borderId="0" xfId="0" applyNumberFormat="1" applyFont="1" applyFill="1" applyAlignment="1">
      <alignment horizontal="left"/>
    </xf>
    <xf numFmtId="0" fontId="16" fillId="0" borderId="0" xfId="0" applyFont="1" applyAlignment="1">
      <alignment horizontal="right"/>
    </xf>
    <xf numFmtId="3" fontId="8" fillId="0" borderId="0" xfId="0" applyNumberFormat="1" applyFont="1"/>
    <xf numFmtId="0" fontId="17" fillId="5" borderId="0" xfId="0" applyFont="1" applyFill="1"/>
    <xf numFmtId="0" fontId="8" fillId="2" borderId="0" xfId="0" applyFont="1" applyFill="1" applyAlignment="1">
      <alignment horizontal="center" vertical="center" textRotation="90"/>
    </xf>
    <xf numFmtId="3" fontId="8" fillId="2" borderId="0" xfId="0" applyNumberFormat="1" applyFont="1" applyFill="1" applyAlignment="1">
      <alignment horizontal="center"/>
    </xf>
    <xf numFmtId="3" fontId="8" fillId="2" borderId="9" xfId="0" applyNumberFormat="1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3" fontId="8" fillId="2" borderId="11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11" fillId="2" borderId="22" xfId="0" applyFont="1" applyFill="1" applyBorder="1" applyAlignment="1">
      <alignment horizontal="center" wrapText="1"/>
    </xf>
    <xf numFmtId="0" fontId="12" fillId="2" borderId="13" xfId="0" applyFont="1" applyFill="1" applyBorder="1" applyAlignment="1">
      <alignment horizontal="left" vertical="center" indent="1"/>
    </xf>
    <xf numFmtId="0" fontId="12" fillId="2" borderId="26" xfId="0" applyFont="1" applyFill="1" applyBorder="1" applyAlignment="1">
      <alignment horizontal="center" wrapText="1"/>
    </xf>
    <xf numFmtId="0" fontId="12" fillId="2" borderId="22" xfId="0" applyFont="1" applyFill="1" applyBorder="1" applyAlignment="1">
      <alignment horizontal="center" wrapText="1"/>
    </xf>
    <xf numFmtId="0" fontId="11" fillId="2" borderId="26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wrapText="1"/>
    </xf>
    <xf numFmtId="0" fontId="11" fillId="2" borderId="13" xfId="0" applyFont="1" applyFill="1" applyBorder="1" applyAlignment="1">
      <alignment horizont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wrapText="1"/>
    </xf>
    <xf numFmtId="0" fontId="12" fillId="4" borderId="13" xfId="0" applyFont="1" applyFill="1" applyBorder="1" applyAlignment="1">
      <alignment horizontal="center"/>
    </xf>
    <xf numFmtId="0" fontId="12" fillId="4" borderId="0" xfId="0" applyFont="1" applyFill="1" applyAlignment="1">
      <alignment horizontal="center" wrapText="1"/>
    </xf>
    <xf numFmtId="0" fontId="8" fillId="4" borderId="9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13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12" fillId="2" borderId="13" xfId="0" applyFont="1" applyFill="1" applyBorder="1" applyAlignment="1">
      <alignment horizontal="center" wrapText="1"/>
    </xf>
    <xf numFmtId="0" fontId="12" fillId="2" borderId="13" xfId="0" applyFont="1" applyFill="1" applyBorder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0" fillId="6" borderId="0" xfId="0" applyFill="1"/>
    <xf numFmtId="0" fontId="0" fillId="5" borderId="0" xfId="0" applyFill="1"/>
  </cellXfs>
  <cellStyles count="6">
    <cellStyle name="Euro" xfId="2" xr:uid="{00000000-0005-0000-0000-000000000000}"/>
    <cellStyle name="Milliers 2" xfId="3" xr:uid="{00000000-0005-0000-0000-000001000000}"/>
    <cellStyle name="Normal 2" xfId="1" xr:uid="{00000000-0005-0000-0000-000003000000}"/>
    <cellStyle name="Normal 3" xfId="4" xr:uid="{00000000-0005-0000-0000-000004000000}"/>
    <cellStyle name="Procent" xfId="5" builtinId="5"/>
    <cellStyle name="Standaard" xfId="0" builtinId="0"/>
  </cellStyles>
  <dxfs count="37">
    <dxf>
      <font>
        <b val="0"/>
        <i val="0"/>
        <strike val="0"/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9999"/>
        </patternFill>
      </fill>
    </dxf>
    <dxf>
      <fill>
        <patternFill>
          <bgColor rgb="FFCCFFCC"/>
        </patternFill>
      </fill>
    </dxf>
    <dxf>
      <font>
        <color theme="0" tint="-0.499984740745262"/>
      </font>
      <fill>
        <patternFill patternType="solid"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numFmt numFmtId="165" formatCode="0.0"/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</dxf>
    <dxf>
      <fill>
        <patternFill patternType="solid">
          <fgColor indexed="64"/>
          <bgColor rgb="FFFFFF99"/>
        </patternFill>
      </fill>
    </dxf>
  </dxfs>
  <tableStyles count="0" defaultTableStyle="TableStyleMedium2" defaultPivotStyle="PivotStyleLight16"/>
  <colors>
    <mruColors>
      <color rgb="FFCCFFCC"/>
      <color rgb="FF0000FF"/>
      <color rgb="FFFFFF99"/>
      <color rgb="FFFFFFCC"/>
      <color rgb="FF99FF66"/>
      <color rgb="FF99FF99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10</xdr:row>
          <xdr:rowOff>129540</xdr:rowOff>
        </xdr:from>
        <xdr:to>
          <xdr:col>24</xdr:col>
          <xdr:colOff>259080</xdr:colOff>
          <xdr:row>14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14</xdr:row>
          <xdr:rowOff>152400</xdr:rowOff>
        </xdr:from>
        <xdr:to>
          <xdr:col>24</xdr:col>
          <xdr:colOff>259080</xdr:colOff>
          <xdr:row>17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24</xdr:col>
      <xdr:colOff>446807</xdr:colOff>
      <xdr:row>50</xdr:row>
      <xdr:rowOff>81265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45FB7F-84F9-849F-873C-B4DE7936F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6521" y="3416060"/>
          <a:ext cx="6200626" cy="536925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Carton" displayName="TableauCarton" ref="J3:R23" totalsRowShown="0" headerRowDxfId="36">
  <autoFilter ref="J3:R2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Colonne1" dataDxfId="35"/>
    <tableColumn id="2" xr3:uid="{00000000-0010-0000-0000-000002000000}" name="Colonne2" dataDxfId="34">
      <calculatedColumnFormula>CONCATENATE(J4&amp;" -"&amp;L4&amp;"x",M4&amp;"x",N4)</calculatedColumnFormula>
    </tableColumn>
    <tableColumn id="3" xr3:uid="{00000000-0010-0000-0000-000003000000}" name="Longueur (mm)" dataDxfId="33"/>
    <tableColumn id="4" xr3:uid="{00000000-0010-0000-0000-000004000000}" name="largeur" dataDxfId="32"/>
    <tableColumn id="5" xr3:uid="{00000000-0010-0000-0000-000005000000}" name="Hauteur" dataDxfId="31"/>
    <tableColumn id="6" xr3:uid="{00000000-0010-0000-0000-000006000000}" name="poids" dataDxfId="30"/>
    <tableColumn id="7" xr3:uid="{00000000-0010-0000-0000-000007000000}" name="charge max" dataDxfId="29"/>
    <tableColumn id="8" xr3:uid="{00000000-0010-0000-0000-000008000000}" name="charge totale" dataDxfId="28"/>
    <tableColumn id="9" xr3:uid="{00000000-0010-0000-0000-000009000000}" name="volume (dm3)" dataDxfId="27">
      <calculatedColumnFormula>L4*M4*N4/(100*100*100)</calculatedColumnFormula>
    </tableColumn>
  </tableColumns>
  <tableStyleInfo name="TableStyleLight1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Palette" displayName="TableauPalette" ref="A3:H8" totalsRowShown="0" headerRowDxfId="26">
  <autoFilter ref="A3:H8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100-000001000000}" name="Colonne1" dataDxfId="25"/>
    <tableColumn id="2" xr3:uid="{00000000-0010-0000-0100-000002000000}" name="Colonne2" dataDxfId="24">
      <calculatedColumnFormula>CONCATENATE(A4," -Europalette ",C4&amp;"x",D4&amp;"x",E4)</calculatedColumnFormula>
    </tableColumn>
    <tableColumn id="3" xr3:uid="{00000000-0010-0000-0100-000003000000}" name="Longueur (mm)" dataDxfId="23"/>
    <tableColumn id="4" xr3:uid="{00000000-0010-0000-0100-000004000000}" name="largeur" dataDxfId="22"/>
    <tableColumn id="5" xr3:uid="{00000000-0010-0000-0100-000005000000}" name="Hauteur" dataDxfId="21"/>
    <tableColumn id="6" xr3:uid="{00000000-0010-0000-0100-000006000000}" name="poids (kg)" dataDxfId="20"/>
    <tableColumn id="7" xr3:uid="{00000000-0010-0000-0100-000007000000}" name="charge utile" dataDxfId="19"/>
    <tableColumn id="8" xr3:uid="{00000000-0010-0000-0100-000008000000}" name="charge totale" dataDxfId="18"/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FD2F80F-8AD5-4844-8AE4-2B6D957E8EBE}">
  <we:reference id="wa104100404" version="3.0.0.1" store="nl-NL" storeType="OMEX"/>
  <we:alternateReferences>
    <we:reference id="wa104100404" version="3.0.0.1" store="wa104100404" storeType="OMEX"/>
  </we:alternateReferences>
  <we:properties>
    <we:property name="UniqueID" value="&quot;2025218174232596736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C33"/>
  <sheetViews>
    <sheetView showGridLines="0" workbookViewId="0">
      <selection activeCell="L6" sqref="L6"/>
    </sheetView>
  </sheetViews>
  <sheetFormatPr defaultColWidth="11" defaultRowHeight="13.8" x14ac:dyDescent="0.25"/>
  <cols>
    <col min="1" max="1" width="4.77734375" style="12" customWidth="1"/>
    <col min="2" max="2" width="4" style="12" customWidth="1"/>
    <col min="3" max="3" width="23.44140625" style="12" customWidth="1"/>
    <col min="4" max="4" width="8.44140625" style="12" customWidth="1"/>
    <col min="5" max="5" width="3.109375" style="12" customWidth="1"/>
    <col min="6" max="8" width="11.88671875" style="12" customWidth="1"/>
    <col min="9" max="9" width="3.6640625" style="12" customWidth="1"/>
    <col min="10" max="10" width="9.88671875" style="12" bestFit="1" customWidth="1"/>
    <col min="11" max="11" width="8.109375" style="12" bestFit="1" customWidth="1"/>
    <col min="12" max="12" width="8" style="12" bestFit="1" customWidth="1"/>
    <col min="13" max="13" width="28.5546875" style="12" bestFit="1" customWidth="1"/>
    <col min="14" max="14" width="13.109375" style="12" customWidth="1"/>
    <col min="15" max="16" width="8.44140625" style="12" hidden="1" customWidth="1"/>
    <col min="17" max="20" width="8.44140625" style="12" customWidth="1"/>
    <col min="21" max="22" width="3.33203125" style="12" customWidth="1"/>
    <col min="23" max="23" width="20.77734375" style="12" customWidth="1"/>
    <col min="24" max="24" width="8.77734375" style="12" customWidth="1"/>
    <col min="25" max="25" width="8.44140625" style="12" customWidth="1"/>
    <col min="26" max="26" width="7.33203125" style="12" customWidth="1"/>
    <col min="27" max="27" width="8.21875" style="12" customWidth="1"/>
    <col min="28" max="28" width="11" style="12"/>
    <col min="29" max="29" width="11" style="12" hidden="1" customWidth="1"/>
    <col min="30" max="16384" width="11" style="12"/>
  </cols>
  <sheetData>
    <row r="1" spans="2:29" ht="15" customHeight="1" thickBot="1" x14ac:dyDescent="0.3">
      <c r="C1" s="13" t="s">
        <v>78</v>
      </c>
      <c r="D1" s="14" t="s">
        <v>2</v>
      </c>
      <c r="G1" s="15" t="s">
        <v>1</v>
      </c>
      <c r="K1" s="99" t="s">
        <v>33</v>
      </c>
      <c r="L1" s="101" t="s">
        <v>32</v>
      </c>
      <c r="M1" s="102" t="s">
        <v>44</v>
      </c>
      <c r="N1" s="103" t="s">
        <v>66</v>
      </c>
      <c r="O1" s="105" t="s">
        <v>33</v>
      </c>
      <c r="P1" s="107" t="s">
        <v>32</v>
      </c>
      <c r="Q1" s="122" t="s">
        <v>33</v>
      </c>
      <c r="R1" s="98" t="s">
        <v>32</v>
      </c>
      <c r="S1" s="107" t="s">
        <v>67</v>
      </c>
      <c r="T1" s="108" t="s">
        <v>69</v>
      </c>
      <c r="U1" s="111" t="s">
        <v>60</v>
      </c>
      <c r="V1" s="111" t="s">
        <v>61</v>
      </c>
      <c r="W1" s="116" t="s">
        <v>65</v>
      </c>
      <c r="X1" s="113" t="s">
        <v>33</v>
      </c>
      <c r="Y1" s="115" t="s">
        <v>32</v>
      </c>
      <c r="Z1" s="109" t="s">
        <v>68</v>
      </c>
      <c r="AA1" s="109" t="s">
        <v>67</v>
      </c>
      <c r="AC1" s="16" t="s">
        <v>2</v>
      </c>
    </row>
    <row r="2" spans="2:29" ht="15" customHeight="1" thickBot="1" x14ac:dyDescent="0.3">
      <c r="C2" s="13" t="s">
        <v>49</v>
      </c>
      <c r="D2" s="17">
        <v>1200</v>
      </c>
      <c r="K2" s="100"/>
      <c r="L2" s="101"/>
      <c r="M2" s="102"/>
      <c r="N2" s="104"/>
      <c r="O2" s="106"/>
      <c r="P2" s="108"/>
      <c r="Q2" s="123"/>
      <c r="R2" s="98"/>
      <c r="S2" s="108"/>
      <c r="T2" s="108"/>
      <c r="U2" s="112"/>
      <c r="V2" s="112"/>
      <c r="W2" s="116"/>
      <c r="X2" s="114"/>
      <c r="Y2" s="115"/>
      <c r="Z2" s="110"/>
      <c r="AA2" s="110"/>
      <c r="AC2" s="16" t="s">
        <v>3</v>
      </c>
    </row>
    <row r="3" spans="2:29" ht="15" customHeight="1" thickBot="1" x14ac:dyDescent="0.3">
      <c r="C3" s="13" t="s">
        <v>38</v>
      </c>
      <c r="D3" s="18">
        <v>0.4</v>
      </c>
      <c r="F3" s="121" t="s">
        <v>80</v>
      </c>
      <c r="G3" s="121"/>
      <c r="H3" s="121"/>
      <c r="K3" s="19">
        <f>INT(F7)*INT(G8)*INT(H9)</f>
        <v>1980</v>
      </c>
      <c r="L3" s="20">
        <f>K3/INT(H9)</f>
        <v>132</v>
      </c>
      <c r="M3" s="21" t="str">
        <f>CONCATENATE(INT(F7)&amp;"x L dans le sens LP; "&amp;INT(G8)&amp;"x")</f>
        <v>12x L dans le sens LP; 11x</v>
      </c>
      <c r="N3" s="20" t="str">
        <f>IF((F7-INT(F7))*F6&gt;=G6,INT(F8)&amp;"x"&amp;INT((F7-INT(F7))*F6/G6),"")</f>
        <v/>
      </c>
      <c r="O3" s="20" t="str">
        <f>IF((F7-INT(F7))*F6&gt;=G6,P3*INT($H$9),"")</f>
        <v/>
      </c>
      <c r="P3" s="20" t="str">
        <f>IF((F7-INT(F7))*F6&gt;=G6,L3+(INT(F8)*INT((F7-INT(F7))*F6/G6)),"")</f>
        <v/>
      </c>
      <c r="Q3" s="19">
        <f t="shared" ref="Q3:Q4" si="0">MAX(K3,O3)</f>
        <v>1980</v>
      </c>
      <c r="R3" s="20">
        <f>MAX(L3,P3)</f>
        <v>132</v>
      </c>
      <c r="S3" s="22">
        <f>($F$6*$G$6*R3)/($D$7*$D$8)</f>
        <v>0.96030000000000004</v>
      </c>
      <c r="T3" s="23">
        <f>INT(H9)*H6/$D$9</f>
        <v>0.99431818181818177</v>
      </c>
      <c r="U3" s="24">
        <v>0</v>
      </c>
      <c r="V3" s="24">
        <v>0</v>
      </c>
      <c r="W3" s="25" t="str">
        <f>CONCATENATE("sens LP; "&amp;U3&amp;"x L"&amp;" et "&amp;V3&amp;"x l")</f>
        <v>sens LP; 0x L et 0x l</v>
      </c>
      <c r="X3" s="26">
        <f>(U3*INT(G8)+V3*INT(F8))*INT(H9)</f>
        <v>0</v>
      </c>
      <c r="Y3" s="27">
        <f>X3/INT(H9)</f>
        <v>0</v>
      </c>
      <c r="Z3" s="28">
        <f>($F$6*U3+$G$6*V3)/D7</f>
        <v>0</v>
      </c>
      <c r="AA3" s="29">
        <f>((U3*F6*INT(G8)*G6)+(V3*G6*INT(F8)*F6))/(D7*D8)</f>
        <v>0</v>
      </c>
    </row>
    <row r="4" spans="2:29" ht="15" customHeight="1" thickBot="1" x14ac:dyDescent="0.3">
      <c r="C4" s="13" t="s">
        <v>30</v>
      </c>
      <c r="D4" s="17">
        <v>100</v>
      </c>
      <c r="F4" s="117" t="s">
        <v>81</v>
      </c>
      <c r="G4" s="118"/>
      <c r="H4" s="119"/>
      <c r="K4" s="19">
        <f>INT(G7)*INT(F8)*INT(H9)</f>
        <v>1920</v>
      </c>
      <c r="L4" s="20">
        <f>K4/INT(H9)</f>
        <v>128</v>
      </c>
      <c r="M4" s="21" t="str">
        <f>CONCATENATE(INT(G7)&amp;"x l dans le sens LP; "&amp;INT(F8)&amp;"x")</f>
        <v>16x l dans le sens LP; 8x</v>
      </c>
      <c r="N4" s="20" t="str">
        <f>IF((F8-INT(F8))*F6&gt;=G6,INT(F7)&amp;"x"&amp;INT((F8-INT(F8))*F6/G6),"")</f>
        <v/>
      </c>
      <c r="O4" s="20" t="str">
        <f>IF((F8-INT(F8))*F6&gt;=G6,P4*INT($H$9),"")</f>
        <v/>
      </c>
      <c r="P4" s="20" t="str">
        <f>IF((F8-INT(F8))*F6&gt;=G6,L4+(INT(F7)*INT((F8-INT(F8))*F6/G6)),"")</f>
        <v/>
      </c>
      <c r="Q4" s="19">
        <f t="shared" si="0"/>
        <v>1920</v>
      </c>
      <c r="R4" s="20">
        <f t="shared" ref="R4" si="1">MAX(L4,P4)</f>
        <v>128</v>
      </c>
      <c r="S4" s="22">
        <f>($F$6*$G$6*R4)/($D$7*$D$8)</f>
        <v>0.93120000000000003</v>
      </c>
      <c r="T4" s="23">
        <f>INT(H9)*H6/$D$9</f>
        <v>0.99431818181818177</v>
      </c>
      <c r="U4" s="24">
        <v>0</v>
      </c>
      <c r="V4" s="24">
        <v>0</v>
      </c>
      <c r="W4" s="30" t="str">
        <f>CONCATENATE("sens lP; "&amp;U4&amp;"x L"&amp;" et "&amp;V4&amp;"x l")</f>
        <v>sens lP; 0x L et 0x l</v>
      </c>
      <c r="X4" s="31">
        <f>(U4*INT(G7)+V4*INT(F7))*INT(H9)</f>
        <v>0</v>
      </c>
      <c r="Y4" s="32">
        <f>X4/INT(H9)</f>
        <v>0</v>
      </c>
      <c r="Z4" s="28">
        <f>($F$6*U4+$G$6*V4)/D8</f>
        <v>0</v>
      </c>
      <c r="AA4" s="29">
        <f>((U4*F6*INT(G7)*G6)+(V4*G6*INT(F7)*F6))/(D7*D8)</f>
        <v>0</v>
      </c>
    </row>
    <row r="5" spans="2:29" ht="15" customHeight="1" thickBot="1" x14ac:dyDescent="0.3">
      <c r="F5" s="33" t="s">
        <v>4</v>
      </c>
      <c r="G5" s="34" t="s">
        <v>5</v>
      </c>
      <c r="H5" s="35" t="s">
        <v>6</v>
      </c>
      <c r="K5" s="36"/>
      <c r="L5" s="37"/>
      <c r="M5" s="38" t="s">
        <v>77</v>
      </c>
      <c r="N5" s="39"/>
      <c r="O5" s="39"/>
      <c r="P5" s="39"/>
      <c r="Q5" s="40"/>
      <c r="R5" s="41"/>
      <c r="S5" s="41"/>
      <c r="T5" s="41"/>
      <c r="U5" s="42"/>
    </row>
    <row r="6" spans="2:29" ht="15" customHeight="1" thickBot="1" x14ac:dyDescent="0.3">
      <c r="B6" s="117" t="s">
        <v>56</v>
      </c>
      <c r="C6" s="118"/>
      <c r="D6" s="118"/>
      <c r="E6" s="119"/>
      <c r="F6" s="43">
        <f>VLOOKUP(LEFT($F$4,SEARCH("-",$F$4,1)-2),TableauCarton[],3,0)</f>
        <v>97</v>
      </c>
      <c r="G6" s="44">
        <f>VLOOKUP("*"&amp;LEFT($F$4,SEARCH("-",$F$4,1)-2)&amp;"*",TableauCarton[],4,0)</f>
        <v>72</v>
      </c>
      <c r="H6" s="45">
        <f>VLOOKUP("*"&amp;LEFT($F$4,SEARCH("-",$F$4,1)-2)&amp;"*",TableauCarton[],5,0)</f>
        <v>70</v>
      </c>
      <c r="K6" s="19">
        <f>IF(F6&gt;H6,INT(F7)*INT(G9)*INT(H8),INT(F8)*INT(G9)*INT(H7))</f>
        <v>1848</v>
      </c>
      <c r="L6" s="20">
        <f>K6/INT(G9)</f>
        <v>132</v>
      </c>
      <c r="M6" s="21" t="str">
        <f>IF(F6&gt;=H6,CONCATENATE("l sens HP; "&amp;INT(F7)&amp;"x L sens LP; "&amp;INT(H8)&amp;"x"),CONCATENATE("l sens HP; "&amp;INT(H7)&amp;"x L sens LP; "&amp;INT(F8)&amp;"x"))</f>
        <v>l sens HP; 12x L sens LP; 11x</v>
      </c>
      <c r="N6" s="20" t="str">
        <f>IF((F7-INT(F7))*F6&gt;=H6,INT(F8)&amp;"x"&amp;INT((F7-INT(F7))*F6/H6),IF((H7-INT(H7))*H6&gt;=F6,INT(H8)&amp;"x"&amp;INT((H7-INT(H7))*H6/F6),""))</f>
        <v/>
      </c>
      <c r="O6" s="20" t="str">
        <f>IF((F7-INT(F7))*F6&gt;=H6,P6*INT($G$9),IF((H7-INT(H7))*H6&gt;=F6,P6*INT($G$9),""))</f>
        <v/>
      </c>
      <c r="P6" s="20" t="str">
        <f>IF((F7-INT(F7))*F6&gt;=H6,L6+(INT(F8)*INT((F7-INT(F7))*F6/H6)),IF((H7-INT(H7))*H6&gt;=F6,L6+(INT(H8)*INT((H7-INT(H7))*H6/F6)),""))</f>
        <v/>
      </c>
      <c r="Q6" s="19">
        <f t="shared" ref="Q6:Q9" si="2">MAX(K6,O6)</f>
        <v>1848</v>
      </c>
      <c r="R6" s="20">
        <f>MAX(L6,P6)</f>
        <v>132</v>
      </c>
      <c r="S6" s="22">
        <f>($F$6*$H$6*R6)/($D$7*$D$8)</f>
        <v>0.93362500000000004</v>
      </c>
      <c r="T6" s="22">
        <f>INT(G9)*G6/$D$9</f>
        <v>0.95454545454545459</v>
      </c>
      <c r="U6" s="120" t="s">
        <v>82</v>
      </c>
      <c r="V6" s="120"/>
      <c r="W6" s="120"/>
      <c r="X6" s="120"/>
      <c r="Y6" s="120"/>
      <c r="Z6" s="120"/>
      <c r="AA6" s="120"/>
    </row>
    <row r="7" spans="2:29" ht="15" customHeight="1" thickBot="1" x14ac:dyDescent="0.3">
      <c r="B7" s="93" t="s">
        <v>0</v>
      </c>
      <c r="C7" s="46" t="s">
        <v>7</v>
      </c>
      <c r="D7" s="94">
        <f>VLOOKUP(LEFT($B$6,SEARCH("-",$B$6,1)-2),TableauPalette[],3,0)</f>
        <v>1200</v>
      </c>
      <c r="E7" s="95"/>
      <c r="F7" s="47">
        <f t="shared" ref="F7:H9" si="3">$D7/F$6</f>
        <v>12.371134020618557</v>
      </c>
      <c r="G7" s="47">
        <f t="shared" si="3"/>
        <v>16.666666666666668</v>
      </c>
      <c r="H7" s="48">
        <f t="shared" si="3"/>
        <v>17.142857142857142</v>
      </c>
      <c r="K7" s="19">
        <f>IF(F6&gt;H6,INT(H7)*INT(F8)*INT(G9),INT(H8)*INT(F7)*INT(G9))</f>
        <v>1904</v>
      </c>
      <c r="L7" s="20">
        <f>K7/INT(G9)</f>
        <v>136</v>
      </c>
      <c r="M7" s="21" t="str">
        <f>IF(F6&gt;=H6,CONCATENATE("l sens HP; "&amp;INT(H7)&amp;"x l sens LP; "&amp;INT(F8)&amp;"x"),CONCATENATE("l sens HP; "&amp;INT(F7)&amp;"x l sens LP; "&amp;INT(H8)&amp;"x"))</f>
        <v>l sens HP; 17x l sens LP; 8x</v>
      </c>
      <c r="N7" s="20" t="str">
        <f>IF((F8-INT(F8))*F6&gt;=H6,INT(F7)&amp;"x"&amp;INT((F8-INT(F8))*F6/H6),IF((H8-INT(H8))*H6&gt;=F6,INT(H7)&amp;"x"&amp;INT((H8-INT(H8))*H6/F6),""))</f>
        <v/>
      </c>
      <c r="O7" s="20" t="str">
        <f>IF((F8-INT(F8))*F6&gt;=H6,P7*INT($G$9),IF((H8-INT(H8))*H6&gt;=F6,P7*INT($G$9),""))</f>
        <v/>
      </c>
      <c r="P7" s="20" t="str">
        <f>IF((F8-INT(F8))*F6&gt;=H6,L7+(INT(F7)*INT((F8-INT(F8))*F6/H6)),IF((H8-INT(H8))*H6&gt;=F6,L7+(INT(H7)*INT((H8-INT(H8))*H6/F6)),""))</f>
        <v/>
      </c>
      <c r="Q7" s="19">
        <f t="shared" si="2"/>
        <v>1904</v>
      </c>
      <c r="R7" s="20">
        <f>MAX(L7,P7)</f>
        <v>136</v>
      </c>
      <c r="S7" s="22">
        <f>($F$6*$H$6*R7)/($D$7*$D$8)</f>
        <v>0.96191666666666664</v>
      </c>
      <c r="T7" s="22">
        <f>INT(G9)*G6/$D$9</f>
        <v>0.95454545454545459</v>
      </c>
      <c r="U7" s="120"/>
      <c r="V7" s="120"/>
      <c r="W7" s="120"/>
      <c r="X7" s="120"/>
      <c r="Y7" s="120"/>
      <c r="Z7" s="120"/>
      <c r="AA7" s="120"/>
    </row>
    <row r="8" spans="2:29" ht="15" customHeight="1" thickBot="1" x14ac:dyDescent="0.3">
      <c r="B8" s="93"/>
      <c r="C8" s="49" t="s">
        <v>8</v>
      </c>
      <c r="D8" s="96">
        <f>VLOOKUP(LEFT($B$6,SEARCH("-",$B$6,1)-2),TableauPalette[],4,0)</f>
        <v>800</v>
      </c>
      <c r="E8" s="97"/>
      <c r="F8" s="50">
        <f t="shared" si="3"/>
        <v>8.2474226804123703</v>
      </c>
      <c r="G8" s="50">
        <f t="shared" si="3"/>
        <v>11.111111111111111</v>
      </c>
      <c r="H8" s="51">
        <f t="shared" si="3"/>
        <v>11.428571428571429</v>
      </c>
      <c r="K8" s="19">
        <f>IF(G6&gt;H6,INT(G7)*INT(F9)*INT(H8),INT(G8)*INT(F9)*INT(H7))</f>
        <v>1760</v>
      </c>
      <c r="L8" s="20">
        <f>K8/INT(F9)</f>
        <v>176</v>
      </c>
      <c r="M8" s="21" t="str">
        <f>IF(G6&gt;=H6,CONCATENATE("L sens HP; "&amp;INT(G7)&amp;"x L sens LP; "&amp;INT(H8)&amp;"x"),CONCATENATE("L sens HP; "&amp;INT(H7)&amp;"x L sens LP; "&amp;INT(G8)&amp;"x"))</f>
        <v>L sens HP; 16x L sens LP; 11x</v>
      </c>
      <c r="N8" s="20" t="str">
        <f>IF((G7-INT(G7))*G6&gt;=H6,INT(G8)&amp;"x"&amp;INT((G7-INT(G7))*G6/H6),IF((H7-INT(H7))*H6&gt;=G6,INT(H8)&amp;"x"&amp;INT((H7-INT(H7))*H6/G6),""))</f>
        <v/>
      </c>
      <c r="O8" s="20" t="str">
        <f>IF((G7-INT(G7))*G6&gt;=H6,P8*INT($F$9),IF((H7-INT(H7))*H6&gt;=G6,P8*INT($F$9),""))</f>
        <v/>
      </c>
      <c r="P8" s="20" t="str">
        <f>IF((G7-INT(G7))*G6&gt;=H6,L8+(INT(G8)*INT((G7-INT(G7))*G6/H6)),IF((H7-INT(H7))*H6&gt;=G6,L8+(INT(H8)*INT((H7-INT(H7))*H6/G6)),""))</f>
        <v/>
      </c>
      <c r="Q8" s="19">
        <f t="shared" si="2"/>
        <v>1760</v>
      </c>
      <c r="R8" s="20">
        <f>MAX(L8,P8)</f>
        <v>176</v>
      </c>
      <c r="S8" s="22">
        <f>($G$6*$H$6*R8)/($D$7*$D$8)</f>
        <v>0.92400000000000004</v>
      </c>
      <c r="T8" s="22">
        <f>INT(F9)*F6/$D$9</f>
        <v>0.91856060606060608</v>
      </c>
      <c r="U8" s="120"/>
      <c r="V8" s="120"/>
      <c r="W8" s="120"/>
      <c r="X8" s="120"/>
      <c r="Y8" s="120"/>
      <c r="Z8" s="120"/>
      <c r="AA8" s="120"/>
    </row>
    <row r="9" spans="2:29" ht="15" customHeight="1" thickBot="1" x14ac:dyDescent="0.3">
      <c r="B9" s="93"/>
      <c r="C9" s="52" t="s">
        <v>74</v>
      </c>
      <c r="D9" s="96">
        <f>IF(D11="oui",D2-D10-144,D2-D10)</f>
        <v>1056</v>
      </c>
      <c r="E9" s="97"/>
      <c r="F9" s="53">
        <f t="shared" si="3"/>
        <v>10.88659793814433</v>
      </c>
      <c r="G9" s="54">
        <f t="shared" si="3"/>
        <v>14.666666666666666</v>
      </c>
      <c r="H9" s="55">
        <f t="shared" si="3"/>
        <v>15.085714285714285</v>
      </c>
      <c r="K9" s="19">
        <f>IF(G6&gt;H6,INT(H7)*INT(G8)*INT(F9),INT(H8)*INT(G7)*INT(F9))</f>
        <v>1870</v>
      </c>
      <c r="L9" s="20">
        <f>K9/INT(F9)</f>
        <v>187</v>
      </c>
      <c r="M9" s="21" t="str">
        <f>IF(G6&gt;=H6,CONCATENATE("L sens HP; "&amp;INT(H7)&amp;"x l sens LP; "&amp;INT(G8)&amp;"x"),CONCATENATE("L sens HP; "&amp;INT(G7)&amp;"x l sens LP; "&amp;INT(H8)&amp;"x"))</f>
        <v>L sens HP; 17x l sens LP; 11x</v>
      </c>
      <c r="N9" s="20" t="str">
        <f>IF((G8-INT(G8))*G6&gt;=H6,INT(G7)&amp;"x"&amp;INT((G8-INT(G8))*G6/H6),IF((H8-INT(H8))*H6&gt;=G6,INT(H7)&amp;"x"&amp;INT((H8-INT(H8))*H6/G6),""))</f>
        <v/>
      </c>
      <c r="O9" s="20" t="str">
        <f>IF((G8-INT(G8))*G6&gt;=H6,P9*INT($F$9),IF((H8-INT(H8))*H6&gt;=G6,P9*INT($F$9),""))</f>
        <v/>
      </c>
      <c r="P9" s="20" t="str">
        <f>IF((G8-INT(G8))*G6&gt;=H6,L9+(INT(G7)*INT((G8-INT(G8))*G6/H6)),IF((H8-INT(H8))*H6&gt;=G6,L9+(INT(H7)*INT((H8-INT(H8))*H6/G6)),""))</f>
        <v/>
      </c>
      <c r="Q9" s="19">
        <f t="shared" si="2"/>
        <v>1870</v>
      </c>
      <c r="R9" s="20">
        <f>MAX(L9,P9)</f>
        <v>187</v>
      </c>
      <c r="S9" s="22">
        <f>($G$6*$H$6*R9)/($D$7*$D$8)</f>
        <v>0.98175000000000001</v>
      </c>
      <c r="T9" s="22">
        <f>INT(F9)*F6/$D$9</f>
        <v>0.91856060606060608</v>
      </c>
      <c r="U9" s="56" t="s">
        <v>72</v>
      </c>
      <c r="V9" s="57"/>
      <c r="W9" s="57"/>
      <c r="X9" s="57"/>
      <c r="Y9" s="57"/>
      <c r="Z9" s="57"/>
      <c r="AA9" s="57"/>
    </row>
    <row r="10" spans="2:29" ht="15" customHeight="1" thickBot="1" x14ac:dyDescent="0.3">
      <c r="B10" s="93"/>
      <c r="C10" s="46" t="s">
        <v>73</v>
      </c>
      <c r="D10" s="94">
        <f>VLOOKUP(LEFT($B$6,SEARCH("-",$B$6,1)-2),TableauPalette[],5,0)</f>
        <v>144</v>
      </c>
      <c r="E10" s="95"/>
      <c r="K10" s="58"/>
      <c r="L10" s="58"/>
      <c r="U10" s="59" t="s">
        <v>71</v>
      </c>
      <c r="V10" s="57"/>
      <c r="W10" s="57"/>
      <c r="X10" s="57"/>
      <c r="Y10" s="57"/>
      <c r="Z10" s="57"/>
      <c r="AA10" s="57"/>
    </row>
    <row r="11" spans="2:29" ht="15" customHeight="1" thickBot="1" x14ac:dyDescent="0.3">
      <c r="B11" s="60"/>
      <c r="C11" s="13" t="s">
        <v>64</v>
      </c>
      <c r="D11" s="61" t="s">
        <v>3</v>
      </c>
      <c r="E11" s="62"/>
      <c r="K11" s="58"/>
      <c r="L11" s="58"/>
      <c r="M11" s="16"/>
      <c r="N11" s="16"/>
      <c r="U11" s="59" t="s">
        <v>63</v>
      </c>
      <c r="V11" s="57"/>
      <c r="W11" s="57"/>
      <c r="X11" s="57"/>
      <c r="Y11" s="57"/>
      <c r="Z11" s="57"/>
      <c r="AA11" s="57"/>
    </row>
    <row r="12" spans="2:29" ht="6.15" customHeight="1" x14ac:dyDescent="0.25">
      <c r="B12" s="60"/>
      <c r="C12" s="13"/>
      <c r="D12" s="63"/>
      <c r="E12" s="62"/>
      <c r="K12" s="58"/>
      <c r="L12" s="58"/>
      <c r="M12" s="16"/>
      <c r="N12" s="16"/>
      <c r="U12" s="64"/>
      <c r="V12" s="57"/>
      <c r="W12" s="57"/>
      <c r="X12" s="57"/>
      <c r="Y12" s="57"/>
      <c r="Z12" s="57"/>
      <c r="AA12" s="57"/>
    </row>
    <row r="13" spans="2:29" ht="15" customHeight="1" x14ac:dyDescent="0.25">
      <c r="B13" s="60"/>
      <c r="C13" s="65"/>
      <c r="D13" s="66" t="str">
        <f>IF(AND(D11="oui",OR(D7=1200,D7=1000)),"Combinaison incohérente","")</f>
        <v/>
      </c>
      <c r="E13" s="67"/>
      <c r="F13" s="68"/>
      <c r="G13" s="69" t="s">
        <v>20</v>
      </c>
      <c r="H13" s="70">
        <f>IF(D1="non",MAX(Q3:Q4,X3:X4),MAX(Q3:Q9,X3:X4))</f>
        <v>1980</v>
      </c>
      <c r="I13" s="71"/>
      <c r="J13" s="71"/>
      <c r="K13" s="58"/>
      <c r="L13" s="58"/>
      <c r="M13" s="72"/>
      <c r="N13" s="72"/>
      <c r="U13" s="73" t="s">
        <v>70</v>
      </c>
      <c r="V13" s="57"/>
      <c r="W13" s="57"/>
      <c r="X13" s="57"/>
      <c r="Y13" s="57"/>
      <c r="Z13" s="57"/>
      <c r="AA13" s="57"/>
    </row>
    <row r="14" spans="2:29" ht="15" customHeight="1" x14ac:dyDescent="0.25">
      <c r="B14" s="60"/>
      <c r="C14" s="65"/>
      <c r="D14" s="74"/>
      <c r="E14" s="67"/>
      <c r="F14" s="68"/>
      <c r="G14" s="75" t="s">
        <v>31</v>
      </c>
      <c r="H14" s="76">
        <f>VLOOKUP(LEFT($B$6,SEARCH("-",$B$6,1)-2),'BD UM_UC'!$A$4:$H$8,6,0)+H13*$D$3</f>
        <v>817</v>
      </c>
      <c r="I14" s="77" t="str">
        <f>IF(H15&gt;0,"","=&gt;")</f>
        <v/>
      </c>
      <c r="J14" s="78" t="str">
        <f>IFERROR(IF(H15&gt;0,"",H13*$D$4),"")</f>
        <v/>
      </c>
      <c r="K14" s="58"/>
      <c r="L14" s="58"/>
      <c r="M14" s="72"/>
      <c r="N14" s="72"/>
      <c r="U14" s="73" t="s">
        <v>79</v>
      </c>
      <c r="V14" s="57"/>
      <c r="W14" s="57"/>
      <c r="X14" s="57"/>
      <c r="Y14" s="57"/>
      <c r="Z14" s="57"/>
      <c r="AA14" s="57"/>
    </row>
    <row r="15" spans="2:29" ht="15" customHeight="1" x14ac:dyDescent="0.25">
      <c r="C15" s="68"/>
      <c r="D15" s="68"/>
      <c r="E15" s="68"/>
      <c r="F15" s="68"/>
      <c r="G15" s="75" t="s">
        <v>17</v>
      </c>
      <c r="H15" s="76">
        <f>IF(H14&gt;VLOOKUP(LEFT($B$6,SEARCH("-",$B$6,1)-2),'BD UM_UC'!$A$4:$H$8,7,0),H14-VLOOKUP(LEFT($B$6,SEARCH("-",$B$6,1)-2),'BD UM_UC'!$A$4:$H$8,7,0),0)</f>
        <v>67</v>
      </c>
      <c r="I15" s="77" t="str">
        <f>IF($H$15&gt;0,"=&gt;","")</f>
        <v>=&gt;</v>
      </c>
      <c r="J15" s="79">
        <f>IF(H15=0,"",IFERROR($H$15/$D$3,""))</f>
        <v>167.5</v>
      </c>
      <c r="K15" s="58"/>
      <c r="L15" s="58"/>
      <c r="U15" s="57"/>
      <c r="V15" s="57"/>
      <c r="W15" s="57"/>
      <c r="X15" s="57"/>
      <c r="Y15" s="57"/>
      <c r="Z15" s="57"/>
      <c r="AA15" s="57"/>
    </row>
    <row r="16" spans="2:29" ht="15" customHeight="1" x14ac:dyDescent="0.25">
      <c r="C16" s="68"/>
      <c r="D16" s="68"/>
      <c r="E16" s="68"/>
      <c r="F16" s="68"/>
      <c r="G16" s="65" t="s">
        <v>50</v>
      </c>
      <c r="H16" s="80">
        <f>IF($D$1="non",VLOOKUP(MAX(_xlfn.VSTACK($Q$3:$Q$4,$X$3:$X$4)),_xlfn.VSTACK($Q$3:$R$4,$X$3:$Y$4),2,0),VLOOKUP(MAX(_xlfn.VSTACK($Q$3:$Q$9,$X$3:$X$4)),_xlfn.VSTACK($Q$3:$R$9,$X$3:$Y$4),2,0))</f>
        <v>132</v>
      </c>
      <c r="I16" s="81" t="str">
        <f>IF($H$15&gt;0,"","=&gt;")</f>
        <v/>
      </c>
      <c r="J16" s="82" t="str">
        <f>IF(OR(H15&gt;0,D4=""),"",H16*$D$4)</f>
        <v/>
      </c>
      <c r="U16" s="83"/>
      <c r="V16" s="57"/>
      <c r="W16" s="57"/>
      <c r="X16" s="57"/>
      <c r="Y16" s="57"/>
      <c r="Z16" s="57"/>
      <c r="AA16" s="57"/>
    </row>
    <row r="17" spans="3:27" ht="15" customHeight="1" x14ac:dyDescent="0.25">
      <c r="C17" s="68"/>
      <c r="D17" s="68"/>
      <c r="E17" s="68"/>
      <c r="F17" s="68"/>
      <c r="G17" s="65" t="s">
        <v>18</v>
      </c>
      <c r="H17" s="84">
        <f>IF( $D$1="non",H13/VLOOKUP($H$13,_xlfn.VSTACK($Q$3:$R$4,$X$3:$Y$4),2,0),H13/VLOOKUP($H$13,_xlfn.VSTACK($Q$3:$R$9,$X$3:$Y$4),2,0))</f>
        <v>15</v>
      </c>
      <c r="I17" s="68"/>
      <c r="J17" s="68"/>
      <c r="U17" s="57"/>
      <c r="V17" s="57"/>
      <c r="W17" s="57"/>
      <c r="X17" s="57"/>
      <c r="Y17" s="57"/>
      <c r="Z17" s="57"/>
      <c r="AA17" s="57"/>
    </row>
    <row r="18" spans="3:27" ht="15" customHeight="1" x14ac:dyDescent="0.25">
      <c r="C18" s="68"/>
      <c r="D18" s="68"/>
      <c r="E18" s="68"/>
      <c r="F18" s="68"/>
      <c r="G18" s="75" t="s">
        <v>27</v>
      </c>
      <c r="H18" s="67">
        <f>D10+(H17*IF($D$1="non",$H$6,IF(AND(1&lt;=MATCH(MAX($Q3:$Q$9),$Q$3:$Q$9,0),MATCH(MAX($Q3:$Q$9),$Q$3:$Q$9,0)&lt;=2),$H$6,IF(AND(3&lt;=MATCH(MAX($Q3:$Q$9),$Q$3:$Q$9,0),MATCH(MAX($Q3:$Q$9),$Q$3:$Q$9,0)&lt;=4),$G$6,$F$6))))</f>
        <v>1194</v>
      </c>
      <c r="I18" s="68"/>
      <c r="J18" s="68"/>
      <c r="U18" s="57"/>
      <c r="V18" s="57"/>
      <c r="W18" s="57"/>
      <c r="X18" s="57"/>
      <c r="Y18" s="57"/>
      <c r="Z18" s="57"/>
      <c r="AA18" s="57"/>
    </row>
    <row r="19" spans="3:27" ht="15" customHeight="1" x14ac:dyDescent="0.25">
      <c r="C19" s="68"/>
      <c r="D19" s="68"/>
      <c r="E19" s="68"/>
      <c r="F19" s="68"/>
      <c r="G19" s="75" t="s">
        <v>16</v>
      </c>
      <c r="H19" s="85">
        <f>($F$6*$G$6*$H$6)*H13/($D$7*$D$8*($D$2-$D$10))</f>
        <v>0.95484374999999999</v>
      </c>
      <c r="I19" s="68"/>
      <c r="J19" s="86"/>
    </row>
    <row r="20" spans="3:27" ht="6.6" customHeight="1" x14ac:dyDescent="0.25"/>
    <row r="21" spans="3:27" ht="15" customHeight="1" x14ac:dyDescent="0.25">
      <c r="C21" s="68"/>
      <c r="D21" s="68"/>
      <c r="E21" s="68"/>
      <c r="F21" s="68"/>
      <c r="G21" s="69" t="s">
        <v>19</v>
      </c>
      <c r="H21" s="67">
        <f>IF($H$15=0,"",$H$13-ROUNDUP($J$15,0))</f>
        <v>1812</v>
      </c>
      <c r="I21" s="77"/>
      <c r="J21" s="87">
        <f>IFERROR(H21-$H$13,"")</f>
        <v>-168</v>
      </c>
      <c r="M21" s="12" t="b">
        <f>_xlfn.LET(_xlpm.posmaxnon,MATCH(MAX(_xlfn.VSTACK($Q3:$Q$9,$X$3:$X$4)),_xlfn.VSTACK($Q$3:$Q$9,$X$3:$X$4),0),OR(_xlpm.posmaxnon=1,_xlpm.posmaxnon=2,_xlpm.posmaxnon=8,_xlpm.posmaxnon=9))</f>
        <v>1</v>
      </c>
    </row>
    <row r="22" spans="3:27" ht="15" customHeight="1" x14ac:dyDescent="0.25">
      <c r="C22" s="68"/>
      <c r="D22" s="68"/>
      <c r="E22" s="68"/>
      <c r="F22" s="68"/>
      <c r="G22" s="75" t="s">
        <v>31</v>
      </c>
      <c r="H22" s="76">
        <f>IF(H15=0,"",VLOOKUP(LEFT($B$6,SEARCH("-",$B$6,1)-2),'BD UM_UC'!$A$4:$H$9,6,0)+$H$21*$D$3)</f>
        <v>749.80000000000007</v>
      </c>
      <c r="I22" s="88" t="str">
        <f>IF($H$15=0,"","=&gt;")</f>
        <v>=&gt;</v>
      </c>
      <c r="J22" s="78">
        <f>IF(H15=0,"",H21*$D$4)</f>
        <v>181200</v>
      </c>
      <c r="M22" s="12" t="b">
        <f>_xlfn.LET(_xlpm.posmaxnon,MATCH(MAX(_xlfn.VSTACK($Q3:$Q$9,$X$3:$X$4)),_xlfn.VSTACK($Q$3:$Q$9,$X$3:$X$4),0),OR(_xlpm.posmaxnon=4,_xlpm.posmaxnon=5))</f>
        <v>0</v>
      </c>
    </row>
    <row r="23" spans="3:27" ht="15" customHeight="1" x14ac:dyDescent="0.25">
      <c r="C23" s="68"/>
      <c r="D23" s="68"/>
      <c r="E23" s="68"/>
      <c r="F23" s="68"/>
      <c r="G23" s="65" t="s">
        <v>50</v>
      </c>
      <c r="H23" s="80">
        <f>IF(H15=0,"",IF($D$1="non",VLOOKUP(MAX(_xlfn.VSTACK($Q$3:$Q$4,$X$3:$X$4)),_xlfn.VSTACK($Q$3:$R$4,$X$3:$Y$4),2,0),VLOOKUP(MAX(_xlfn.VSTACK($Q$3:$Q$9,$X$3:$X$4)),_xlfn.VSTACK($Q$3:$R$9,$X$3:$Y$4),2,0)))</f>
        <v>132</v>
      </c>
      <c r="I23" s="88" t="str">
        <f>IF($H$15=0,"","=&gt;")</f>
        <v>=&gt;</v>
      </c>
      <c r="J23" s="89">
        <f>IF(H15=0,"",H23*$D$4)</f>
        <v>13200</v>
      </c>
    </row>
    <row r="24" spans="3:27" ht="15" customHeight="1" x14ac:dyDescent="0.25">
      <c r="C24" s="68"/>
      <c r="D24" s="68"/>
      <c r="E24" s="68"/>
      <c r="F24" s="68"/>
      <c r="G24" s="65" t="s">
        <v>18</v>
      </c>
      <c r="H24" s="84">
        <f>IF(H15=0,"",IF( $D$1="non",H21/VLOOKUP($H$13,_xlfn.VSTACK($Q$3:$R$4,$X$3:$Y$4),2,0),H21/VLOOKUP($H$13,_xlfn.VSTACK($Q$3:$R$9,$X$3:$Y$4),2,0)))</f>
        <v>13.727272727272727</v>
      </c>
      <c r="I24" s="68"/>
      <c r="J24" s="68"/>
    </row>
    <row r="25" spans="3:27" ht="15" customHeight="1" x14ac:dyDescent="0.25">
      <c r="C25" s="68"/>
      <c r="D25" s="68"/>
      <c r="E25" s="68"/>
      <c r="F25" s="68"/>
      <c r="G25" s="75" t="s">
        <v>27</v>
      </c>
      <c r="H25" s="67">
        <f>IF(H15=0,"",D10+(ROUNDUP(H24,0)*IF($D$1="non",$H$6,IF(AND(1&lt;=MATCH(MAX($Q3:$Q$9),$Q$3:$Q$9,0),MATCH(MAX($Q3:$Q$9),$Q$3:$Q$9,0)&lt;=2),$H$6,IF(AND(3&lt;=MATCH(MAX($Q3:$Q$9),$Q$3:$Q$9,0),MATCH(MAX($Q3:$Q$9),$Q$3:$Q$9,0)&lt;=4),$G$6,$F$6)))))</f>
        <v>1124</v>
      </c>
      <c r="I25" s="68"/>
      <c r="J25" s="68"/>
    </row>
    <row r="26" spans="3:27" ht="15" customHeight="1" x14ac:dyDescent="0.25">
      <c r="C26" s="68"/>
      <c r="D26" s="68"/>
      <c r="E26" s="68"/>
      <c r="F26" s="68"/>
      <c r="G26" s="75" t="s">
        <v>16</v>
      </c>
      <c r="H26" s="85">
        <f>IF($H$21="","",($F$6*$G$6*$H$6)*H21/($D$7*$D$8*($D$2-$D$10)))</f>
        <v>0.87382670454545452</v>
      </c>
      <c r="I26" s="68"/>
      <c r="J26" s="86"/>
    </row>
    <row r="27" spans="3:27" ht="6.6" customHeight="1" x14ac:dyDescent="0.25">
      <c r="G27" s="90"/>
      <c r="H27" s="91"/>
    </row>
    <row r="28" spans="3:27" ht="15" customHeight="1" x14ac:dyDescent="0.25">
      <c r="C28" s="68"/>
      <c r="D28" s="68"/>
      <c r="E28" s="68"/>
      <c r="F28" s="68"/>
      <c r="G28" s="69" t="s">
        <v>26</v>
      </c>
      <c r="H28" s="67">
        <f>IFERROR(IF(OR(H15=0,INT(H24)=H24),"",$H$13-ROUNDUP(J15/H30,0)*H30),"")</f>
        <v>1716</v>
      </c>
      <c r="I28" s="77"/>
      <c r="J28" s="87">
        <f>IFERROR(H28-$H$13,"")</f>
        <v>-264</v>
      </c>
    </row>
    <row r="29" spans="3:27" ht="15" customHeight="1" x14ac:dyDescent="0.25">
      <c r="C29" s="68"/>
      <c r="D29" s="68"/>
      <c r="E29" s="68"/>
      <c r="F29" s="68"/>
      <c r="G29" s="75" t="s">
        <v>31</v>
      </c>
      <c r="H29" s="76">
        <f>IFERROR(IF(OR(H15=0,INT(H24)=H24),"",VLOOKUP(LEFT($B$6,SEARCH("-",$B$6,1)-2),'BD UM_UC'!$A$4:$H$9,6,0)+$H$28*$D$3),"")</f>
        <v>711.40000000000009</v>
      </c>
      <c r="I29" s="88" t="str">
        <f>IFERROR(IF(OR(H15=0,INT(H24)=H24),"","=&gt;"),"")</f>
        <v>=&gt;</v>
      </c>
      <c r="J29" s="78">
        <f>IFERROR(IF(H15=0,"",H28*$D$4),"")</f>
        <v>171600</v>
      </c>
    </row>
    <row r="30" spans="3:27" ht="15" customHeight="1" x14ac:dyDescent="0.25">
      <c r="C30" s="68"/>
      <c r="D30" s="68"/>
      <c r="E30" s="68"/>
      <c r="F30" s="68"/>
      <c r="G30" s="65" t="s">
        <v>50</v>
      </c>
      <c r="H30" s="80">
        <f>IFERROR(IF(OR(H15=0,INT(H24)=H24),"",IF($D$1="non",VLOOKUP(MAX(_xlfn.VSTACK($Q$3:$Q$4,$X$3:$X$4)),_xlfn.VSTACK($Q$3:$R$4,$X$3:$Y$4),2,0),VLOOKUP(MAX(_xlfn.VSTACK($Q$3:$Q$9,$X$3:$X$4)),_xlfn.VSTACK($Q$3:$R$9,$X$3:$Y$4),2,0))),"")</f>
        <v>132</v>
      </c>
      <c r="I30" s="88" t="str">
        <f>IFERROR(IF(OR(H15=0,INT(H24)=H24),"","=&gt;"),"")</f>
        <v>=&gt;</v>
      </c>
      <c r="J30" s="89">
        <f>IF(H15=0,"",H30*$D$4)</f>
        <v>13200</v>
      </c>
    </row>
    <row r="31" spans="3:27" ht="15" customHeight="1" x14ac:dyDescent="0.25">
      <c r="C31" s="68"/>
      <c r="D31" s="68"/>
      <c r="E31" s="68"/>
      <c r="F31" s="68"/>
      <c r="G31" s="65" t="s">
        <v>18</v>
      </c>
      <c r="H31" s="84">
        <f>IFERROR(IF(OR(H15=0,INT(H24)=H24),"",IF( $D$1="non",H28/VLOOKUP($H$13,_xlfn.VSTACK($Q$3:$R$4,$X$3:$Y$4),2,0),H28/VLOOKUP($H$13,_xlfn.VSTACK($Q$3:$R$9,$X$3:$Y$4),2,0))),"")</f>
        <v>13</v>
      </c>
      <c r="I31" s="68"/>
      <c r="J31" s="68"/>
    </row>
    <row r="32" spans="3:27" ht="15" customHeight="1" x14ac:dyDescent="0.25">
      <c r="C32" s="68"/>
      <c r="D32" s="68"/>
      <c r="E32" s="68"/>
      <c r="F32" s="68"/>
      <c r="G32" s="75" t="s">
        <v>27</v>
      </c>
      <c r="H32" s="67">
        <f>IFERROR(IF(OR(H15=0,INT(H24)=H24),"",D10+(H31*IF($D$1="non",$H$6,IF(AND(1&lt;=MATCH(MAX($Q3:$Q$9),$Q$3:$Q$9,0),MATCH(MAX($Q3:$Q$9),$Q$3:$Q$9,0)&lt;=2),$H$6,IF(AND(3&lt;=MATCH(MAX($Q3:$Q$9),$Q$3:$Q$9,0),MATCH(MAX($Q3:$Q$9),$Q$3:$Q$9,0)&lt;=4),$G$6,$F$6))))),"")</f>
        <v>1054</v>
      </c>
      <c r="I32" s="68"/>
      <c r="J32" s="68"/>
    </row>
    <row r="33" spans="3:10" ht="15" customHeight="1" x14ac:dyDescent="0.25">
      <c r="C33" s="68"/>
      <c r="D33" s="68"/>
      <c r="E33" s="68"/>
      <c r="F33" s="68"/>
      <c r="G33" s="75" t="s">
        <v>16</v>
      </c>
      <c r="H33" s="85">
        <f>IF($H$28="","",($F$6*$G$6*$H$6)*H28/($D$7*$D$8*($D$2-$D$10)))</f>
        <v>0.82753125000000005</v>
      </c>
      <c r="I33" s="68"/>
      <c r="J33" s="86"/>
    </row>
  </sheetData>
  <scenarios current="1" show="1">
    <scenario name="rangement à plat; larg sens LP" count="2" user="FRBATGAB" comment="Créé par FRBATGAB le 10/2/2024_x000a_Modifié par: FRBATGAB le 02/10/2024">
      <inputCells r="U4" val="9"/>
      <inputCells r="V4" val="0"/>
    </scenario>
    <scenario name="rangement à plat; Long sens LP" count="2" user="FRBATGAB" comment="Créé par FRBATGAB le 10/2/2024_x000a_Modifié par: FRBATGAB le 02/10/2024">
      <inputCells r="U3" val="3"/>
      <inputCells r="V3" val="13"/>
    </scenario>
  </scenarios>
  <mergeCells count="26">
    <mergeCell ref="U6:AA8"/>
    <mergeCell ref="F3:H3"/>
    <mergeCell ref="F4:H4"/>
    <mergeCell ref="P1:P2"/>
    <mergeCell ref="Q1:Q2"/>
    <mergeCell ref="S1:S2"/>
    <mergeCell ref="AA1:AA2"/>
    <mergeCell ref="Z1:Z2"/>
    <mergeCell ref="U1:U2"/>
    <mergeCell ref="V1:V2"/>
    <mergeCell ref="X1:X2"/>
    <mergeCell ref="Y1:Y2"/>
    <mergeCell ref="W1:W2"/>
    <mergeCell ref="T1:T2"/>
    <mergeCell ref="B7:B10"/>
    <mergeCell ref="D7:E7"/>
    <mergeCell ref="D8:E8"/>
    <mergeCell ref="D9:E9"/>
    <mergeCell ref="R1:R2"/>
    <mergeCell ref="K1:K2"/>
    <mergeCell ref="L1:L2"/>
    <mergeCell ref="M1:M2"/>
    <mergeCell ref="N1:N2"/>
    <mergeCell ref="O1:O2"/>
    <mergeCell ref="D10:E10"/>
    <mergeCell ref="B6:E6"/>
  </mergeCells>
  <conditionalFormatting sqref="C21:J26">
    <cfRule type="expression" dxfId="17" priority="3">
      <formula>$H$15=0</formula>
    </cfRule>
  </conditionalFormatting>
  <conditionalFormatting sqref="C28:J33">
    <cfRule type="expression" dxfId="16" priority="2">
      <formula>IFERROR(OR($H$15=0,INT($H$24)=$H$24),1)</formula>
    </cfRule>
  </conditionalFormatting>
  <conditionalFormatting sqref="F7 G9">
    <cfRule type="expression" dxfId="15" priority="87">
      <formula>IF($D$1="oui",MAX($Q$3:$Q$9)=$Q$6)</formula>
    </cfRule>
  </conditionalFormatting>
  <conditionalFormatting sqref="F7">
    <cfRule type="expression" dxfId="14" priority="21">
      <formula>IF($D$1="non",MAX($Q$3:$Q$4)=Q3,MAX($Q$3:$Q$9)=Q3)</formula>
    </cfRule>
  </conditionalFormatting>
  <conditionalFormatting sqref="G7 F9">
    <cfRule type="expression" dxfId="13" priority="89">
      <formula>IF($D$1="oui",MAX($Q$3:$Q$9)=$Q$8)</formula>
    </cfRule>
  </conditionalFormatting>
  <conditionalFormatting sqref="G7">
    <cfRule type="expression" dxfId="12" priority="32">
      <formula>IF($D$1="non",MAX($Q$3:$Q$4)=Q4,MAX($Q$3:$Q$9)=Q4)</formula>
    </cfRule>
  </conditionalFormatting>
  <conditionalFormatting sqref="H7 F9">
    <cfRule type="expression" dxfId="11" priority="91">
      <formula>IF($D$1="oui",MAX($Q$3:$Q$9)=$Q$9)</formula>
    </cfRule>
  </conditionalFormatting>
  <conditionalFormatting sqref="H7 G9">
    <cfRule type="expression" dxfId="10" priority="88">
      <formula>IF($D$1="oui",MAX($Q$3:$Q$9)=$Q$7)</formula>
    </cfRule>
  </conditionalFormatting>
  <conditionalFormatting sqref="H13 H18">
    <cfRule type="expression" dxfId="9" priority="95">
      <formula>$H$15&gt;0</formula>
    </cfRule>
  </conditionalFormatting>
  <conditionalFormatting sqref="H13">
    <cfRule type="expression" dxfId="8" priority="93">
      <formula>$H$15&lt;=0</formula>
    </cfRule>
  </conditionalFormatting>
  <conditionalFormatting sqref="H15">
    <cfRule type="expression" dxfId="7" priority="8">
      <formula>$H$15&gt;0</formula>
    </cfRule>
  </conditionalFormatting>
  <conditionalFormatting sqref="H21">
    <cfRule type="expression" dxfId="6" priority="96">
      <formula>OR(H15&gt;0,INT(H24)=H24)</formula>
    </cfRule>
  </conditionalFormatting>
  <conditionalFormatting sqref="H28">
    <cfRule type="expression" dxfId="5" priority="9">
      <formula>OR(H26&gt;0,INT(H31)=H31)</formula>
    </cfRule>
  </conditionalFormatting>
  <conditionalFormatting sqref="K3:T4">
    <cfRule type="expression" dxfId="4" priority="102">
      <formula>AND($D$1="non",MAX(_xlfn.VSTACK($Q$3:$Q$4,$X$3:$X$4))=$Q3)</formula>
    </cfRule>
  </conditionalFormatting>
  <conditionalFormatting sqref="K3:T9">
    <cfRule type="expression" dxfId="3" priority="98">
      <formula>AND($D$1="oui",MAX(_xlfn.VSTACK($Q$3:$Q$9,$X$3:$X$4))=$Q3)</formula>
    </cfRule>
  </conditionalFormatting>
  <conditionalFormatting sqref="K5:T9">
    <cfRule type="expression" dxfId="2" priority="6">
      <formula>$D$1="non"</formula>
    </cfRule>
  </conditionalFormatting>
  <conditionalFormatting sqref="U3:AA4">
    <cfRule type="expression" dxfId="1" priority="99">
      <formula>AND($D$1="oui",MAX(_xlfn.VSTACK($Q$3:$Q$9,$X$3:$X$4))=$X3)</formula>
    </cfRule>
    <cfRule type="expression" dxfId="0" priority="104">
      <formula>AND($D$1="non",MAX(_xlfn.VSTACK($Q$3:$Q$4,$X$3:$X$4))=$X3)</formula>
    </cfRule>
  </conditionalFormatting>
  <dataValidations count="3">
    <dataValidation type="list" allowBlank="1" showInputMessage="1" showErrorMessage="1" sqref="F4:H4" xr:uid="{00000000-0002-0000-0000-000000000000}">
      <formula1>ListeCartons</formula1>
    </dataValidation>
    <dataValidation type="list" allowBlank="1" showInputMessage="1" showErrorMessage="1" sqref="B6" xr:uid="{00000000-0002-0000-0000-000001000000}">
      <formula1>ListePalettes</formula1>
    </dataValidation>
    <dataValidation type="list" allowBlank="1" showInputMessage="1" showErrorMessage="1" sqref="D1 D11" xr:uid="{00000000-0002-0000-0000-000002000000}">
      <formula1>$AC$1:$AC$2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SOLVEUR_sens_LP">
                <anchor moveWithCells="1" sizeWithCells="1">
                  <from>
                    <xdr:col>23</xdr:col>
                    <xdr:colOff>0</xdr:colOff>
                    <xdr:row>10</xdr:row>
                    <xdr:rowOff>129540</xdr:rowOff>
                  </from>
                  <to>
                    <xdr:col>24</xdr:col>
                    <xdr:colOff>259080</xdr:colOff>
                    <xdr:row>14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odule2.SOLVEUR_sens_lP">
                <anchor moveWithCells="1" sizeWithCells="1">
                  <from>
                    <xdr:col>23</xdr:col>
                    <xdr:colOff>0</xdr:colOff>
                    <xdr:row>14</xdr:row>
                    <xdr:rowOff>152400</xdr:rowOff>
                  </from>
                  <to>
                    <xdr:col>24</xdr:col>
                    <xdr:colOff>259080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CAC3-D131-4005-A5E7-9DE203E9326E}">
  <sheetPr codeName="Blad1"/>
  <dimension ref="A1:H9"/>
  <sheetViews>
    <sheetView workbookViewId="0">
      <selection activeCell="E14" sqref="E14:K17"/>
    </sheetView>
  </sheetViews>
  <sheetFormatPr defaultRowHeight="13.2" x14ac:dyDescent="0.25"/>
  <cols>
    <col min="1" max="1" width="34" bestFit="1" customWidth="1"/>
    <col min="2" max="2" width="12.77734375" bestFit="1" customWidth="1"/>
    <col min="3" max="3" width="5" bestFit="1" customWidth="1"/>
    <col min="5" max="7" width="12" bestFit="1" customWidth="1"/>
  </cols>
  <sheetData>
    <row r="1" spans="1:8" x14ac:dyDescent="0.25">
      <c r="E1" t="s">
        <v>4</v>
      </c>
      <c r="F1" t="s">
        <v>5</v>
      </c>
      <c r="G1" t="s">
        <v>6</v>
      </c>
    </row>
    <row r="2" spans="1:8" x14ac:dyDescent="0.25">
      <c r="A2" t="s">
        <v>56</v>
      </c>
      <c r="E2">
        <v>97</v>
      </c>
      <c r="F2">
        <v>72</v>
      </c>
      <c r="G2">
        <v>70</v>
      </c>
    </row>
    <row r="3" spans="1:8" x14ac:dyDescent="0.25">
      <c r="A3" t="s">
        <v>0</v>
      </c>
      <c r="B3" t="s">
        <v>7</v>
      </c>
      <c r="C3">
        <v>1200</v>
      </c>
      <c r="E3">
        <f>+TRUNC($C3/E$2)</f>
        <v>12</v>
      </c>
      <c r="F3">
        <f t="shared" ref="F3:G3" si="0">+TRUNC($C3/F$2)</f>
        <v>16</v>
      </c>
      <c r="G3">
        <f t="shared" si="0"/>
        <v>17</v>
      </c>
      <c r="H3" s="126">
        <f>+E7*E2+F7*F2</f>
        <v>1186</v>
      </c>
    </row>
    <row r="4" spans="1:8" x14ac:dyDescent="0.25">
      <c r="B4" t="s">
        <v>8</v>
      </c>
      <c r="C4">
        <v>800</v>
      </c>
      <c r="E4">
        <f>+TRUNC($C4/F2)</f>
        <v>11</v>
      </c>
      <c r="F4">
        <f>+TRUNC($C4/E2)</f>
        <v>8</v>
      </c>
      <c r="G4">
        <v>11.428571428571429</v>
      </c>
    </row>
    <row r="5" spans="1:8" x14ac:dyDescent="0.25">
      <c r="B5" t="s">
        <v>74</v>
      </c>
      <c r="C5">
        <v>1056</v>
      </c>
      <c r="E5">
        <f>TRUNC($C$5/$G$2)</f>
        <v>15</v>
      </c>
      <c r="F5">
        <f>TRUNC($C$5/$G$2)</f>
        <v>15</v>
      </c>
      <c r="G5">
        <v>15.085714285714285</v>
      </c>
    </row>
    <row r="6" spans="1:8" x14ac:dyDescent="0.25">
      <c r="B6" t="s">
        <v>73</v>
      </c>
      <c r="C6">
        <v>144</v>
      </c>
    </row>
    <row r="7" spans="1:8" x14ac:dyDescent="0.25">
      <c r="E7" s="92">
        <v>10</v>
      </c>
      <c r="F7" s="92">
        <v>3</v>
      </c>
    </row>
    <row r="8" spans="1:8" ht="17.399999999999999" x14ac:dyDescent="0.3">
      <c r="E8">
        <f>+E7*E4</f>
        <v>110</v>
      </c>
      <c r="F8">
        <f>+F7*F4</f>
        <v>24</v>
      </c>
      <c r="G8" s="125">
        <f>SUM(E8:F8)</f>
        <v>134</v>
      </c>
    </row>
    <row r="9" spans="1:8" x14ac:dyDescent="0.25">
      <c r="G9">
        <f>+G8*E5</f>
        <v>2010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3280-9A0C-4862-BB12-274F82F29A63}">
  <sheetPr codeName="Blad2"/>
  <dimension ref="B2:I7"/>
  <sheetViews>
    <sheetView tabSelected="1" workbookViewId="0">
      <selection activeCell="H10" sqref="H10"/>
    </sheetView>
  </sheetViews>
  <sheetFormatPr defaultRowHeight="13.2" x14ac:dyDescent="0.25"/>
  <sheetData>
    <row r="2" spans="2:9" x14ac:dyDescent="0.25"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</row>
    <row r="3" spans="2:9" x14ac:dyDescent="0.25">
      <c r="B3" s="127">
        <v>97</v>
      </c>
      <c r="C3" s="127">
        <v>72</v>
      </c>
      <c r="D3">
        <v>70</v>
      </c>
      <c r="E3">
        <v>134</v>
      </c>
      <c r="F3">
        <f>TRUNC(Blad1!$C$5/D3)</f>
        <v>15</v>
      </c>
      <c r="G3" s="124">
        <f>+E3*F3</f>
        <v>2010</v>
      </c>
      <c r="H3" s="128">
        <v>4</v>
      </c>
    </row>
    <row r="4" spans="2:9" x14ac:dyDescent="0.25">
      <c r="B4" s="127">
        <v>97</v>
      </c>
      <c r="C4" s="127">
        <v>70</v>
      </c>
      <c r="D4">
        <v>72</v>
      </c>
      <c r="E4">
        <v>137</v>
      </c>
      <c r="F4">
        <f>TRUNC(Blad1!$C$5/D4)</f>
        <v>14</v>
      </c>
      <c r="G4">
        <f>+E4*F4</f>
        <v>1918</v>
      </c>
      <c r="H4" s="128">
        <v>0</v>
      </c>
    </row>
    <row r="5" spans="2:9" x14ac:dyDescent="0.25">
      <c r="B5" s="127">
        <v>72</v>
      </c>
      <c r="C5" s="127">
        <v>70</v>
      </c>
      <c r="D5">
        <v>97</v>
      </c>
      <c r="E5">
        <v>187</v>
      </c>
      <c r="F5">
        <f>TRUNC(Blad1!$C$5/D5)</f>
        <v>10</v>
      </c>
      <c r="G5">
        <f>+E5*F5</f>
        <v>1870</v>
      </c>
      <c r="H5" s="128">
        <v>8</v>
      </c>
    </row>
    <row r="6" spans="2:9" ht="17.399999999999999" x14ac:dyDescent="0.3">
      <c r="H6" s="125">
        <f>SUMPRODUCT(E3:E5,H3:H5)</f>
        <v>2032</v>
      </c>
    </row>
    <row r="7" spans="2:9" x14ac:dyDescent="0.25">
      <c r="H7">
        <f>SUMPRODUCT(H3:H5,D3:D5)</f>
        <v>1056</v>
      </c>
      <c r="I7">
        <f>+Blad1!C5</f>
        <v>1056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23"/>
  <sheetViews>
    <sheetView showGridLines="0" workbookViewId="0">
      <pane ySplit="3" topLeftCell="A4" activePane="bottomLeft" state="frozen"/>
      <selection pane="bottomLeft" activeCell="L24" sqref="L24"/>
    </sheetView>
  </sheetViews>
  <sheetFormatPr defaultColWidth="11.5546875" defaultRowHeight="13.2" x14ac:dyDescent="0.25"/>
  <cols>
    <col min="1" max="1" width="11.88671875" bestFit="1" customWidth="1"/>
    <col min="2" max="2" width="34.109375" customWidth="1"/>
    <col min="3" max="3" width="10.44140625" customWidth="1"/>
    <col min="4" max="4" width="8.21875" customWidth="1"/>
    <col min="5" max="5" width="8.88671875" customWidth="1"/>
    <col min="6" max="6" width="7.6640625" customWidth="1"/>
    <col min="7" max="7" width="8.44140625" customWidth="1"/>
    <col min="8" max="8" width="8.109375" customWidth="1"/>
    <col min="9" max="9" width="7.44140625" customWidth="1"/>
    <col min="10" max="10" width="11.88671875" bestFit="1" customWidth="1"/>
    <col min="11" max="11" width="22.6640625" bestFit="1" customWidth="1"/>
    <col min="12" max="12" width="10.77734375" customWidth="1"/>
    <col min="13" max="13" width="8.109375" customWidth="1"/>
    <col min="14" max="14" width="8.88671875" customWidth="1"/>
    <col min="15" max="15" width="6.44140625" customWidth="1"/>
    <col min="16" max="16" width="8.109375" customWidth="1"/>
    <col min="17" max="18" width="7.44140625" customWidth="1"/>
  </cols>
  <sheetData>
    <row r="1" spans="1:18" x14ac:dyDescent="0.25">
      <c r="C1" s="2" t="s">
        <v>13</v>
      </c>
      <c r="L1" s="2" t="s">
        <v>14</v>
      </c>
    </row>
    <row r="2" spans="1:18" ht="7.2" customHeight="1" x14ac:dyDescent="0.25">
      <c r="C2" s="2"/>
      <c r="L2" s="2"/>
    </row>
    <row r="3" spans="1:18" ht="26.4" x14ac:dyDescent="0.25">
      <c r="A3" s="3" t="s">
        <v>24</v>
      </c>
      <c r="B3" s="3" t="s">
        <v>25</v>
      </c>
      <c r="C3" s="5" t="s">
        <v>36</v>
      </c>
      <c r="D3" s="4" t="s">
        <v>9</v>
      </c>
      <c r="E3" s="4" t="s">
        <v>10</v>
      </c>
      <c r="F3" s="5" t="s">
        <v>35</v>
      </c>
      <c r="G3" s="5" t="s">
        <v>57</v>
      </c>
      <c r="H3" s="5" t="s">
        <v>12</v>
      </c>
      <c r="J3" s="3" t="s">
        <v>24</v>
      </c>
      <c r="K3" s="3" t="s">
        <v>25</v>
      </c>
      <c r="L3" s="5" t="s">
        <v>36</v>
      </c>
      <c r="M3" s="4" t="s">
        <v>9</v>
      </c>
      <c r="N3" s="4" t="s">
        <v>10</v>
      </c>
      <c r="O3" s="4" t="s">
        <v>11</v>
      </c>
      <c r="P3" s="5" t="s">
        <v>59</v>
      </c>
      <c r="Q3" s="5" t="s">
        <v>12</v>
      </c>
      <c r="R3" s="5" t="s">
        <v>23</v>
      </c>
    </row>
    <row r="4" spans="1:18" x14ac:dyDescent="0.25">
      <c r="A4" s="9" t="s">
        <v>55</v>
      </c>
      <c r="B4" s="1" t="str">
        <f>CONCATENATE(A4," -Europalette ",C4&amp;"x",D4&amp;"x",E4)</f>
        <v>EPAL1 B&amp;H -Europalette 1200x800x144</v>
      </c>
      <c r="C4" s="6">
        <v>1200</v>
      </c>
      <c r="D4" s="6">
        <v>800</v>
      </c>
      <c r="E4" s="7">
        <v>144</v>
      </c>
      <c r="F4" s="7">
        <v>25</v>
      </c>
      <c r="G4" s="6">
        <v>750</v>
      </c>
      <c r="H4" s="6">
        <v>5500</v>
      </c>
      <c r="J4" s="9" t="s">
        <v>15</v>
      </c>
      <c r="K4" s="1" t="str">
        <f>CONCATENATE(J4&amp;" -"&amp;L4&amp;"x",M4&amp;"x",N4)</f>
        <v>C40 -300x200x90</v>
      </c>
      <c r="L4" s="7">
        <v>300</v>
      </c>
      <c r="M4" s="7">
        <v>200</v>
      </c>
      <c r="N4" s="7">
        <v>90</v>
      </c>
      <c r="O4" s="11">
        <v>0.15</v>
      </c>
      <c r="P4" s="7">
        <v>15</v>
      </c>
      <c r="Q4" s="7"/>
      <c r="R4" s="8">
        <f>L4*M4*N4/(100*100*100)</f>
        <v>5.4</v>
      </c>
    </row>
    <row r="5" spans="1:18" x14ac:dyDescent="0.25">
      <c r="A5" s="9" t="s">
        <v>51</v>
      </c>
      <c r="B5" s="1" t="str">
        <f>CONCATENATE(A5," -Europalette ",C5&amp;"x",D5&amp;"x",E5)</f>
        <v>EPAL1 F -Europalette 1200x800x144</v>
      </c>
      <c r="C5" s="6">
        <v>1200</v>
      </c>
      <c r="D5" s="6">
        <v>800</v>
      </c>
      <c r="E5" s="7">
        <v>144</v>
      </c>
      <c r="F5" s="7">
        <v>25</v>
      </c>
      <c r="G5" s="6">
        <v>1000</v>
      </c>
      <c r="H5" s="6">
        <v>5500</v>
      </c>
      <c r="J5" s="9" t="s">
        <v>22</v>
      </c>
      <c r="K5" s="1" t="str">
        <f t="shared" ref="K5:K16" si="0">CONCATENATE(J5&amp;" -"&amp;L5&amp;"x",M5&amp;"x",N5)</f>
        <v>A12 -400x300x300</v>
      </c>
      <c r="L5" s="7">
        <v>400</v>
      </c>
      <c r="M5" s="7">
        <v>300</v>
      </c>
      <c r="N5" s="7">
        <v>300</v>
      </c>
      <c r="O5" s="11"/>
      <c r="P5" s="7"/>
      <c r="Q5" s="7"/>
      <c r="R5" s="8">
        <f t="shared" ref="R5:R10" si="1">L5*M5*N5/(100*100*100)</f>
        <v>36</v>
      </c>
    </row>
    <row r="6" spans="1:18" x14ac:dyDescent="0.25">
      <c r="A6" s="9" t="s">
        <v>52</v>
      </c>
      <c r="B6" s="1" t="str">
        <f t="shared" ref="B6:B8" si="2">CONCATENATE(A6," -Europalette ",C6&amp;"x",D6&amp;"x",E6)</f>
        <v>EPAL2 -Europalette 1200x1000x144</v>
      </c>
      <c r="C6" s="6">
        <v>1200</v>
      </c>
      <c r="D6" s="6">
        <v>1000</v>
      </c>
      <c r="E6" s="6">
        <v>144</v>
      </c>
      <c r="F6" s="6">
        <v>35</v>
      </c>
      <c r="G6" s="6">
        <v>1000</v>
      </c>
      <c r="H6" s="6">
        <v>4250</v>
      </c>
      <c r="J6" s="9" t="s">
        <v>21</v>
      </c>
      <c r="K6" s="1" t="str">
        <f t="shared" si="0"/>
        <v>A16 -300x200x125</v>
      </c>
      <c r="L6" s="7">
        <v>300</v>
      </c>
      <c r="M6" s="7">
        <v>200</v>
      </c>
      <c r="N6" s="7">
        <v>125</v>
      </c>
      <c r="O6" s="11"/>
      <c r="P6" s="7"/>
      <c r="Q6" s="7"/>
      <c r="R6" s="8">
        <f t="shared" si="1"/>
        <v>7.5</v>
      </c>
    </row>
    <row r="7" spans="1:18" x14ac:dyDescent="0.25">
      <c r="A7" s="9" t="s">
        <v>53</v>
      </c>
      <c r="B7" s="1" t="str">
        <f t="shared" si="2"/>
        <v>EPAL3 -Europalette 1200x1000x144</v>
      </c>
      <c r="C7" s="6">
        <v>1200</v>
      </c>
      <c r="D7" s="6">
        <v>1000</v>
      </c>
      <c r="E7" s="6">
        <v>144</v>
      </c>
      <c r="F7" s="6">
        <v>30</v>
      </c>
      <c r="G7" s="6">
        <v>1000</v>
      </c>
      <c r="H7" s="6">
        <v>4250</v>
      </c>
      <c r="J7" s="9" t="s">
        <v>45</v>
      </c>
      <c r="K7" s="1" t="str">
        <f t="shared" si="0"/>
        <v>FST K4314 -346x266x95</v>
      </c>
      <c r="L7" s="7">
        <v>346</v>
      </c>
      <c r="M7" s="7">
        <v>266</v>
      </c>
      <c r="N7" s="7">
        <v>95</v>
      </c>
      <c r="O7" s="11"/>
      <c r="P7" s="7"/>
      <c r="Q7" s="7"/>
      <c r="R7" s="8">
        <f t="shared" si="1"/>
        <v>8.7434200000000004</v>
      </c>
    </row>
    <row r="8" spans="1:18" x14ac:dyDescent="0.25">
      <c r="A8" s="9" t="s">
        <v>54</v>
      </c>
      <c r="B8" s="1" t="str">
        <f t="shared" si="2"/>
        <v>EPAL6 -Europalette 800x600x144</v>
      </c>
      <c r="C8" s="6">
        <v>800</v>
      </c>
      <c r="D8" s="6">
        <v>600</v>
      </c>
      <c r="E8" s="7">
        <v>144</v>
      </c>
      <c r="F8" s="7">
        <v>9.5</v>
      </c>
      <c r="G8" s="6">
        <v>500</v>
      </c>
      <c r="H8" s="6">
        <v>2000</v>
      </c>
      <c r="J8" s="9" t="s">
        <v>46</v>
      </c>
      <c r="K8" s="1" t="str">
        <f t="shared" si="0"/>
        <v>FST K4318/2 -329x204x94</v>
      </c>
      <c r="L8" s="7">
        <v>329</v>
      </c>
      <c r="M8" s="7">
        <v>204</v>
      </c>
      <c r="N8" s="7">
        <v>94</v>
      </c>
      <c r="O8" s="11"/>
      <c r="P8" s="7"/>
      <c r="Q8" s="7"/>
      <c r="R8" s="8">
        <f t="shared" si="1"/>
        <v>6.3089040000000001</v>
      </c>
    </row>
    <row r="9" spans="1:18" x14ac:dyDescent="0.25">
      <c r="A9" s="10"/>
      <c r="C9" s="6"/>
      <c r="D9" s="6"/>
      <c r="E9" s="7"/>
      <c r="F9" s="7"/>
      <c r="G9" s="6"/>
      <c r="H9" s="6"/>
      <c r="J9" s="9" t="s">
        <v>47</v>
      </c>
      <c r="K9" s="1" t="str">
        <f t="shared" si="0"/>
        <v>FST K4318 -437x337x95</v>
      </c>
      <c r="L9" s="7">
        <v>437</v>
      </c>
      <c r="M9" s="7">
        <v>337</v>
      </c>
      <c r="N9" s="7">
        <v>95</v>
      </c>
      <c r="O9" s="11"/>
      <c r="P9" s="7"/>
      <c r="Q9" s="7"/>
      <c r="R9" s="8">
        <f t="shared" si="1"/>
        <v>13.990555000000001</v>
      </c>
    </row>
    <row r="10" spans="1:18" x14ac:dyDescent="0.25">
      <c r="J10" s="9" t="s">
        <v>48</v>
      </c>
      <c r="K10" s="1" t="str">
        <f t="shared" si="0"/>
        <v>FST K4328 -336x251x234</v>
      </c>
      <c r="L10" s="7">
        <v>336</v>
      </c>
      <c r="M10" s="7">
        <v>251</v>
      </c>
      <c r="N10" s="7">
        <v>234</v>
      </c>
      <c r="O10" s="11"/>
      <c r="P10" s="7"/>
      <c r="Q10" s="7"/>
      <c r="R10" s="8">
        <f t="shared" si="1"/>
        <v>19.734624</v>
      </c>
    </row>
    <row r="11" spans="1:18" x14ac:dyDescent="0.25">
      <c r="J11" s="9" t="s">
        <v>75</v>
      </c>
      <c r="K11" s="1" t="str">
        <f>CONCATENATE(J11&amp;" -"&amp;L11&amp;"x",M11&amp;"x",N11)</f>
        <v>TSS1 -260x230x270</v>
      </c>
      <c r="L11" s="7">
        <v>260</v>
      </c>
      <c r="M11" s="7">
        <v>230</v>
      </c>
      <c r="N11" s="7">
        <v>270</v>
      </c>
      <c r="O11" s="11"/>
      <c r="P11" s="7"/>
      <c r="Q11" s="7"/>
      <c r="R11" s="8">
        <f>L11*M11*N11/(100*100*100)</f>
        <v>16.146000000000001</v>
      </c>
    </row>
    <row r="12" spans="1:18" x14ac:dyDescent="0.25">
      <c r="J12" s="9" t="s">
        <v>76</v>
      </c>
      <c r="K12" s="1" t="str">
        <f>CONCATENATE(J12&amp;" -"&amp;L12&amp;"x",M12&amp;"x",N12)</f>
        <v>TSS2 -370x270x120</v>
      </c>
      <c r="L12" s="7">
        <v>370</v>
      </c>
      <c r="M12" s="7">
        <v>270</v>
      </c>
      <c r="N12" s="7">
        <v>120</v>
      </c>
      <c r="O12" s="11"/>
      <c r="P12" s="7"/>
      <c r="Q12" s="7"/>
      <c r="R12" s="8">
        <f>L12*M12*N12/(100*100*100)</f>
        <v>11.988</v>
      </c>
    </row>
    <row r="13" spans="1:18" x14ac:dyDescent="0.25">
      <c r="J13" s="9" t="s">
        <v>39</v>
      </c>
      <c r="K13" s="1" t="str">
        <f>CONCATENATE(J13&amp;" -"&amp;L13&amp;"x",M13&amp;"x",N13)</f>
        <v>C9 -600x400x300</v>
      </c>
      <c r="L13" s="7">
        <v>600</v>
      </c>
      <c r="M13" s="7">
        <v>400</v>
      </c>
      <c r="N13" s="7">
        <v>300</v>
      </c>
      <c r="O13" s="11"/>
      <c r="P13" s="7"/>
      <c r="Q13" s="7"/>
      <c r="R13" s="8">
        <f>L13*M13*N13/(100*100*100)</f>
        <v>72</v>
      </c>
    </row>
    <row r="14" spans="1:18" x14ac:dyDescent="0.25">
      <c r="J14" s="9" t="s">
        <v>40</v>
      </c>
      <c r="K14" s="1" t="str">
        <f>CONCATENATE(J14&amp;" -"&amp;L14&amp;"x",M14&amp;"x",N14)</f>
        <v>C10 -600x400x250</v>
      </c>
      <c r="L14" s="7">
        <v>600</v>
      </c>
      <c r="M14" s="7">
        <v>400</v>
      </c>
      <c r="N14" s="7">
        <v>250</v>
      </c>
      <c r="O14" s="11"/>
      <c r="P14" s="7"/>
      <c r="Q14" s="7"/>
      <c r="R14" s="8">
        <f>L14*M14*N14/(100*100*100)</f>
        <v>60</v>
      </c>
    </row>
    <row r="15" spans="1:18" x14ac:dyDescent="0.25">
      <c r="J15" s="9" t="s">
        <v>28</v>
      </c>
      <c r="K15" s="1" t="str">
        <f t="shared" si="0"/>
        <v>C11 -600x400x200</v>
      </c>
      <c r="L15" s="7">
        <v>600</v>
      </c>
      <c r="M15" s="7">
        <v>400</v>
      </c>
      <c r="N15" s="7">
        <v>200</v>
      </c>
      <c r="O15" s="11">
        <v>0.86199999999999999</v>
      </c>
      <c r="P15" s="7"/>
      <c r="Q15" s="7"/>
      <c r="R15" s="8">
        <f t="shared" ref="R15:R19" si="3">L15*M15*N15/(100*100*100)</f>
        <v>48</v>
      </c>
    </row>
    <row r="16" spans="1:18" x14ac:dyDescent="0.25">
      <c r="J16" s="9" t="s">
        <v>29</v>
      </c>
      <c r="K16" s="1" t="str">
        <f t="shared" si="0"/>
        <v>C13 -400x300x200</v>
      </c>
      <c r="L16" s="7">
        <v>400</v>
      </c>
      <c r="M16" s="7">
        <v>300</v>
      </c>
      <c r="N16" s="7">
        <v>200</v>
      </c>
      <c r="O16" s="11">
        <v>0.51</v>
      </c>
      <c r="P16" s="7"/>
      <c r="Q16" s="7"/>
      <c r="R16" s="8">
        <f t="shared" si="3"/>
        <v>24</v>
      </c>
    </row>
    <row r="17" spans="10:18" x14ac:dyDescent="0.25">
      <c r="J17" s="9" t="s">
        <v>34</v>
      </c>
      <c r="K17" s="1" t="str">
        <f t="shared" ref="K17:K22" si="4">CONCATENATE(J17&amp;" -"&amp;L17&amp;"x",M17&amp;"x",N17)</f>
        <v>C14 -400x300x150</v>
      </c>
      <c r="L17" s="7">
        <v>400</v>
      </c>
      <c r="M17" s="7">
        <v>300</v>
      </c>
      <c r="N17" s="7">
        <v>150</v>
      </c>
      <c r="O17" s="11">
        <v>0.45400000000000001</v>
      </c>
      <c r="P17" s="7"/>
      <c r="Q17" s="7"/>
      <c r="R17" s="8">
        <f t="shared" si="3"/>
        <v>18</v>
      </c>
    </row>
    <row r="18" spans="10:18" x14ac:dyDescent="0.25">
      <c r="J18" s="9" t="s">
        <v>58</v>
      </c>
      <c r="K18" s="1" t="str">
        <f>CONCATENATE(J18&amp;" -"&amp;L18&amp;"x",M18&amp;"x",N18)</f>
        <v>C15 -300x200x200</v>
      </c>
      <c r="L18" s="7">
        <v>300</v>
      </c>
      <c r="M18" s="7">
        <v>200</v>
      </c>
      <c r="N18" s="7">
        <v>200</v>
      </c>
      <c r="O18" s="11">
        <v>0.28000000000000003</v>
      </c>
      <c r="P18" s="7"/>
      <c r="Q18" s="7"/>
      <c r="R18" s="8">
        <f>L18*M18*N18/(100*100*100)</f>
        <v>12</v>
      </c>
    </row>
    <row r="19" spans="10:18" x14ac:dyDescent="0.25">
      <c r="J19" s="9" t="s">
        <v>37</v>
      </c>
      <c r="K19" s="1" t="str">
        <f t="shared" si="4"/>
        <v>C16 -300x200x125</v>
      </c>
      <c r="L19" s="7">
        <v>300</v>
      </c>
      <c r="M19" s="7">
        <v>200</v>
      </c>
      <c r="N19" s="7">
        <v>125</v>
      </c>
      <c r="O19" s="11">
        <v>0.24</v>
      </c>
      <c r="P19" s="7"/>
      <c r="Q19" s="7"/>
      <c r="R19" s="8">
        <f t="shared" si="3"/>
        <v>7.5</v>
      </c>
    </row>
    <row r="20" spans="10:18" x14ac:dyDescent="0.25">
      <c r="J20" s="9" t="s">
        <v>41</v>
      </c>
      <c r="K20" s="1" t="str">
        <f t="shared" si="4"/>
        <v>BITO 3G -600x400x170</v>
      </c>
      <c r="L20" s="7">
        <v>600</v>
      </c>
      <c r="M20" s="7">
        <v>400</v>
      </c>
      <c r="N20" s="7">
        <v>170</v>
      </c>
      <c r="O20" s="11"/>
      <c r="P20" s="7">
        <v>75</v>
      </c>
      <c r="Q20" s="7"/>
      <c r="R20" s="8">
        <f t="shared" ref="R20:R22" si="5">L20*M20*N20/(100*100*100)</f>
        <v>40.799999999999997</v>
      </c>
    </row>
    <row r="21" spans="10:18" x14ac:dyDescent="0.25">
      <c r="J21" s="9" t="s">
        <v>42</v>
      </c>
      <c r="K21" s="1" t="str">
        <f t="shared" si="4"/>
        <v>BITO 4G -600x400x270</v>
      </c>
      <c r="L21" s="7">
        <v>600</v>
      </c>
      <c r="M21" s="7">
        <v>400</v>
      </c>
      <c r="N21" s="7">
        <v>270</v>
      </c>
      <c r="O21" s="11"/>
      <c r="P21" s="7">
        <v>75</v>
      </c>
      <c r="Q21" s="7"/>
      <c r="R21" s="8">
        <f t="shared" si="5"/>
        <v>64.8</v>
      </c>
    </row>
    <row r="22" spans="10:18" x14ac:dyDescent="0.25">
      <c r="J22" s="9" t="s">
        <v>43</v>
      </c>
      <c r="K22" s="1" t="str">
        <f t="shared" si="4"/>
        <v>BITO 8G -400x300x170</v>
      </c>
      <c r="L22" s="7">
        <v>400</v>
      </c>
      <c r="M22" s="7">
        <v>300</v>
      </c>
      <c r="N22" s="7">
        <v>170</v>
      </c>
      <c r="O22" s="7"/>
      <c r="P22" s="7">
        <v>50</v>
      </c>
      <c r="Q22" s="7"/>
      <c r="R22" s="8">
        <f t="shared" si="5"/>
        <v>20.399999999999999</v>
      </c>
    </row>
    <row r="23" spans="10:18" x14ac:dyDescent="0.25">
      <c r="J23" s="10" t="s">
        <v>62</v>
      </c>
      <c r="K23" s="1" t="str">
        <f>CONCATENATE(J23&amp;" -"&amp;L23&amp;"x",M23&amp;"x",N23)</f>
        <v>test -97x72x70</v>
      </c>
      <c r="L23" s="7">
        <v>97</v>
      </c>
      <c r="M23" s="7">
        <v>72</v>
      </c>
      <c r="N23" s="7">
        <v>70</v>
      </c>
      <c r="O23" s="7"/>
      <c r="P23" s="7"/>
      <c r="Q23" s="7"/>
      <c r="R23" s="8">
        <f>L23*M23*N23/(100*100*100)</f>
        <v>0.48887999999999998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Palettisation</vt:lpstr>
      <vt:lpstr>Blad1</vt:lpstr>
      <vt:lpstr>Blad2</vt:lpstr>
      <vt:lpstr>BD UM_UC</vt:lpstr>
      <vt:lpstr>ListeCartons</vt:lpstr>
      <vt:lpstr>ListePalettes</vt:lpstr>
    </vt:vector>
  </TitlesOfParts>
  <Company>SEW-EURODRIVE GmbH &amp;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FRBATGAB</dc:creator>
  <cp:lastModifiedBy>Pia Strubbe</cp:lastModifiedBy>
  <dcterms:created xsi:type="dcterms:W3CDTF">2024-08-04T17:25:10Z</dcterms:created>
  <dcterms:modified xsi:type="dcterms:W3CDTF">2025-03-18T20:22:04Z</dcterms:modified>
</cp:coreProperties>
</file>