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B376474C-3353-406B-9A14-FA030500336C}" xr6:coauthVersionLast="47" xr6:coauthVersionMax="47" xr10:uidLastSave="{00000000-0000-0000-0000-000000000000}"/>
  <bookViews>
    <workbookView xWindow="0" yWindow="0" windowWidth="28800" windowHeight="15750" xr2:uid="{C4B42EAB-FB2F-4040-9DBA-FE06C0A2F7CA}"/>
  </bookViews>
  <sheets>
    <sheet name="Salaires détaillés" sheetId="1" r:id="rId1"/>
  </sheets>
  <externalReferences>
    <externalReference r:id="rId2"/>
  </externalReferences>
  <definedNames>
    <definedName name="ANNEES_EXERCICES">[1]Paramètres!$C$4:$J$4</definedName>
    <definedName name="COT_MAX_AE">[1]Paramètres!$C$18:$J$18</definedName>
    <definedName name="DEBUT_EXERCICE">[1]Paramètres!$C$6:$J$6</definedName>
    <definedName name="DEPT1">[1]Paramètres!#REF!</definedName>
    <definedName name="DEPT2">[1]Paramètres!#REF!</definedName>
    <definedName name="DEPT3">[1]Paramètres!#REF!</definedName>
    <definedName name="DEPT4">[1]Paramètres!#REF!</definedName>
    <definedName name="DEPT5">[1]Paramètres!#REF!</definedName>
    <definedName name="EXEMPTION_RRQ">[1]Paramètres!$C$22:$J$22</definedName>
    <definedName name="FIN_EXERCICE">[1]Paramètres!$C$7:$J$7</definedName>
    <definedName name="MASSE_ASSOCIEES">[1]Paramètres!$C$49:$J$49</definedName>
    <definedName name="MAX_AE">[1]Paramètres!$C$14:$J$14</definedName>
    <definedName name="MAX_CNT">[1]Paramètres!$C$39:$J$39</definedName>
    <definedName name="MAX_FDRCMO">[1]Paramètres!$C$44:$J$44</definedName>
    <definedName name="MAX_RQAP">[1]Paramètres!$C$29:$J$29</definedName>
    <definedName name="MAX_RRQ">[1]Paramètres!$C$21:$J$21</definedName>
    <definedName name="MAX_SST">[1]Paramètres!$C$34:$J$34</definedName>
    <definedName name="MAX2_RRQ">[1]Paramètres!$C$23:$J$23</definedName>
    <definedName name="PAIE1">[1]Paramètres!$C$55:$J$55</definedName>
    <definedName name="PAIE26">[1]Paramètres!$C$80:$J$80</definedName>
    <definedName name="TAUX_CNT">[1]Paramètres!$C$40:$J$40</definedName>
    <definedName name="TAUX_FDRCMO">[1]Paramètres!$C$45:$J$45</definedName>
    <definedName name="TAUX_FSS">[1]Paramètres!#REF!</definedName>
    <definedName name="TAUX_RQAP">[1]Paramètres!$C$30:$J$30</definedName>
    <definedName name="TAUX_RRQ">[1]Paramètres!$C$24:$J$24</definedName>
    <definedName name="TAUX_SST">[1]Paramètres!$C$35:$J$35</definedName>
    <definedName name="TAUX2_RRQ">[1]Paramètres!$C$25:$J$25</definedName>
    <definedName name="TX_AE">[1]Paramètres!$C$17:$J$17</definedName>
    <definedName name="VERS_BONIS">[1]Paramètres!$C$8:$J$8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V14" i="1" l="1"/>
  <c r="K14" i="1"/>
  <c r="L14" i="1"/>
  <c r="M14" i="1"/>
  <c r="N14" i="1"/>
  <c r="O14" i="1"/>
  <c r="P14" i="1"/>
  <c r="Q14" i="1"/>
  <c r="R14" i="1"/>
  <c r="S14" i="1"/>
  <c r="T14" i="1"/>
  <c r="U14" i="1"/>
  <c r="K15" i="1"/>
  <c r="L15" i="1"/>
  <c r="M15" i="1"/>
  <c r="N15" i="1"/>
  <c r="O15" i="1"/>
  <c r="P15" i="1"/>
  <c r="Q15" i="1"/>
  <c r="R15" i="1"/>
  <c r="S15" i="1"/>
  <c r="T15" i="1"/>
  <c r="U15" i="1"/>
  <c r="K16" i="1"/>
  <c r="L16" i="1"/>
  <c r="W16" i="1" s="1"/>
  <c r="M16" i="1"/>
  <c r="N16" i="1"/>
  <c r="O16" i="1"/>
  <c r="P16" i="1"/>
  <c r="Q16" i="1"/>
  <c r="R16" i="1"/>
  <c r="S16" i="1"/>
  <c r="T16" i="1"/>
  <c r="U16" i="1"/>
  <c r="K17" i="1"/>
  <c r="L17" i="1"/>
  <c r="M17" i="1"/>
  <c r="N17" i="1"/>
  <c r="O17" i="1"/>
  <c r="P17" i="1"/>
  <c r="Q17" i="1"/>
  <c r="R17" i="1"/>
  <c r="S17" i="1"/>
  <c r="T17" i="1"/>
  <c r="U17" i="1"/>
  <c r="K18" i="1"/>
  <c r="L18" i="1"/>
  <c r="M18" i="1"/>
  <c r="N18" i="1"/>
  <c r="O18" i="1"/>
  <c r="P18" i="1"/>
  <c r="Q18" i="1"/>
  <c r="R18" i="1"/>
  <c r="S18" i="1"/>
  <c r="T18" i="1"/>
  <c r="U18" i="1"/>
  <c r="V15" i="1"/>
  <c r="V16" i="1"/>
  <c r="V17" i="1"/>
  <c r="V18" i="1"/>
  <c r="W12" i="1"/>
  <c r="W13" i="1"/>
  <c r="R25" i="1"/>
  <c r="G12" i="1"/>
  <c r="G11" i="1"/>
  <c r="G10" i="1"/>
  <c r="G9" i="1"/>
  <c r="G8" i="1"/>
  <c r="R26" i="1" s="1"/>
  <c r="W17" i="1" l="1"/>
  <c r="W15" i="1"/>
  <c r="W18" i="1"/>
  <c r="W14" i="1"/>
  <c r="P7" i="1"/>
  <c r="Q7" i="1"/>
  <c r="V7" i="1"/>
  <c r="N7" i="1"/>
  <c r="T7" i="1"/>
  <c r="K7" i="1"/>
  <c r="S7" i="1"/>
  <c r="R7" i="1"/>
  <c r="U7" i="1"/>
  <c r="L7" i="1"/>
  <c r="M7" i="1"/>
  <c r="O7" i="1"/>
  <c r="S5" i="1" l="1"/>
  <c r="S12" i="1" s="1"/>
  <c r="V5" i="1"/>
  <c r="V8" i="1" s="1"/>
  <c r="Q5" i="1"/>
  <c r="Q10" i="1" s="1"/>
  <c r="L5" i="1"/>
  <c r="L10" i="1" s="1"/>
  <c r="M5" i="1"/>
  <c r="M11" i="1" s="1"/>
  <c r="N5" i="1"/>
  <c r="N9" i="1" s="1"/>
  <c r="K5" i="1"/>
  <c r="K9" i="1" s="1"/>
  <c r="P5" i="1"/>
  <c r="P9" i="1" s="1"/>
  <c r="O5" i="1"/>
  <c r="O9" i="1" s="1"/>
  <c r="U5" i="1"/>
  <c r="U9" i="1" s="1"/>
  <c r="T5" i="1"/>
  <c r="T8" i="1" s="1"/>
  <c r="R5" i="1"/>
  <c r="R11" i="1" s="1"/>
  <c r="P10" i="1" l="1"/>
  <c r="P12" i="1"/>
  <c r="R8" i="1"/>
  <c r="R12" i="1"/>
  <c r="T11" i="1"/>
  <c r="T9" i="1"/>
  <c r="T10" i="1"/>
  <c r="R9" i="1"/>
  <c r="P8" i="1"/>
  <c r="N12" i="1"/>
  <c r="U8" i="1"/>
  <c r="Q11" i="1"/>
  <c r="S11" i="1"/>
  <c r="O12" i="1"/>
  <c r="Q9" i="1"/>
  <c r="S10" i="1"/>
  <c r="O10" i="1"/>
  <c r="Q8" i="1"/>
  <c r="S9" i="1"/>
  <c r="O11" i="1"/>
  <c r="Q12" i="1"/>
  <c r="T12" i="1"/>
  <c r="L12" i="1"/>
  <c r="O8" i="1"/>
  <c r="M9" i="1"/>
  <c r="N10" i="1"/>
  <c r="N11" i="1"/>
  <c r="V12" i="1"/>
  <c r="K12" i="1"/>
  <c r="N8" i="1"/>
  <c r="L8" i="1"/>
  <c r="U12" i="1"/>
  <c r="V10" i="1"/>
  <c r="R10" i="1"/>
  <c r="L11" i="1"/>
  <c r="U10" i="1"/>
  <c r="K11" i="1"/>
  <c r="S8" i="1"/>
  <c r="L9" i="1"/>
  <c r="U11" i="1"/>
  <c r="P11" i="1"/>
  <c r="V9" i="1"/>
  <c r="M10" i="1"/>
  <c r="M8" i="1"/>
  <c r="K10" i="1"/>
  <c r="V11" i="1"/>
  <c r="M12" i="1"/>
  <c r="K8" i="1"/>
  <c r="W8" i="1" l="1"/>
  <c r="W9" i="1"/>
  <c r="W10" i="1" l="1"/>
  <c r="W11" i="1"/>
</calcChain>
</file>

<file path=xl/sharedStrings.xml><?xml version="1.0" encoding="utf-8"?>
<sst xmlns="http://schemas.openxmlformats.org/spreadsheetml/2006/main" count="24" uniqueCount="24">
  <si>
    <t>Entreprise inc.</t>
  </si>
  <si>
    <t>Modélisation des salaires</t>
  </si>
  <si>
    <t>Date de début d'exercice</t>
  </si>
  <si>
    <t>Date de fin d'exercice</t>
  </si>
  <si>
    <t>Calcul des charges salariales mensuelles en fonction du nombre de jours ouvrables</t>
  </si>
  <si>
    <t>Nom employé</t>
  </si>
  <si>
    <t>Salaire de base annuel</t>
  </si>
  <si>
    <t>% Augmentation prévue</t>
  </si>
  <si>
    <t>Nouveau salaire</t>
  </si>
  <si>
    <t>Date du changement de salaire</t>
  </si>
  <si>
    <t>% Bonis salaire de base</t>
  </si>
  <si>
    <t>Date d'embauche</t>
  </si>
  <si>
    <t>Date de départ          (si connue)</t>
  </si>
  <si>
    <t>Charge de l'exercice</t>
  </si>
  <si>
    <t>Salaire calculé (100 000 x 12/261)</t>
  </si>
  <si>
    <t>Augmentation salariale le 17 juillet 2025 (100 000 x 12/261 + 200 000 x 11/261)</t>
  </si>
  <si>
    <t>Employé 1</t>
  </si>
  <si>
    <t>Employé 2</t>
  </si>
  <si>
    <t>Employé 3</t>
  </si>
  <si>
    <t>Employé 4</t>
  </si>
  <si>
    <t>Employé 5</t>
  </si>
  <si>
    <t xml:space="preserve">Le premier employé débute le 14 mars 2025. Il y a donc aucun salaire avant cette date </t>
  </si>
  <si>
    <t>et il travaille 12 jours ouvrés en mars</t>
  </si>
  <si>
    <t xml:space="preserve">Par la suite le salaire considéré est 200 000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</si>
</sst>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 * #,##0.00_)_ ;_ * \(#,##0.00\)_ ;_ * &quot;-&quot;??_)_ ;_ @_ "/>
    <numFmt numFmtId="165" formatCode="_ * #,##0_)_ ;_ * \(#,##0\)_ ;_ * &quot;-&quot;??_)_ ;_ @_ "/>
    <numFmt numFmtId="166" formatCode="_ * #,##0.00_)\ _$_ ;_ * \(#,##0.00\)\ _$_ ;_ * &quot;-&quot;??_)\ _$_ ;_ @_ "/>
  </numFmts>
  <fonts count="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20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1"/>
      <color theme="3" tint="0.249977111117893"/>
      <name val="Aptos Narrow"/>
      <family val="2"/>
      <scheme val="minor"/>
    </font>
    <font>
      <sz val="8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theme="3" tint="0.499984740745262"/>
      </left>
      <right style="dotted">
        <color theme="3" tint="0.499984740745262"/>
      </right>
      <top/>
      <bottom style="dotted">
        <color theme="3" tint="0.499984740745262"/>
      </bottom>
      <diagonal/>
    </border>
    <border>
      <left style="dotted">
        <color theme="3" tint="0.499984740745262"/>
      </left>
      <right style="dotted">
        <color theme="3" tint="0.499984740745262"/>
      </right>
      <top style="dotted">
        <color theme="3" tint="0.499984740745262"/>
      </top>
      <bottom style="dotted">
        <color theme="3" tint="0.49998474074526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3">
    <xf numFmtId="0" fontId="0" fillId="0" borderId="0" xfId="0"/>
    <xf numFmtId="0" fontId="4" fillId="0" borderId="1" xfId="0" applyFont="1" applyBorder="1"/>
    <xf numFmtId="164" fontId="0" fillId="0" borderId="0" xfId="1" applyFont="1"/>
    <xf numFmtId="164" fontId="0" fillId="0" borderId="0" xfId="1" applyFont="1" applyAlignment="1">
      <alignment horizontal="center"/>
    </xf>
    <xf numFmtId="165" fontId="0" fillId="0" borderId="0" xfId="0" applyNumberFormat="1"/>
    <xf numFmtId="165" fontId="0" fillId="0" borderId="0" xfId="1" applyNumberFormat="1" applyFont="1"/>
    <xf numFmtId="0" fontId="5" fillId="0" borderId="0" xfId="0" applyFont="1"/>
    <xf numFmtId="0" fontId="2" fillId="0" borderId="0" xfId="0" applyFont="1"/>
    <xf numFmtId="0" fontId="3" fillId="0" borderId="2" xfId="1" applyNumberFormat="1" applyFont="1" applyBorder="1"/>
    <xf numFmtId="14" fontId="0" fillId="0" borderId="0" xfId="0" applyNumberFormat="1"/>
    <xf numFmtId="166" fontId="0" fillId="0" borderId="0" xfId="0" applyNumberFormat="1"/>
    <xf numFmtId="165" fontId="0" fillId="0" borderId="0" xfId="1" applyNumberFormat="1" applyFont="1" applyAlignment="1">
      <alignment horizont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Continuous"/>
    </xf>
    <xf numFmtId="0" fontId="0" fillId="0" borderId="0" xfId="0" applyAlignment="1">
      <alignment horizontal="centerContinuous"/>
    </xf>
    <xf numFmtId="0" fontId="3" fillId="0" borderId="0" xfId="0" applyFont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164" fontId="3" fillId="0" borderId="4" xfId="1" applyFont="1" applyBorder="1" applyAlignment="1">
      <alignment horizontal="center"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14" fontId="3" fillId="0" borderId="4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0" fillId="0" borderId="6" xfId="0" applyBorder="1"/>
    <xf numFmtId="9" fontId="0" fillId="0" borderId="6" xfId="2" applyFont="1" applyBorder="1" applyAlignment="1">
      <alignment horizontal="center"/>
    </xf>
    <xf numFmtId="165" fontId="0" fillId="0" borderId="6" xfId="1" applyNumberFormat="1" applyFont="1" applyBorder="1"/>
    <xf numFmtId="165" fontId="0" fillId="0" borderId="0" xfId="1" applyNumberFormat="1" applyFont="1" applyFill="1"/>
    <xf numFmtId="0" fontId="0" fillId="0" borderId="7" xfId="0" applyBorder="1"/>
    <xf numFmtId="9" fontId="0" fillId="0" borderId="7" xfId="2" applyFont="1" applyBorder="1" applyAlignment="1">
      <alignment horizontal="center"/>
    </xf>
    <xf numFmtId="14" fontId="0" fillId="0" borderId="7" xfId="1" applyNumberFormat="1" applyFont="1" applyBorder="1"/>
    <xf numFmtId="14" fontId="0" fillId="0" borderId="7" xfId="0" applyNumberFormat="1" applyBorder="1"/>
    <xf numFmtId="165" fontId="0" fillId="2" borderId="0" xfId="1" applyNumberFormat="1" applyFont="1" applyFill="1"/>
    <xf numFmtId="14" fontId="0" fillId="2" borderId="6" xfId="1" applyNumberFormat="1" applyFont="1" applyFill="1" applyBorder="1"/>
    <xf numFmtId="14" fontId="0" fillId="2" borderId="6" xfId="0" applyNumberFormat="1" applyFill="1" applyBorder="1"/>
    <xf numFmtId="0" fontId="0" fillId="0" borderId="8" xfId="0" applyBorder="1"/>
    <xf numFmtId="0" fontId="0" fillId="0" borderId="1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165" fontId="0" fillId="2" borderId="0" xfId="0" applyNumberFormat="1" applyFill="1"/>
    <xf numFmtId="0" fontId="0" fillId="0" borderId="12" xfId="0" applyBorder="1"/>
    <xf numFmtId="0" fontId="0" fillId="0" borderId="13" xfId="0" applyBorder="1"/>
    <xf numFmtId="0" fontId="0" fillId="0" borderId="14" xfId="0" applyBorder="1"/>
    <xf numFmtId="165" fontId="0" fillId="3" borderId="0" xfId="1" applyNumberFormat="1" applyFont="1" applyFill="1"/>
  </cellXfs>
  <cellStyles count="3">
    <cellStyle name="Komma" xfId="1" builtinId="3"/>
    <cellStyle name="Procent" xfId="2" builtinId="5"/>
    <cellStyle name="Standaard" xfId="0" builtinId="0"/>
  </cellStyles>
  <dxfs count="2"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mccol\Downloads\Mod&#233;lisation%20des%20salaires%20-%20Augmentation%20salaire.xlsx" TargetMode="External"/><Relationship Id="rId1" Type="http://schemas.openxmlformats.org/officeDocument/2006/relationships/externalLinkPath" Target="/Users/mccol/Downloads/Mod&#233;lisation%20des%20salaires%20-%20Augmentation%20salair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Récapitulatif des salaires"/>
      <sheetName val="Salaires détaillés"/>
      <sheetName val="Paramètres"/>
      <sheetName val="Avantages sociaux"/>
      <sheetName val="Notes"/>
    </sheetNames>
    <sheetDataSet>
      <sheetData sheetId="0" refreshError="1"/>
      <sheetData sheetId="1" refreshError="1"/>
      <sheetData sheetId="2">
        <row r="4">
          <cell r="C4">
            <v>2023</v>
          </cell>
          <cell r="D4">
            <v>2024</v>
          </cell>
          <cell r="E4">
            <v>2025</v>
          </cell>
          <cell r="F4">
            <v>2026</v>
          </cell>
          <cell r="G4">
            <v>2027</v>
          </cell>
          <cell r="H4">
            <v>2028</v>
          </cell>
          <cell r="I4">
            <v>2029</v>
          </cell>
          <cell r="J4">
            <v>2030</v>
          </cell>
        </row>
        <row r="6">
          <cell r="C6">
            <v>44927</v>
          </cell>
          <cell r="D6">
            <v>45292</v>
          </cell>
          <cell r="E6">
            <v>45658</v>
          </cell>
        </row>
        <row r="7">
          <cell r="C7">
            <v>45291</v>
          </cell>
          <cell r="D7">
            <v>45657</v>
          </cell>
          <cell r="E7">
            <v>46022</v>
          </cell>
        </row>
        <row r="8">
          <cell r="D8">
            <v>45307</v>
          </cell>
          <cell r="E8">
            <v>45673</v>
          </cell>
        </row>
        <row r="14">
          <cell r="C14">
            <v>61500</v>
          </cell>
          <cell r="D14">
            <v>63200</v>
          </cell>
          <cell r="E14">
            <v>65700</v>
          </cell>
        </row>
        <row r="17">
          <cell r="C17">
            <v>1.7779999999999997E-2</v>
          </cell>
          <cell r="D17">
            <v>1.848E-2</v>
          </cell>
          <cell r="E17">
            <v>1.8339999999999999E-2</v>
          </cell>
        </row>
        <row r="18">
          <cell r="C18">
            <v>1093.4699999999998</v>
          </cell>
          <cell r="D18">
            <v>1167.9359999999999</v>
          </cell>
          <cell r="E18">
            <v>1204.9379999999999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</row>
        <row r="21">
          <cell r="C21">
            <v>66600</v>
          </cell>
          <cell r="D21">
            <v>68500</v>
          </cell>
          <cell r="E21">
            <v>71300</v>
          </cell>
        </row>
        <row r="22">
          <cell r="C22">
            <v>3500</v>
          </cell>
          <cell r="D22">
            <v>3500</v>
          </cell>
          <cell r="E22">
            <v>3500</v>
          </cell>
        </row>
        <row r="23">
          <cell r="C23">
            <v>0</v>
          </cell>
          <cell r="D23">
            <v>73200</v>
          </cell>
          <cell r="E23">
            <v>81200</v>
          </cell>
        </row>
        <row r="24">
          <cell r="C24">
            <v>6.4000000000000001E-2</v>
          </cell>
          <cell r="D24">
            <v>6.4000000000000001E-2</v>
          </cell>
          <cell r="E24">
            <v>6.4000000000000001E-2</v>
          </cell>
        </row>
        <row r="25">
          <cell r="C25">
            <v>0</v>
          </cell>
          <cell r="D25">
            <v>0.04</v>
          </cell>
          <cell r="E25">
            <v>0.04</v>
          </cell>
        </row>
        <row r="29">
          <cell r="C29">
            <v>91000</v>
          </cell>
          <cell r="D29">
            <v>94000</v>
          </cell>
          <cell r="E29">
            <v>98000</v>
          </cell>
        </row>
        <row r="30">
          <cell r="C30">
            <v>6.9199999999999999E-3</v>
          </cell>
          <cell r="D30">
            <v>6.9199999999999999E-3</v>
          </cell>
          <cell r="E30">
            <v>6.9199999999999999E-3</v>
          </cell>
        </row>
        <row r="34">
          <cell r="C34">
            <v>88000</v>
          </cell>
          <cell r="D34">
            <v>94000</v>
          </cell>
          <cell r="E34">
            <v>98000</v>
          </cell>
        </row>
        <row r="35">
          <cell r="C35">
            <v>4.4000000000000003E-3</v>
          </cell>
          <cell r="D35">
            <v>4.4000000000000003E-3</v>
          </cell>
          <cell r="E35">
            <v>4.4000000000000003E-3</v>
          </cell>
        </row>
        <row r="39">
          <cell r="C39">
            <v>88000</v>
          </cell>
          <cell r="D39">
            <v>94000</v>
          </cell>
          <cell r="E39">
            <v>98000</v>
          </cell>
        </row>
        <row r="40">
          <cell r="C40">
            <v>5.9999999999999995E-4</v>
          </cell>
          <cell r="D40">
            <v>5.9999999999999995E-4</v>
          </cell>
          <cell r="E40">
            <v>5.9999999999999995E-4</v>
          </cell>
        </row>
        <row r="44">
          <cell r="C44">
            <v>2000000</v>
          </cell>
          <cell r="D44">
            <v>2000000</v>
          </cell>
          <cell r="E44">
            <v>2000000</v>
          </cell>
        </row>
        <row r="45">
          <cell r="C45">
            <v>0.01</v>
          </cell>
          <cell r="D45">
            <v>0.01</v>
          </cell>
          <cell r="E45">
            <v>0.01</v>
          </cell>
        </row>
        <row r="49">
          <cell r="C49">
            <v>2900000</v>
          </cell>
          <cell r="D49">
            <v>2950000</v>
          </cell>
          <cell r="E49">
            <v>3000000</v>
          </cell>
        </row>
        <row r="55">
          <cell r="C55">
            <v>44938</v>
          </cell>
          <cell r="D55">
            <v>45302</v>
          </cell>
          <cell r="E55">
            <v>45666</v>
          </cell>
          <cell r="F55">
            <v>46030</v>
          </cell>
          <cell r="G55">
            <v>46394</v>
          </cell>
          <cell r="H55">
            <v>46758</v>
          </cell>
          <cell r="I55">
            <v>47122</v>
          </cell>
          <cell r="J55">
            <v>47486</v>
          </cell>
        </row>
        <row r="80">
          <cell r="C80">
            <v>45288</v>
          </cell>
          <cell r="D80">
            <v>45652</v>
          </cell>
          <cell r="E80">
            <v>46016</v>
          </cell>
          <cell r="F80">
            <v>46380</v>
          </cell>
          <cell r="G80">
            <v>46744</v>
          </cell>
          <cell r="H80">
            <v>47108</v>
          </cell>
          <cell r="I80">
            <v>47472</v>
          </cell>
          <cell r="J80">
            <v>47836</v>
          </cell>
        </row>
      </sheetData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3D4CFC-B849-4CDB-ADB9-3AFEF6694D5B}">
  <dimension ref="A1:W27"/>
  <sheetViews>
    <sheetView tabSelected="1" zoomScale="90" zoomScaleNormal="90" workbookViewId="0">
      <pane xSplit="10" ySplit="7" topLeftCell="K8" activePane="bottomRight" state="frozen"/>
      <selection pane="topRight" activeCell="AD1" sqref="AD1"/>
      <selection pane="bottomLeft" activeCell="A8" sqref="A8"/>
      <selection pane="bottomRight" activeCell="K14" sqref="K14"/>
    </sheetView>
  </sheetViews>
  <sheetFormatPr defaultColWidth="11.42578125" defaultRowHeight="15" x14ac:dyDescent="0.25"/>
  <cols>
    <col min="1" max="1" width="3.7109375" customWidth="1"/>
    <col min="2" max="2" width="23.140625" customWidth="1"/>
    <col min="3" max="3" width="11.5703125" style="2"/>
    <col min="4" max="4" width="13.28515625" customWidth="1"/>
    <col min="5" max="5" width="11.140625" bestFit="1" customWidth="1"/>
    <col min="6" max="8" width="13.7109375" style="2" customWidth="1"/>
    <col min="9" max="9" width="11.5703125" style="2"/>
    <col min="10" max="10" width="11.5703125" style="3"/>
    <col min="11" max="22" width="11.5703125" customWidth="1"/>
    <col min="23" max="23" width="12.42578125" customWidth="1"/>
  </cols>
  <sheetData>
    <row r="1" spans="1:23" ht="26.25" x14ac:dyDescent="0.4">
      <c r="A1" s="1" t="s">
        <v>0</v>
      </c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</row>
    <row r="2" spans="1:23" ht="15.75" x14ac:dyDescent="0.25">
      <c r="A2" s="6" t="s">
        <v>1</v>
      </c>
      <c r="D2" s="8">
        <v>2025</v>
      </c>
      <c r="K2" t="s">
        <v>2</v>
      </c>
      <c r="M2" s="9">
        <v>45658</v>
      </c>
      <c r="W2" s="10"/>
    </row>
    <row r="3" spans="1:23" x14ac:dyDescent="0.25">
      <c r="D3" s="2"/>
      <c r="K3" t="s">
        <v>3</v>
      </c>
      <c r="M3" s="9">
        <v>46022</v>
      </c>
    </row>
    <row r="4" spans="1:23" x14ac:dyDescent="0.25">
      <c r="B4" s="7"/>
      <c r="D4" s="2"/>
      <c r="M4" s="9"/>
    </row>
    <row r="5" spans="1:23" x14ac:dyDescent="0.25">
      <c r="C5" s="11">
        <v>52</v>
      </c>
      <c r="E5" s="2"/>
      <c r="F5" s="11"/>
      <c r="G5" s="11"/>
      <c r="H5" s="11"/>
      <c r="J5" s="10"/>
      <c r="K5" s="12">
        <f t="shared" ref="K5:V5" si="0">IF(ISNUMBER(K7),NETWORKDAYS(DATE(YEAR(K7),MONTH(K7),1),K7),"")</f>
        <v>23</v>
      </c>
      <c r="L5" s="12">
        <f t="shared" si="0"/>
        <v>20</v>
      </c>
      <c r="M5" s="12">
        <f t="shared" si="0"/>
        <v>21</v>
      </c>
      <c r="N5" s="12">
        <f t="shared" si="0"/>
        <v>22</v>
      </c>
      <c r="O5" s="12">
        <f t="shared" si="0"/>
        <v>22</v>
      </c>
      <c r="P5" s="12">
        <f t="shared" si="0"/>
        <v>21</v>
      </c>
      <c r="Q5" s="12">
        <f t="shared" si="0"/>
        <v>23</v>
      </c>
      <c r="R5" s="12">
        <f t="shared" si="0"/>
        <v>21</v>
      </c>
      <c r="S5" s="12">
        <f t="shared" si="0"/>
        <v>22</v>
      </c>
      <c r="T5" s="12">
        <f t="shared" si="0"/>
        <v>23</v>
      </c>
      <c r="U5" s="12">
        <f t="shared" si="0"/>
        <v>20</v>
      </c>
      <c r="V5" s="12">
        <f t="shared" si="0"/>
        <v>23</v>
      </c>
    </row>
    <row r="6" spans="1:23" ht="15.75" thickBot="1" x14ac:dyDescent="0.3">
      <c r="I6" s="3"/>
      <c r="J6"/>
      <c r="K6" s="13" t="s">
        <v>4</v>
      </c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</row>
    <row r="7" spans="1:23" s="15" customFormat="1" ht="43.9" customHeight="1" thickBot="1" x14ac:dyDescent="0.3">
      <c r="B7" s="16" t="s">
        <v>5</v>
      </c>
      <c r="C7" s="18" t="s">
        <v>6</v>
      </c>
      <c r="D7" s="17" t="s">
        <v>11</v>
      </c>
      <c r="E7" s="17" t="s">
        <v>12</v>
      </c>
      <c r="F7" s="18" t="s">
        <v>7</v>
      </c>
      <c r="G7" s="18" t="s">
        <v>8</v>
      </c>
      <c r="H7" s="18" t="s">
        <v>9</v>
      </c>
      <c r="I7" s="18" t="s">
        <v>10</v>
      </c>
      <c r="J7"/>
      <c r="K7" s="19">
        <f t="shared" ref="K7:V7" si="1">IF(EOMONTH($M$2,COLUMN()-COLUMN($K$7))&lt;=$M$3,EOMONTH($M$2,COLUMN()-COLUMN($K$7)),"")</f>
        <v>45688</v>
      </c>
      <c r="L7" s="20">
        <f t="shared" si="1"/>
        <v>45716</v>
      </c>
      <c r="M7" s="20">
        <f t="shared" si="1"/>
        <v>45747</v>
      </c>
      <c r="N7" s="20">
        <f t="shared" si="1"/>
        <v>45777</v>
      </c>
      <c r="O7" s="20">
        <f t="shared" si="1"/>
        <v>45808</v>
      </c>
      <c r="P7" s="20">
        <f t="shared" si="1"/>
        <v>45838</v>
      </c>
      <c r="Q7" s="20">
        <f t="shared" si="1"/>
        <v>45869</v>
      </c>
      <c r="R7" s="20">
        <f t="shared" si="1"/>
        <v>45900</v>
      </c>
      <c r="S7" s="20">
        <f t="shared" si="1"/>
        <v>45930</v>
      </c>
      <c r="T7" s="20">
        <f t="shared" si="1"/>
        <v>45961</v>
      </c>
      <c r="U7" s="20">
        <f t="shared" si="1"/>
        <v>45991</v>
      </c>
      <c r="V7" s="20">
        <f t="shared" si="1"/>
        <v>46022</v>
      </c>
      <c r="W7" s="21" t="s">
        <v>13</v>
      </c>
    </row>
    <row r="8" spans="1:23" x14ac:dyDescent="0.25">
      <c r="B8" s="22" t="s">
        <v>16</v>
      </c>
      <c r="C8" s="5">
        <v>100000</v>
      </c>
      <c r="D8" s="32">
        <v>45730</v>
      </c>
      <c r="E8" s="32">
        <v>45965</v>
      </c>
      <c r="F8" s="23">
        <v>1</v>
      </c>
      <c r="G8" s="24">
        <f>IF(F8="","",C8*(1+F8))</f>
        <v>200000</v>
      </c>
      <c r="H8" s="31">
        <v>45855</v>
      </c>
      <c r="I8" s="23">
        <v>0.5</v>
      </c>
      <c r="J8"/>
      <c r="K8" s="25">
        <f>IF(OR(K$7="",K$5=""),0,
IF($D8&gt;K$7,0,
IF(AND(ISNUMBER($H8),$H8&lt;=K$7),
IF(MONTH($H8)=MONTH(K$7),
(($C8*NETWORKDAYS(MAX($D8,DATE(YEAR(K$7),MONTH(K$7),1)),$H8-1))
+($G8*NETWORKDAYS($H8,K$7)))
/NETWORKDAYS(DATE(YEAR(K$7),1,1),DATE(YEAR(K$7),12,31)),
$G8*NETWORKDAYS(MAX($D8,DATE(YEAR(K$7),MONTH(K$7),1)),K$7)
/NETWORKDAYS(DATE(YEAR(K$7),1,1),DATE(YEAR(K$7),12,31))),
$C8*NETWORKDAYS(MAX($D8,DATE(YEAR(K$7),MONTH(K$7),1)),K$7)
/NETWORKDAYS(DATE(YEAR(K$7),1,1),DATE(YEAR(K$7),12,31)))
))</f>
        <v>0</v>
      </c>
      <c r="L8" s="25">
        <f t="shared" ref="L8:V12" si="2">IF(OR(L$7="",L$5=""),0,
IF($D8&gt;L$7,0,
IF(AND(ISNUMBER($H8),$H8&lt;=L$7),
IF(MONTH($H8)=MONTH(L$7),
(($C8*NETWORKDAYS(MAX($D8,DATE(YEAR(L$7),MONTH(L$7),1)),$H8-1))
+($G8*NETWORKDAYS($H8,L$7)))
/NETWORKDAYS(DATE(YEAR(L$7),1,1),DATE(YEAR(L$7),12,31)),
$G8*NETWORKDAYS(MAX($D8,DATE(YEAR(L$7),MONTH(L$7),1)),L$7)
/NETWORKDAYS(DATE(YEAR(L$7),1,1),DATE(YEAR(L$7),12,31))),
$C8*NETWORKDAYS(MAX($D8,DATE(YEAR(L$7),MONTH(L$7),1)),L$7)
/NETWORKDAYS(DATE(YEAR(L$7),1,1),DATE(YEAR(L$7),12,31)))
))</f>
        <v>0</v>
      </c>
      <c r="M8" s="30">
        <f t="shared" si="2"/>
        <v>4597.7011494252874</v>
      </c>
      <c r="N8" s="25">
        <f t="shared" si="2"/>
        <v>8429.1187739463603</v>
      </c>
      <c r="O8" s="25">
        <f t="shared" si="2"/>
        <v>8429.1187739463603</v>
      </c>
      <c r="P8" s="25">
        <f t="shared" si="2"/>
        <v>8045.977011494253</v>
      </c>
      <c r="Q8" s="30">
        <f t="shared" si="2"/>
        <v>13026.819923371648</v>
      </c>
      <c r="R8" s="25">
        <f t="shared" si="2"/>
        <v>16091.954022988506</v>
      </c>
      <c r="S8" s="25">
        <f t="shared" si="2"/>
        <v>16858.237547892721</v>
      </c>
      <c r="T8" s="25">
        <f t="shared" si="2"/>
        <v>17624.521072796935</v>
      </c>
      <c r="U8" s="25">
        <f t="shared" si="2"/>
        <v>15325.670498084291</v>
      </c>
      <c r="V8" s="25">
        <f t="shared" si="2"/>
        <v>17624.521072796935</v>
      </c>
      <c r="W8" s="5">
        <f>SUM(K8:V8)</f>
        <v>126053.6398467433</v>
      </c>
    </row>
    <row r="9" spans="1:23" x14ac:dyDescent="0.25">
      <c r="B9" s="26" t="s">
        <v>17</v>
      </c>
      <c r="C9" s="5">
        <v>152100</v>
      </c>
      <c r="D9" s="29">
        <v>44529</v>
      </c>
      <c r="E9" s="29"/>
      <c r="F9" s="27">
        <v>2</v>
      </c>
      <c r="G9" s="24">
        <f>IF(F9="","",C9*(1+F9))</f>
        <v>456300</v>
      </c>
      <c r="H9" s="28">
        <v>45790</v>
      </c>
      <c r="I9" s="27">
        <v>0.2</v>
      </c>
      <c r="J9" s="11"/>
      <c r="K9" s="25">
        <f t="shared" ref="K9:K12" si="3">IF(OR(K$7="",K$5=""),0,
IF($D9&gt;K$7,0,
IF(AND(ISNUMBER($H9),$H9&lt;=K$7),
IF(MONTH($H9)=MONTH(K$7),
(($C9*NETWORKDAYS(MAX($D9,DATE(YEAR(K$7),MONTH(K$7),1)),$H9-1))
+($G9*NETWORKDAYS($H9,K$7)))
/NETWORKDAYS(DATE(YEAR(K$7),1,1),DATE(YEAR(K$7),12,31)),
$G9*NETWORKDAYS(MAX($D9,DATE(YEAR(K$7),MONTH(K$7),1)),K$7)
/NETWORKDAYS(DATE(YEAR(K$7),1,1),DATE(YEAR(K$7),12,31))),
$C9*NETWORKDAYS(MAX($D9,DATE(YEAR(K$7),MONTH(K$7),1)),K$7)
/NETWORKDAYS(DATE(YEAR(K$7),1,1),DATE(YEAR(K$7),12,31)))
))</f>
        <v>13403.448275862069</v>
      </c>
      <c r="L9" s="25">
        <f t="shared" si="2"/>
        <v>11655.172413793103</v>
      </c>
      <c r="M9" s="25">
        <f t="shared" si="2"/>
        <v>12237.931034482759</v>
      </c>
      <c r="N9" s="25">
        <f t="shared" si="2"/>
        <v>12820.689655172413</v>
      </c>
      <c r="O9" s="25">
        <f t="shared" si="2"/>
        <v>29137.931034482757</v>
      </c>
      <c r="P9" s="25">
        <f t="shared" si="2"/>
        <v>36713.793103448275</v>
      </c>
      <c r="Q9" s="25">
        <f t="shared" si="2"/>
        <v>40210.34482758621</v>
      </c>
      <c r="R9" s="25">
        <f t="shared" si="2"/>
        <v>36713.793103448275</v>
      </c>
      <c r="S9" s="25">
        <f t="shared" si="2"/>
        <v>38462.068965517239</v>
      </c>
      <c r="T9" s="25">
        <f t="shared" si="2"/>
        <v>40210.34482758621</v>
      </c>
      <c r="U9" s="25">
        <f t="shared" si="2"/>
        <v>34965.517241379312</v>
      </c>
      <c r="V9" s="25">
        <f t="shared" si="2"/>
        <v>40210.34482758621</v>
      </c>
      <c r="W9" s="5">
        <f t="shared" ref="W9:W18" si="4">SUM(K9:V9)</f>
        <v>346741.37931034487</v>
      </c>
    </row>
    <row r="10" spans="1:23" x14ac:dyDescent="0.25">
      <c r="B10" s="22" t="s">
        <v>18</v>
      </c>
      <c r="C10" s="5">
        <v>185250</v>
      </c>
      <c r="D10" s="29">
        <v>45761</v>
      </c>
      <c r="E10" s="29"/>
      <c r="F10" s="27"/>
      <c r="G10" s="24" t="str">
        <f>IF(F10="","",C10*(1+F10))</f>
        <v/>
      </c>
      <c r="H10" s="28"/>
      <c r="I10" s="27">
        <v>0.2</v>
      </c>
      <c r="J10" s="11"/>
      <c r="K10" s="25">
        <f t="shared" si="3"/>
        <v>0</v>
      </c>
      <c r="L10" s="25">
        <f t="shared" si="2"/>
        <v>0</v>
      </c>
      <c r="M10" s="25">
        <f t="shared" si="2"/>
        <v>0</v>
      </c>
      <c r="N10" s="25">
        <f t="shared" si="2"/>
        <v>9227.0114942528744</v>
      </c>
      <c r="O10" s="25">
        <f t="shared" si="2"/>
        <v>15614.942528735632</v>
      </c>
      <c r="P10" s="25">
        <f t="shared" si="2"/>
        <v>14905.172413793103</v>
      </c>
      <c r="Q10" s="25">
        <f t="shared" si="2"/>
        <v>16324.71264367816</v>
      </c>
      <c r="R10" s="25">
        <f t="shared" si="2"/>
        <v>14905.172413793103</v>
      </c>
      <c r="S10" s="25">
        <f t="shared" si="2"/>
        <v>15614.942528735632</v>
      </c>
      <c r="T10" s="25">
        <f t="shared" si="2"/>
        <v>16324.71264367816</v>
      </c>
      <c r="U10" s="25">
        <f t="shared" si="2"/>
        <v>14195.402298850575</v>
      </c>
      <c r="V10" s="25">
        <f t="shared" si="2"/>
        <v>16324.71264367816</v>
      </c>
      <c r="W10" s="5">
        <f t="shared" si="4"/>
        <v>133436.7816091954</v>
      </c>
    </row>
    <row r="11" spans="1:23" x14ac:dyDescent="0.25">
      <c r="B11" s="26" t="s">
        <v>19</v>
      </c>
      <c r="C11" s="5">
        <v>214500</v>
      </c>
      <c r="D11" s="29">
        <v>44711</v>
      </c>
      <c r="E11" s="29"/>
      <c r="F11" s="27"/>
      <c r="G11" s="24" t="str">
        <f>IF(F11="","",C11*(1+F11))</f>
        <v/>
      </c>
      <c r="H11" s="28"/>
      <c r="I11" s="27">
        <v>0.3</v>
      </c>
      <c r="J11" s="11"/>
      <c r="K11" s="25">
        <f t="shared" si="3"/>
        <v>18902.298850574713</v>
      </c>
      <c r="L11" s="25">
        <f t="shared" si="2"/>
        <v>16436.781609195401</v>
      </c>
      <c r="M11" s="25">
        <f t="shared" si="2"/>
        <v>17258.620689655174</v>
      </c>
      <c r="N11" s="25">
        <f t="shared" si="2"/>
        <v>18080.459770114943</v>
      </c>
      <c r="O11" s="25">
        <f t="shared" si="2"/>
        <v>18080.459770114943</v>
      </c>
      <c r="P11" s="25">
        <f t="shared" si="2"/>
        <v>17258.620689655174</v>
      </c>
      <c r="Q11" s="25">
        <f t="shared" si="2"/>
        <v>18902.298850574713</v>
      </c>
      <c r="R11" s="25">
        <f t="shared" si="2"/>
        <v>17258.620689655174</v>
      </c>
      <c r="S11" s="25">
        <f t="shared" si="2"/>
        <v>18080.459770114943</v>
      </c>
      <c r="T11" s="25">
        <f t="shared" si="2"/>
        <v>18902.298850574713</v>
      </c>
      <c r="U11" s="25">
        <f t="shared" si="2"/>
        <v>16436.781609195401</v>
      </c>
      <c r="V11" s="25">
        <f t="shared" si="2"/>
        <v>18902.298850574713</v>
      </c>
      <c r="W11" s="5">
        <f t="shared" si="4"/>
        <v>214499.99999999997</v>
      </c>
    </row>
    <row r="12" spans="1:23" x14ac:dyDescent="0.25">
      <c r="B12" s="22" t="s">
        <v>20</v>
      </c>
      <c r="C12" s="5">
        <v>146250</v>
      </c>
      <c r="D12" s="29">
        <v>44060</v>
      </c>
      <c r="E12" s="29">
        <v>45730</v>
      </c>
      <c r="F12" s="27"/>
      <c r="G12" s="24" t="str">
        <f>IF(F12="","",C12*(1+F12))</f>
        <v/>
      </c>
      <c r="H12" s="28"/>
      <c r="I12" s="27">
        <v>0.2</v>
      </c>
      <c r="J12" s="11"/>
      <c r="K12" s="25">
        <f t="shared" si="3"/>
        <v>12887.931034482759</v>
      </c>
      <c r="L12" s="25">
        <f t="shared" si="2"/>
        <v>11206.896551724138</v>
      </c>
      <c r="M12" s="25">
        <f t="shared" si="2"/>
        <v>11767.241379310344</v>
      </c>
      <c r="N12" s="25">
        <f t="shared" si="2"/>
        <v>12327.586206896553</v>
      </c>
      <c r="O12" s="25">
        <f t="shared" si="2"/>
        <v>12327.586206896553</v>
      </c>
      <c r="P12" s="25">
        <f t="shared" si="2"/>
        <v>11767.241379310344</v>
      </c>
      <c r="Q12" s="25">
        <f t="shared" si="2"/>
        <v>12887.931034482759</v>
      </c>
      <c r="R12" s="25">
        <f t="shared" si="2"/>
        <v>11767.241379310344</v>
      </c>
      <c r="S12" s="25">
        <f t="shared" si="2"/>
        <v>12327.586206896553</v>
      </c>
      <c r="T12" s="25">
        <f t="shared" si="2"/>
        <v>12887.931034482759</v>
      </c>
      <c r="U12" s="25">
        <f t="shared" si="2"/>
        <v>11206.896551724138</v>
      </c>
      <c r="V12" s="25">
        <f t="shared" si="2"/>
        <v>12887.931034482759</v>
      </c>
      <c r="W12" s="5">
        <f t="shared" si="4"/>
        <v>146250</v>
      </c>
    </row>
    <row r="13" spans="1:23" x14ac:dyDescent="0.25">
      <c r="W13" s="5">
        <f t="shared" si="4"/>
        <v>0</v>
      </c>
    </row>
    <row r="14" spans="1:23" x14ac:dyDescent="0.25">
      <c r="K14" s="42">
        <f t="shared" ref="K14:U18" si="5">_xlfn.LET(_xlpm.Jrs_an,NETWORKDAYS(DATE(YEAR(K$7),1,1),DATE(YEAR(K$7),12,31)),
_xlpm.premier,MAX(EOMONTH(K$7,-1)+1,$D8),
_xlpm.dernier,MIN(K$7,$E8),
_xlpm.Jrs_Mois,IF(_xlpm.premier&gt;_xlpm.dernier,0,NETWORKDAYS(_xlpm.premier,_xlpm.dernier)),
_xlpm.Jrs2_Mois,IF(OR($H8="",$H8&gt;_xlpm.dernier,_xlpm.premier&gt;_xlpm.dernier),0,NETWORKDAYS(MAX(_xlpm.premier,$H8),_xlpm.dernier)),
($C8*(_xlpm.Jrs_Mois-_xlpm.Jrs2_Mois)+IF($G8="",0,$G8*_xlpm.Jrs2_Mois))/_xlpm.Jrs_an
)</f>
        <v>0</v>
      </c>
      <c r="L14" s="42">
        <f t="shared" si="5"/>
        <v>0</v>
      </c>
      <c r="M14" s="42">
        <f t="shared" si="5"/>
        <v>4597.7011494252874</v>
      </c>
      <c r="N14" s="42">
        <f t="shared" si="5"/>
        <v>8429.1187739463603</v>
      </c>
      <c r="O14" s="42">
        <f t="shared" si="5"/>
        <v>8429.1187739463603</v>
      </c>
      <c r="P14" s="42">
        <f t="shared" si="5"/>
        <v>8045.977011494253</v>
      </c>
      <c r="Q14" s="42">
        <f t="shared" si="5"/>
        <v>13026.819923371648</v>
      </c>
      <c r="R14" s="42">
        <f t="shared" si="5"/>
        <v>16091.954022988506</v>
      </c>
      <c r="S14" s="42">
        <f t="shared" si="5"/>
        <v>16858.237547892721</v>
      </c>
      <c r="T14" s="42">
        <f t="shared" si="5"/>
        <v>17624.521072796935</v>
      </c>
      <c r="U14" s="42">
        <f t="shared" si="5"/>
        <v>1532.5670498084291</v>
      </c>
      <c r="V14" s="42">
        <f>_xlfn.LET(
_xlpm.Jrs_an,NETWORKDAYS(DATE(YEAR(V$7),1,1),DATE(YEAR(V$7),12,31)),
_xlpm.premier,MAX(EOMONTH(V$7,-1)+1,$D8),
_xlpm.dernier,MIN(V$7,$E8),
_xlpm.Jrs_Mois,IF(_xlpm.premier&gt;_xlpm.dernier,0,NETWORKDAYS(_xlpm.premier,_xlpm.dernier)),
_xlpm.Jrs2_Mois,IF(OR($H8="",$H8&gt;_xlpm.dernier,_xlpm.premier&gt;_xlpm.dernier),0,NETWORKDAYS(MAX(_xlpm.premier,$H8),_xlpm.dernier)),
($C8*(_xlpm.Jrs_Mois-_xlpm.Jrs2_Mois)+IF($G8="",0,$G8*_xlpm.Jrs2_Mois))/_xlpm.Jrs_an
)</f>
        <v>0</v>
      </c>
      <c r="W14" s="42">
        <f t="shared" si="4"/>
        <v>94636.015325670509</v>
      </c>
    </row>
    <row r="15" spans="1:23" x14ac:dyDescent="0.25">
      <c r="K15" s="42">
        <f t="shared" si="5"/>
        <v>13403.448275862069</v>
      </c>
      <c r="L15" s="42">
        <f t="shared" si="5"/>
        <v>11655.172413793103</v>
      </c>
      <c r="M15" s="42">
        <f t="shared" si="5"/>
        <v>12237.931034482759</v>
      </c>
      <c r="N15" s="42">
        <f t="shared" si="5"/>
        <v>12820.689655172413</v>
      </c>
      <c r="O15" s="42">
        <f t="shared" si="5"/>
        <v>29137.931034482757</v>
      </c>
      <c r="P15" s="42">
        <f t="shared" si="5"/>
        <v>36713.793103448275</v>
      </c>
      <c r="Q15" s="42">
        <f t="shared" si="5"/>
        <v>40210.34482758621</v>
      </c>
      <c r="R15" s="42">
        <f t="shared" si="5"/>
        <v>36713.793103448275</v>
      </c>
      <c r="S15" s="42">
        <f t="shared" si="5"/>
        <v>38462.068965517239</v>
      </c>
      <c r="T15" s="42">
        <f t="shared" si="5"/>
        <v>40210.34482758621</v>
      </c>
      <c r="U15" s="42">
        <f t="shared" si="5"/>
        <v>34965.517241379312</v>
      </c>
      <c r="V15" s="42">
        <f t="shared" ref="V15:V18" si="6">_xlfn.LET(_xlpm.Jrs_an,NETWORKDAYS(DATE(YEAR(V$7),1,1),DATE(YEAR(V$7),12,31)),
_xlpm.premier,MAX(EOMONTH(V$7,-1)+1,$D9),
_xlpm.dernier,MIN(V$7,$E9),
_xlpm.Jrs_Mois,IF(_xlpm.premier&gt;_xlpm.dernier,0,NETWORKDAYS(_xlpm.premier,_xlpm.dernier)),
_xlpm.Jrs2_Mois,IF(OR($H9="",$H9&gt;_xlpm.dernier,_xlpm.premier&gt;_xlpm.dernier),0,NETWORKDAYS(MAX(_xlpm.premier,$H9),_xlpm.dernier)),
($C9*(_xlpm.Jrs_Mois-_xlpm.Jrs2_Mois)+IF($G9="",0,$G9*_xlpm.Jrs2_Mois))/_xlpm.Jrs_an
)</f>
        <v>40210.34482758621</v>
      </c>
      <c r="W15" s="42">
        <f t="shared" si="4"/>
        <v>346741.37931034487</v>
      </c>
    </row>
    <row r="16" spans="1:23" x14ac:dyDescent="0.25">
      <c r="K16" s="42">
        <f t="shared" si="5"/>
        <v>0</v>
      </c>
      <c r="L16" s="42">
        <f t="shared" si="5"/>
        <v>0</v>
      </c>
      <c r="M16" s="42">
        <f t="shared" si="5"/>
        <v>0</v>
      </c>
      <c r="N16" s="42">
        <f t="shared" si="5"/>
        <v>9227.0114942528744</v>
      </c>
      <c r="O16" s="42">
        <f t="shared" si="5"/>
        <v>15614.942528735632</v>
      </c>
      <c r="P16" s="42">
        <f t="shared" si="5"/>
        <v>14905.172413793103</v>
      </c>
      <c r="Q16" s="42">
        <f t="shared" si="5"/>
        <v>16324.71264367816</v>
      </c>
      <c r="R16" s="42">
        <f t="shared" si="5"/>
        <v>14905.172413793103</v>
      </c>
      <c r="S16" s="42">
        <f t="shared" si="5"/>
        <v>15614.942528735632</v>
      </c>
      <c r="T16" s="42">
        <f t="shared" si="5"/>
        <v>16324.71264367816</v>
      </c>
      <c r="U16" s="42">
        <f t="shared" si="5"/>
        <v>14195.402298850575</v>
      </c>
      <c r="V16" s="42">
        <f t="shared" si="6"/>
        <v>16324.71264367816</v>
      </c>
      <c r="W16" s="42">
        <f t="shared" si="4"/>
        <v>133436.7816091954</v>
      </c>
    </row>
    <row r="17" spans="11:23" x14ac:dyDescent="0.25">
      <c r="K17" s="42">
        <f t="shared" si="5"/>
        <v>18902.298850574713</v>
      </c>
      <c r="L17" s="42">
        <f t="shared" si="5"/>
        <v>16436.781609195401</v>
      </c>
      <c r="M17" s="42">
        <f t="shared" si="5"/>
        <v>17258.620689655174</v>
      </c>
      <c r="N17" s="42">
        <f t="shared" si="5"/>
        <v>18080.459770114943</v>
      </c>
      <c r="O17" s="42">
        <f t="shared" si="5"/>
        <v>18080.459770114943</v>
      </c>
      <c r="P17" s="42">
        <f t="shared" si="5"/>
        <v>17258.620689655174</v>
      </c>
      <c r="Q17" s="42">
        <f t="shared" si="5"/>
        <v>18902.298850574713</v>
      </c>
      <c r="R17" s="42">
        <f t="shared" si="5"/>
        <v>17258.620689655174</v>
      </c>
      <c r="S17" s="42">
        <f t="shared" si="5"/>
        <v>18080.459770114943</v>
      </c>
      <c r="T17" s="42">
        <f t="shared" si="5"/>
        <v>18902.298850574713</v>
      </c>
      <c r="U17" s="42">
        <f t="shared" si="5"/>
        <v>16436.781609195401</v>
      </c>
      <c r="V17" s="42">
        <f t="shared" si="6"/>
        <v>18902.298850574713</v>
      </c>
      <c r="W17" s="42">
        <f t="shared" si="4"/>
        <v>214499.99999999997</v>
      </c>
    </row>
    <row r="18" spans="11:23" x14ac:dyDescent="0.25">
      <c r="K18" s="42">
        <f t="shared" si="5"/>
        <v>12887.931034482759</v>
      </c>
      <c r="L18" s="42">
        <f t="shared" si="5"/>
        <v>11206.896551724138</v>
      </c>
      <c r="M18" s="42">
        <f t="shared" si="5"/>
        <v>5603.4482758620688</v>
      </c>
      <c r="N18" s="42">
        <f t="shared" si="5"/>
        <v>0</v>
      </c>
      <c r="O18" s="42">
        <f t="shared" si="5"/>
        <v>0</v>
      </c>
      <c r="P18" s="42">
        <f t="shared" si="5"/>
        <v>0</v>
      </c>
      <c r="Q18" s="42">
        <f t="shared" si="5"/>
        <v>0</v>
      </c>
      <c r="R18" s="42">
        <f t="shared" si="5"/>
        <v>0</v>
      </c>
      <c r="S18" s="42">
        <f t="shared" si="5"/>
        <v>0</v>
      </c>
      <c r="T18" s="42">
        <f t="shared" si="5"/>
        <v>0</v>
      </c>
      <c r="U18" s="42">
        <f t="shared" si="5"/>
        <v>0</v>
      </c>
      <c r="V18" s="42">
        <f t="shared" si="6"/>
        <v>0</v>
      </c>
      <c r="W18" s="42">
        <f t="shared" si="4"/>
        <v>29698.275862068967</v>
      </c>
    </row>
    <row r="19" spans="11:23" x14ac:dyDescent="0.25">
      <c r="K19" s="25"/>
    </row>
    <row r="20" spans="11:23" ht="15.75" thickBot="1" x14ac:dyDescent="0.3">
      <c r="K20" s="25"/>
    </row>
    <row r="21" spans="11:23" x14ac:dyDescent="0.25">
      <c r="K21" s="33"/>
      <c r="L21" s="34"/>
      <c r="M21" s="34"/>
      <c r="N21" s="34"/>
      <c r="O21" s="34"/>
      <c r="P21" s="34"/>
      <c r="Q21" s="34"/>
      <c r="R21" s="34"/>
      <c r="S21" s="35"/>
    </row>
    <row r="22" spans="11:23" x14ac:dyDescent="0.25">
      <c r="K22" s="36"/>
      <c r="L22" s="4" t="s">
        <v>21</v>
      </c>
      <c r="S22" s="37"/>
    </row>
    <row r="23" spans="11:23" x14ac:dyDescent="0.25">
      <c r="K23" s="36"/>
      <c r="L23" t="s">
        <v>22</v>
      </c>
      <c r="S23" s="37"/>
    </row>
    <row r="24" spans="11:23" x14ac:dyDescent="0.25">
      <c r="K24" s="36"/>
      <c r="S24" s="37"/>
    </row>
    <row r="25" spans="11:23" x14ac:dyDescent="0.25">
      <c r="K25" s="36"/>
      <c r="L25" t="s">
        <v>14</v>
      </c>
      <c r="R25" s="38">
        <f>C8*12/261</f>
        <v>4597.7011494252874</v>
      </c>
      <c r="S25" s="37"/>
    </row>
    <row r="26" spans="11:23" x14ac:dyDescent="0.25">
      <c r="K26" s="36"/>
      <c r="L26" t="s">
        <v>15</v>
      </c>
      <c r="R26" s="38">
        <f>C8*12/261+G8*11/261</f>
        <v>13026.819923371648</v>
      </c>
      <c r="S26" s="37"/>
    </row>
    <row r="27" spans="11:23" ht="15.75" thickBot="1" x14ac:dyDescent="0.3">
      <c r="K27" s="39"/>
      <c r="L27" s="40" t="s">
        <v>23</v>
      </c>
      <c r="M27" s="40"/>
      <c r="N27" s="40"/>
      <c r="O27" s="40"/>
      <c r="P27" s="40"/>
      <c r="Q27" s="40"/>
      <c r="R27" s="40"/>
      <c r="S27" s="41"/>
    </row>
  </sheetData>
  <phoneticPr fontId="7" type="noConversion"/>
  <conditionalFormatting sqref="K14:W18">
    <cfRule type="expression" dxfId="1" priority="1">
      <formula>K8&lt;&gt;K14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Salaires détaillés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Jimmy Mc Collough</dc:creator>
  <cp:lastModifiedBy>BSA</cp:lastModifiedBy>
  <dcterms:created xsi:type="dcterms:W3CDTF">2025-03-08T19:31:20Z</dcterms:created>
  <dcterms:modified xsi:type="dcterms:W3CDTF">2025-03-09T04:09:01Z</dcterms:modified>
</cp:coreProperties>
</file>