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B0F5A8A-99A4-4FE3-BBD1-8C69D0AD86E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Exemples" sheetId="49" r:id="rId1"/>
    <sheet name="Blad5" sheetId="56" r:id="rId2"/>
    <sheet name="Solveur" sheetId="48" r:id="rId3"/>
    <sheet name="Séquences" sheetId="47" r:id="rId4"/>
    <sheet name="Résultats Regroupés" sheetId="39" r:id="rId5"/>
    <sheet name="OptiCutter" sheetId="50" r:id="rId6"/>
    <sheet name="Solveur_Opti" sheetId="51" r:id="rId7"/>
  </sheets>
  <functionGroups builtInGroupCount="19"/>
  <externalReferences>
    <externalReference r:id="rId8"/>
  </externalReferences>
  <definedNames>
    <definedName name="_xlnm._FilterDatabase" localSheetId="0" hidden="1">Exemples!$BA$1:$BA$220</definedName>
    <definedName name="_xlnm._FilterDatabase" localSheetId="5" hidden="1">OptiCutter!$R$1:$R$1</definedName>
    <definedName name="_xlnm._FilterDatabase" localSheetId="4" hidden="1">'Résultats Regroupés'!#REF!</definedName>
    <definedName name="_xlnm.Print_Area" localSheetId="5">OptiCutter!$BK$3:$BU$60</definedName>
    <definedName name="CHECK">'Résultats Regroupés'!$N$10</definedName>
    <definedName name="LARG_ROL">Séquences!$U$1</definedName>
    <definedName name="LONG_ROL">Séquences!$W$1</definedName>
    <definedName name="ROL">'Résultats Regroupés'!$N$9</definedName>
    <definedName name="solver_adj" localSheetId="2" hidden="1">Solveur!$O$5:$O$10</definedName>
    <definedName name="solver_adj" localSheetId="6" hidden="1">Solveur_Opti!$T$5:$T$13</definedName>
    <definedName name="Solver_Cell">Solveur!$O$2</definedName>
    <definedName name="solver_cvg" localSheetId="6" hidden="1">0.0001</definedName>
    <definedName name="solver_drv" localSheetId="2" hidden="1">1</definedName>
    <definedName name="solver_drv" localSheetId="6" hidden="1">2</definedName>
    <definedName name="solver_eng" localSheetId="2" hidden="1">3</definedName>
    <definedName name="solver_eng" localSheetId="6" hidden="1">3</definedName>
    <definedName name="solver_est" localSheetId="2" hidden="1">1</definedName>
    <definedName name="solver_est" localSheetId="6" hidden="1">1</definedName>
    <definedName name="solver_itr" localSheetId="2" hidden="1">2147483647</definedName>
    <definedName name="solver_itr" localSheetId="6" hidden="1">2147483647</definedName>
    <definedName name="solver_lhs1" localSheetId="2" hidden="1">Solveur!$O$5:$O$10</definedName>
    <definedName name="solver_lhs1" localSheetId="6" hidden="1">Solveur_Opti!$T$5:$T$13</definedName>
    <definedName name="solver_lhs2" localSheetId="2" hidden="1">Solveur!$Q$1:$V$2</definedName>
    <definedName name="solver_lhs2" localSheetId="6" hidden="1">Solveur_Opti!$T$5:$T$13</definedName>
    <definedName name="solver_lhs3" localSheetId="2" hidden="1">Solveur!$Q$1:$Q$2</definedName>
    <definedName name="solver_lhs3" localSheetId="6" hidden="1">Solveur_Opti!$V$1:$AA$2</definedName>
    <definedName name="solver_lhs4" localSheetId="2" hidden="1">Solveur!#REF!</definedName>
    <definedName name="solver_lhs4" localSheetId="6" hidden="1">Solveur_Opti!#REF!</definedName>
    <definedName name="solver_mip" localSheetId="2" hidden="1">2147483647</definedName>
    <definedName name="solver_mip" localSheetId="6" hidden="1">2147483647</definedName>
    <definedName name="solver_mni" localSheetId="6" hidden="1">30</definedName>
    <definedName name="solver_mrt" localSheetId="6" hidden="1">0.075</definedName>
    <definedName name="solver_msl" localSheetId="2" hidden="1">2</definedName>
    <definedName name="solver_msl" localSheetId="6" hidden="1">2</definedName>
    <definedName name="solver_neg" localSheetId="2" hidden="1">1</definedName>
    <definedName name="solver_neg" localSheetId="6" hidden="1">1</definedName>
    <definedName name="solver_nod" localSheetId="2" hidden="1">2147483647</definedName>
    <definedName name="solver_nod" localSheetId="6" hidden="1">2147483647</definedName>
    <definedName name="solver_num" localSheetId="2" hidden="1">2</definedName>
    <definedName name="solver_num" localSheetId="6" hidden="1">3</definedName>
    <definedName name="solver_nwt" localSheetId="2" hidden="1">1</definedName>
    <definedName name="solver_nwt" localSheetId="6" hidden="1">1</definedName>
    <definedName name="solver_opt" localSheetId="2" hidden="1">Solveur!$O$2</definedName>
    <definedName name="solver_opt" localSheetId="6" hidden="1">Solveur_Opti!$T$2</definedName>
    <definedName name="solver_pre" localSheetId="6" hidden="1">0.000001</definedName>
    <definedName name="solver_rbv" localSheetId="2" hidden="1">2</definedName>
    <definedName name="solver_rbv" localSheetId="6" hidden="1">2</definedName>
    <definedName name="solver_rel1" localSheetId="2" hidden="1">4</definedName>
    <definedName name="solver_rel1" localSheetId="6" hidden="1">1</definedName>
    <definedName name="solver_rel2" localSheetId="2" hidden="1">3</definedName>
    <definedName name="solver_rel2" localSheetId="6" hidden="1">4</definedName>
    <definedName name="solver_rel3" localSheetId="2" hidden="1">3</definedName>
    <definedName name="solver_rel3" localSheetId="6" hidden="1">3</definedName>
    <definedName name="solver_rel4" localSheetId="2" hidden="1">3</definedName>
    <definedName name="solver_rel4" localSheetId="6" hidden="1">3</definedName>
    <definedName name="solver_rhs1" localSheetId="2" hidden="1">"geheeltallig"</definedName>
    <definedName name="solver_rhs1" localSheetId="6" hidden="1">100</definedName>
    <definedName name="solver_rhs2" localSheetId="2" hidden="1">Solveur!$Q$2:$V$3</definedName>
    <definedName name="solver_rhs2" localSheetId="6" hidden="1">"geheeltallig"</definedName>
    <definedName name="solver_rhs3" localSheetId="2" hidden="1">Solveur!$Q$2:$Q$3</definedName>
    <definedName name="solver_rhs3" localSheetId="6" hidden="1">Solveur_Opti!$V$2:$AA$3</definedName>
    <definedName name="solver_rhs4" localSheetId="2" hidden="1">Solveur!#REF!</definedName>
    <definedName name="solver_rhs4" localSheetId="6" hidden="1">Solveur_Opti!#REF!</definedName>
    <definedName name="solver_rlx" localSheetId="2" hidden="1">2</definedName>
    <definedName name="solver_rlx" localSheetId="6" hidden="1">2</definedName>
    <definedName name="solver_rsd" localSheetId="6" hidden="1">0</definedName>
    <definedName name="solver_scl" localSheetId="2" hidden="1">2</definedName>
    <definedName name="solver_scl" localSheetId="6" hidden="1">2</definedName>
    <definedName name="solver_sho" localSheetId="2" hidden="1">2</definedName>
    <definedName name="solver_sho" localSheetId="6" hidden="1">2</definedName>
    <definedName name="solver_ssz" localSheetId="2" hidden="1">0</definedName>
    <definedName name="solver_ssz" localSheetId="6" hidden="1">100</definedName>
    <definedName name="solver_tim" localSheetId="2" hidden="1">2147483647</definedName>
    <definedName name="solver_tim" localSheetId="6" hidden="1">2147483647</definedName>
    <definedName name="solver_tol" localSheetId="2" hidden="1">0.01</definedName>
    <definedName name="solver_tol" localSheetId="6" hidden="1">0.01</definedName>
    <definedName name="solver_typ" localSheetId="2" hidden="1">2</definedName>
    <definedName name="solver_typ" localSheetId="6" hidden="1">2</definedName>
    <definedName name="solver_val" localSheetId="2" hidden="1">0</definedName>
    <definedName name="solver_val" localSheetId="6" hidden="1">0</definedName>
    <definedName name="solver_ver" localSheetId="2" hidden="1">3</definedName>
    <definedName name="solver_ver" localSheetId="6" hidden="1">3</definedName>
    <definedName name="Solveur" localSheetId="0">tbl_Solveur7[Solveur]</definedName>
    <definedName name="Solveur" localSheetId="5">tbl_Solveur7[Solveur]</definedName>
    <definedName name="Solveur" localSheetId="6">tbl_Solveur7[Solveur]</definedName>
    <definedName name="Solveur">tbl_Solveur[Solveur]</definedName>
    <definedName name="Solveur_Serie">Solveur!$Q$4:$V$4</definedName>
    <definedName name="tbl_Couleurs" localSheetId="0">T_Couleurs[Longueur]</definedName>
  </definedNames>
  <calcPr calcId="191029"/>
  <pivotCaches>
    <pivotCache cacheId="25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51" l="1"/>
  <c r="X5" i="51"/>
  <c r="Y5" i="51"/>
  <c r="Z5" i="51"/>
  <c r="AA5" i="51"/>
  <c r="W6" i="51"/>
  <c r="X6" i="51"/>
  <c r="Y6" i="51"/>
  <c r="Z6" i="51"/>
  <c r="AA6" i="51"/>
  <c r="W7" i="51"/>
  <c r="X7" i="51"/>
  <c r="Y7" i="51"/>
  <c r="Z7" i="51"/>
  <c r="AA7" i="51"/>
  <c r="W8" i="51"/>
  <c r="X8" i="51"/>
  <c r="Y8" i="51"/>
  <c r="Z8" i="51"/>
  <c r="AA8" i="51"/>
  <c r="W9" i="51"/>
  <c r="X9" i="51"/>
  <c r="Y9" i="51"/>
  <c r="Z9" i="51"/>
  <c r="AA9" i="51"/>
  <c r="W10" i="51"/>
  <c r="X10" i="51"/>
  <c r="Y10" i="51"/>
  <c r="Z10" i="51"/>
  <c r="AA10" i="51"/>
  <c r="W11" i="51"/>
  <c r="X11" i="51"/>
  <c r="Y11" i="51"/>
  <c r="Z11" i="51"/>
  <c r="AA11" i="51"/>
  <c r="W12" i="51"/>
  <c r="X12" i="51"/>
  <c r="Y12" i="51"/>
  <c r="Z12" i="51"/>
  <c r="AA12" i="51"/>
  <c r="W13" i="51"/>
  <c r="X13" i="51"/>
  <c r="Y13" i="51"/>
  <c r="Z13" i="51"/>
  <c r="AA13" i="51"/>
  <c r="W1" i="51"/>
  <c r="X1" i="51"/>
  <c r="Y1" i="51"/>
  <c r="Z1" i="51"/>
  <c r="AA1" i="51"/>
  <c r="S5" i="51"/>
  <c r="S6" i="51"/>
  <c r="S7" i="51"/>
  <c r="S8" i="51"/>
  <c r="S9" i="51"/>
  <c r="S10" i="51"/>
  <c r="S11" i="51"/>
  <c r="S12" i="51"/>
  <c r="S13" i="51"/>
  <c r="U5" i="51"/>
  <c r="U6" i="51"/>
  <c r="U7" i="51"/>
  <c r="U8" i="51"/>
  <c r="U9" i="51"/>
  <c r="U10" i="51"/>
  <c r="U11" i="51"/>
  <c r="U12" i="51"/>
  <c r="U13" i="51"/>
  <c r="V5" i="51"/>
  <c r="V6" i="51"/>
  <c r="V7" i="51"/>
  <c r="V8" i="51"/>
  <c r="V9" i="51"/>
  <c r="V10" i="51"/>
  <c r="V11" i="51"/>
  <c r="V12" i="51"/>
  <c r="V13" i="51"/>
  <c r="AK7" i="50"/>
  <c r="AK6" i="50"/>
  <c r="AK9" i="50"/>
  <c r="AK10" i="50"/>
  <c r="AK11" i="50"/>
  <c r="AK3" i="50"/>
  <c r="AK4" i="50"/>
  <c r="AK5" i="50"/>
  <c r="AK8" i="50"/>
  <c r="M3" i="50"/>
  <c r="M4" i="50"/>
  <c r="M5" i="50"/>
  <c r="M6" i="50"/>
  <c r="M7" i="50"/>
  <c r="M8" i="50"/>
  <c r="M9" i="50"/>
  <c r="M10" i="50"/>
  <c r="M11" i="50"/>
  <c r="M12" i="50"/>
  <c r="N3" i="50"/>
  <c r="N4" i="50"/>
  <c r="N5" i="50"/>
  <c r="N6" i="50"/>
  <c r="N7" i="50"/>
  <c r="N8" i="50"/>
  <c r="N9" i="50"/>
  <c r="N10" i="50"/>
  <c r="N11" i="50"/>
  <c r="N12" i="50"/>
  <c r="R5" i="48"/>
  <c r="S5" i="48"/>
  <c r="T5" i="48"/>
  <c r="U5" i="48"/>
  <c r="V5" i="48"/>
  <c r="R6" i="48"/>
  <c r="S6" i="48"/>
  <c r="T6" i="48"/>
  <c r="U6" i="48"/>
  <c r="V6" i="48"/>
  <c r="R7" i="48"/>
  <c r="S7" i="48"/>
  <c r="T7" i="48"/>
  <c r="U7" i="48"/>
  <c r="V7" i="48"/>
  <c r="R8" i="48"/>
  <c r="S8" i="48"/>
  <c r="T8" i="48"/>
  <c r="U8" i="48"/>
  <c r="V8" i="48"/>
  <c r="R9" i="48"/>
  <c r="S9" i="48"/>
  <c r="T9" i="48"/>
  <c r="U9" i="48"/>
  <c r="V9" i="48"/>
  <c r="R10" i="48"/>
  <c r="S10" i="48"/>
  <c r="T10" i="48"/>
  <c r="U10" i="48"/>
  <c r="V10" i="48"/>
  <c r="R1" i="48"/>
  <c r="S1" i="48"/>
  <c r="T1" i="48"/>
  <c r="U1" i="48"/>
  <c r="V1" i="48"/>
  <c r="N5" i="48"/>
  <c r="N6" i="48"/>
  <c r="N7" i="48"/>
  <c r="N8" i="48"/>
  <c r="N9" i="48"/>
  <c r="N10" i="48"/>
  <c r="P5" i="48"/>
  <c r="P6" i="48"/>
  <c r="P7" i="48"/>
  <c r="P8" i="48"/>
  <c r="P9" i="48"/>
  <c r="P10" i="48"/>
  <c r="Q5" i="48"/>
  <c r="Q6" i="48"/>
  <c r="Q7" i="48"/>
  <c r="Q8" i="48"/>
  <c r="Q9" i="48"/>
  <c r="Q10" i="48"/>
  <c r="AU214" i="49"/>
  <c r="AR208" i="49"/>
  <c r="AQ208" i="49"/>
  <c r="AP208" i="49"/>
  <c r="AB207" i="49"/>
  <c r="AB206" i="49"/>
  <c r="AB205" i="49"/>
  <c r="AB204" i="49"/>
  <c r="AB203" i="49"/>
  <c r="AB202" i="49"/>
  <c r="AW201" i="49"/>
  <c r="AU201" i="49"/>
  <c r="R8" i="47"/>
  <c r="Q8" i="47"/>
  <c r="P8" i="47"/>
  <c r="B7" i="47"/>
  <c r="B6" i="47"/>
  <c r="B5" i="47"/>
  <c r="B4" i="47"/>
  <c r="B3" i="47"/>
  <c r="B2" i="47"/>
  <c r="K3" i="39"/>
  <c r="K4" i="39"/>
  <c r="K5" i="39"/>
  <c r="K6" i="39"/>
  <c r="K7" i="39"/>
  <c r="K2" i="39"/>
  <c r="O10" i="39"/>
  <c r="N9" i="39"/>
  <c r="AU194" i="49"/>
  <c r="AR186" i="49"/>
  <c r="AQ186" i="49"/>
  <c r="AP186" i="49"/>
  <c r="AB185" i="49"/>
  <c r="AB184" i="49"/>
  <c r="AB183" i="49"/>
  <c r="AB182" i="49"/>
  <c r="AW181" i="49"/>
  <c r="AU181" i="49"/>
  <c r="AU174" i="49"/>
  <c r="AR165" i="49"/>
  <c r="AQ165" i="49"/>
  <c r="AP165" i="49"/>
  <c r="AB164" i="49"/>
  <c r="AB163" i="49"/>
  <c r="AB162" i="49"/>
  <c r="AW161" i="49"/>
  <c r="AU161" i="49"/>
  <c r="AU154" i="49"/>
  <c r="AR148" i="49"/>
  <c r="AQ148" i="49"/>
  <c r="AP148" i="49"/>
  <c r="AB147" i="49"/>
  <c r="AB146" i="49"/>
  <c r="AB145" i="49"/>
  <c r="AB144" i="49"/>
  <c r="AB143" i="49"/>
  <c r="AB142" i="49"/>
  <c r="AW141" i="49"/>
  <c r="AU141" i="49"/>
  <c r="AU134" i="49"/>
  <c r="AR132" i="49"/>
  <c r="AQ132" i="49"/>
  <c r="AP132" i="49"/>
  <c r="AB131" i="49"/>
  <c r="AB130" i="49"/>
  <c r="AB129" i="49"/>
  <c r="AB128" i="49"/>
  <c r="AB127" i="49"/>
  <c r="AB126" i="49"/>
  <c r="AB125" i="49"/>
  <c r="AB124" i="49"/>
  <c r="AB123" i="49"/>
  <c r="AB122" i="49"/>
  <c r="AW121" i="49"/>
  <c r="AU121" i="49"/>
  <c r="D3" i="51"/>
  <c r="E3" i="51"/>
  <c r="AU114" i="49"/>
  <c r="AR110" i="49"/>
  <c r="AQ110" i="49"/>
  <c r="AP110" i="49"/>
  <c r="AB109" i="49"/>
  <c r="AB108" i="49"/>
  <c r="AB107" i="49"/>
  <c r="AB106" i="49"/>
  <c r="AB105" i="49"/>
  <c r="AB104" i="49"/>
  <c r="AB103" i="49"/>
  <c r="AB102" i="49"/>
  <c r="AW101" i="49"/>
  <c r="AU101" i="49"/>
  <c r="AA2" i="51" l="1"/>
  <c r="Y2" i="51"/>
  <c r="W2" i="51"/>
  <c r="X2" i="51"/>
  <c r="Z2" i="51"/>
  <c r="O12" i="50"/>
  <c r="O6" i="50"/>
  <c r="O3" i="50"/>
  <c r="O10" i="50"/>
  <c r="O8" i="50"/>
  <c r="O9" i="50"/>
  <c r="O5" i="50"/>
  <c r="O4" i="50"/>
  <c r="O11" i="50"/>
  <c r="O7" i="50"/>
  <c r="R2" i="48"/>
  <c r="V2" i="48"/>
  <c r="S2" i="48"/>
  <c r="T2" i="48"/>
  <c r="U2" i="48"/>
  <c r="J188" i="49" l="1"/>
  <c r="J187" i="49"/>
  <c r="J186" i="49"/>
  <c r="J185" i="49"/>
  <c r="J184" i="49"/>
  <c r="J183" i="49"/>
  <c r="J165" i="49"/>
  <c r="J164" i="49"/>
  <c r="J163" i="49"/>
  <c r="J151" i="49"/>
  <c r="J150" i="49"/>
  <c r="J149" i="49"/>
  <c r="J148" i="49"/>
  <c r="J147" i="49"/>
  <c r="J146" i="49"/>
  <c r="J145" i="49"/>
  <c r="J144" i="49"/>
  <c r="J143" i="49"/>
  <c r="J131" i="49"/>
  <c r="J130" i="49"/>
  <c r="J129" i="49"/>
  <c r="J128" i="49"/>
  <c r="J127" i="49"/>
  <c r="J126" i="49"/>
  <c r="J125" i="49"/>
  <c r="J124" i="49"/>
  <c r="J123" i="49"/>
  <c r="J110" i="49"/>
  <c r="J109" i="49"/>
  <c r="J108" i="49"/>
  <c r="J107" i="49"/>
  <c r="J106" i="49"/>
  <c r="J105" i="49"/>
  <c r="J104" i="49"/>
  <c r="J103" i="49"/>
  <c r="R1" i="51" l="1"/>
  <c r="U1" i="51"/>
  <c r="V1" i="51"/>
  <c r="T3" i="51"/>
  <c r="H1" i="50"/>
  <c r="I1" i="50"/>
  <c r="J1" i="50"/>
  <c r="S1" i="50"/>
  <c r="T1" i="50"/>
  <c r="X1" i="50"/>
  <c r="G50" i="49"/>
  <c r="U14" i="47"/>
  <c r="N2" i="48"/>
  <c r="Q1" i="48"/>
  <c r="O3" i="48"/>
  <c r="P1" i="48"/>
  <c r="E1" i="51" l="1"/>
  <c r="Y1" i="50"/>
  <c r="U3" i="51"/>
  <c r="R1" i="50"/>
  <c r="S1" i="51"/>
  <c r="V1" i="50"/>
  <c r="S3" i="51"/>
  <c r="AK1" i="50"/>
  <c r="M1" i="50"/>
  <c r="D2" i="51" s="1"/>
  <c r="D1" i="51" s="1"/>
  <c r="V2" i="51"/>
  <c r="S2" i="51"/>
  <c r="N3" i="48"/>
  <c r="Q2" i="48"/>
  <c r="P3" i="48"/>
  <c r="O2" i="48" s="1"/>
  <c r="G1" i="51" l="1"/>
  <c r="T2" i="51"/>
  <c r="P39" i="47"/>
  <c r="B38" i="47"/>
  <c r="Q38" i="47" s="1"/>
  <c r="B37" i="47"/>
  <c r="Q37" i="47" s="1"/>
  <c r="B36" i="47"/>
  <c r="Q36" i="47" s="1"/>
  <c r="B35" i="47"/>
  <c r="Q35" i="47" s="1"/>
  <c r="B34" i="47"/>
  <c r="Q34" i="47" s="1"/>
  <c r="B33" i="47"/>
  <c r="Q33" i="47" s="1"/>
  <c r="B32" i="47"/>
  <c r="Q32" i="47" s="1"/>
  <c r="B31" i="47"/>
  <c r="Q31" i="47" s="1"/>
  <c r="Q39" i="47" l="1"/>
  <c r="U1" i="47"/>
  <c r="R37" i="47" l="1"/>
  <c r="O37" i="47" s="1"/>
  <c r="R36" i="47"/>
  <c r="O36" i="47" s="1"/>
  <c r="R33" i="47"/>
  <c r="O33" i="47" s="1"/>
  <c r="R31" i="47"/>
  <c r="R38" i="47"/>
  <c r="O38" i="47" s="1"/>
  <c r="R35" i="47"/>
  <c r="O35" i="47" s="1"/>
  <c r="R34" i="47"/>
  <c r="O34" i="47" s="1"/>
  <c r="R32" i="47"/>
  <c r="O32" i="47" s="1"/>
  <c r="W1" i="47"/>
  <c r="R39" i="47" l="1"/>
  <c r="O31" i="47"/>
  <c r="O39" i="47" l="1"/>
  <c r="O40" i="47" s="1"/>
  <c r="R40" i="47"/>
  <c r="R41" i="47" s="1"/>
  <c r="AL3" i="50"/>
  <c r="AL4" i="50" s="1"/>
  <c r="AL5" i="50" s="1"/>
  <c r="AL6" i="50" l="1"/>
  <c r="AL7" i="50" s="1"/>
  <c r="AL8" i="50" s="1"/>
  <c r="AL9" i="50" s="1"/>
  <c r="AL10" i="50" s="1"/>
  <c r="AL11" i="50" s="1"/>
  <c r="AL1" i="50" l="1"/>
</calcChain>
</file>

<file path=xl/sharedStrings.xml><?xml version="1.0" encoding="utf-8"?>
<sst xmlns="http://schemas.openxmlformats.org/spreadsheetml/2006/main" count="1794" uniqueCount="320">
  <si>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</si>
  <si>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</si>
  <si>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</si>
  <si>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</si>
  <si>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</si>
  <si>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</si>
  <si>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</si>
  <si>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</si>
  <si>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</si>
  <si>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Date Demandée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</si>
  <si>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</si>
  <si>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</si>
  <si>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</si>
  <si>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</si>
  <si>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</si>
  <si>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</si>
  <si>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</si>
  <si>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</si>
  <si>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</si>
  <si>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</si>
  <si>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</si>
  <si>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</si>
  <si>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Métrage Demandé</t>
  </si>
  <si>
    <t>STATS</t>
  </si>
  <si>
    <t>m² MAX</t>
  </si>
  <si>
    <t>m² SEQ</t>
  </si>
  <si>
    <t>R.</t>
  </si>
  <si>
    <t>Longueur</t>
  </si>
  <si>
    <t>76,0x5,0</t>
  </si>
  <si>
    <t>SEQ 2</t>
  </si>
  <si>
    <t>SEQ 3</t>
  </si>
  <si>
    <t>SEQ 4</t>
  </si>
  <si>
    <t>SEQ 5</t>
  </si>
  <si>
    <t>SEQ 6</t>
  </si>
  <si>
    <t>SEQ 7</t>
  </si>
  <si>
    <t>SEQ 8</t>
  </si>
  <si>
    <t>Perdus</t>
  </si>
  <si>
    <t>-</t>
  </si>
  <si>
    <t>98,89%</t>
  </si>
  <si>
    <t>SEQ 9</t>
  </si>
  <si>
    <t>SEQ 10</t>
  </si>
  <si>
    <t>Équivalent/rouleaux</t>
  </si>
  <si>
    <t>7,19</t>
  </si>
  <si>
    <t>Calc. M</t>
  </si>
  <si>
    <t>Solveur</t>
  </si>
  <si>
    <t>utilisé</t>
  </si>
  <si>
    <t>Nbr</t>
  </si>
  <si>
    <t>V5-10</t>
  </si>
  <si>
    <t>Mettrage Demandé</t>
  </si>
  <si>
    <t>V2-6</t>
  </si>
  <si>
    <t>154,0x10,0</t>
  </si>
  <si>
    <t>V2-4</t>
  </si>
  <si>
    <t>V2-5</t>
  </si>
  <si>
    <t>Created by www.opticutter.com</t>
  </si>
  <si>
    <t/>
  </si>
  <si>
    <t>Label</t>
  </si>
  <si>
    <t>Y</t>
  </si>
  <si>
    <t>X</t>
  </si>
  <si>
    <t>Panel width</t>
  </si>
  <si>
    <t>Panel length</t>
  </si>
  <si>
    <t>v</t>
  </si>
  <si>
    <t>Grain direction</t>
  </si>
  <si>
    <t>Width</t>
  </si>
  <si>
    <t>Length</t>
  </si>
  <si>
    <t>Repetition</t>
  </si>
  <si>
    <t>Layout ID</t>
  </si>
  <si>
    <t>S</t>
  </si>
  <si>
    <t>P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</si>
  <si>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</si>
  <si>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</si>
  <si>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</si>
  <si>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</si>
  <si>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</si>
  <si>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</si>
  <si>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</si>
  <si>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</si>
  <si>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</si>
  <si>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</si>
  <si>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</si>
  <si>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</si>
  <si>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Eindtotaal</t>
  </si>
  <si>
    <t>A</t>
  </si>
  <si>
    <t>Cutting layouts</t>
  </si>
  <si>
    <t>Vers OptiCutter</t>
  </si>
  <si>
    <t>Total</t>
  </si>
  <si>
    <t>Quantity</t>
  </si>
  <si>
    <t>Totaal</t>
  </si>
  <si>
    <t>Largeurs</t>
  </si>
  <si>
    <t>Coupe</t>
  </si>
  <si>
    <t>Required stocks</t>
  </si>
  <si>
    <t>Aantal van Largeurs</t>
  </si>
  <si>
    <t>Destination</t>
  </si>
  <si>
    <t>Siceaux</t>
  </si>
  <si>
    <t>L10</t>
  </si>
  <si>
    <t>L9</t>
  </si>
  <si>
    <t>L8</t>
  </si>
  <si>
    <t>L7</t>
  </si>
  <si>
    <t>L6</t>
  </si>
  <si>
    <t>L5</t>
  </si>
  <si>
    <t>L4</t>
  </si>
  <si>
    <t>L3</t>
  </si>
  <si>
    <t>L2</t>
  </si>
  <si>
    <t>L1</t>
  </si>
  <si>
    <t>Rendement</t>
  </si>
  <si>
    <t>Largeur utile</t>
  </si>
  <si>
    <t>Nombre</t>
  </si>
  <si>
    <t>Layout</t>
  </si>
  <si>
    <t>rank</t>
  </si>
  <si>
    <t>alea</t>
  </si>
  <si>
    <t>surface</t>
  </si>
  <si>
    <t>Etiquette</t>
  </si>
  <si>
    <t>Grain</t>
  </si>
  <si>
    <t>Quantité</t>
  </si>
  <si>
    <t>@</t>
  </si>
  <si>
    <t>nombre2</t>
  </si>
  <si>
    <t>76,0x12,0</t>
  </si>
  <si>
    <t>81,74%</t>
  </si>
  <si>
    <t>80,65%</t>
  </si>
  <si>
    <t>79,57%</t>
  </si>
  <si>
    <t>77,39%</t>
  </si>
  <si>
    <t>71,09%</t>
  </si>
  <si>
    <t>47,61%</t>
  </si>
  <si>
    <t>24,35%</t>
  </si>
  <si>
    <t>55,56%</t>
  </si>
  <si>
    <t>44,44%</t>
  </si>
  <si>
    <t>19,11</t>
  </si>
  <si>
    <t>127</t>
  </si>
  <si>
    <t>122</t>
  </si>
  <si>
    <t>112</t>
  </si>
  <si>
    <t>108</t>
  </si>
  <si>
    <t>107</t>
  </si>
  <si>
    <t>85,78%</t>
  </si>
  <si>
    <t>96,67%</t>
  </si>
  <si>
    <t>98,00%</t>
  </si>
  <si>
    <t>86,89%</t>
  </si>
  <si>
    <t>82,00%</t>
  </si>
  <si>
    <t>77,78%</t>
  </si>
  <si>
    <t>56,67%</t>
  </si>
  <si>
    <t>28,89%</t>
  </si>
  <si>
    <t>68,41%</t>
  </si>
  <si>
    <t>31,59%</t>
  </si>
  <si>
    <t>36,64</t>
  </si>
  <si>
    <t>250</t>
  </si>
  <si>
    <t>225</t>
  </si>
  <si>
    <t>210</t>
  </si>
  <si>
    <t>195</t>
  </si>
  <si>
    <t>136</t>
  </si>
  <si>
    <t>130</t>
  </si>
  <si>
    <t>125</t>
  </si>
  <si>
    <t>114</t>
  </si>
  <si>
    <t>95</t>
  </si>
  <si>
    <t>116 Rouleaux et 5 Coupes</t>
  </si>
  <si>
    <t>37 Rouleaux et 5 Coupes</t>
  </si>
  <si>
    <t>N</t>
  </si>
  <si>
    <t xml:space="preserve"> 0.122 0.122 0.108 0.107</t>
  </si>
  <si>
    <t xml:space="preserve">  122  244  352  459</t>
  </si>
  <si>
    <t xml:space="preserve"> 0.127 0.112 0.112 0.108</t>
  </si>
  <si>
    <t xml:space="preserve">  127  239  351  459</t>
  </si>
  <si>
    <t xml:space="preserve"> 0.122 0.112 0.112 0.112</t>
  </si>
  <si>
    <t xml:space="preserve">  122  234  346  458</t>
  </si>
  <si>
    <t xml:space="preserve"> 0.122 0.122 0.107 0.107</t>
  </si>
  <si>
    <t xml:space="preserve">  122  244  351  458</t>
  </si>
  <si>
    <t xml:space="preserve"> 0.127 0.112 0.112 0.107</t>
  </si>
  <si>
    <t xml:space="preserve">  127  239  351  458</t>
  </si>
  <si>
    <t xml:space="preserve"> 0.122 0.112 0.112 0.107</t>
  </si>
  <si>
    <t xml:space="preserve">  122  234  346  453</t>
  </si>
  <si>
    <t xml:space="preserve"> 0.122 0.112 0.108 0.107</t>
  </si>
  <si>
    <t xml:space="preserve">  122  234  342  449</t>
  </si>
  <si>
    <t xml:space="preserve"> 0.127 0.122 0.122</t>
  </si>
  <si>
    <t xml:space="preserve">  127  249  371</t>
  </si>
  <si>
    <t xml:space="preserve"> 0.122 0.122 0.122</t>
  </si>
  <si>
    <t xml:space="preserve">  122  244  366</t>
  </si>
  <si>
    <t xml:space="preserve"> 0.122 0.122 0.112</t>
  </si>
  <si>
    <t xml:space="preserve">  122  244  356</t>
  </si>
  <si>
    <t xml:space="preserve"> 0.112 0.112</t>
  </si>
  <si>
    <t xml:space="preserve">  112  224</t>
  </si>
  <si>
    <t>26 Rouleaux et 14 coupes</t>
  </si>
  <si>
    <t>26 Rouleaux et 4 Coupes (91,3%)</t>
  </si>
  <si>
    <t>Solution Curulis</t>
  </si>
  <si>
    <t>Solution Curulis après Solveur</t>
  </si>
  <si>
    <t>Solution Opticutter</t>
  </si>
  <si>
    <t>Solution Opticutter après Solveur</t>
  </si>
  <si>
    <t xml:space="preserve"> 0.225 0.225</t>
  </si>
  <si>
    <t xml:space="preserve">  225  450</t>
  </si>
  <si>
    <t xml:space="preserve"> 0.250 0.195</t>
  </si>
  <si>
    <t xml:space="preserve">  250  445</t>
  </si>
  <si>
    <t xml:space="preserve"> 0.210 0.136 0.095</t>
  </si>
  <si>
    <t xml:space="preserve">  210  346  441</t>
  </si>
  <si>
    <t xml:space="preserve"> 0.114 0.114 0.114 0.095</t>
  </si>
  <si>
    <t xml:space="preserve">  114  228  342  437</t>
  </si>
  <si>
    <t xml:space="preserve"> 0.210 0.210</t>
  </si>
  <si>
    <t xml:space="preserve">  210  420</t>
  </si>
  <si>
    <t xml:space="preserve"> 0.136 0.136 0.136</t>
  </si>
  <si>
    <t xml:space="preserve">  136  272  408</t>
  </si>
  <si>
    <t xml:space="preserve"> 0.136 0.136 0.130</t>
  </si>
  <si>
    <t xml:space="preserve">  136  272  402</t>
  </si>
  <si>
    <t xml:space="preserve"> 0.130 0.130 0.130</t>
  </si>
  <si>
    <t xml:space="preserve">  130  260  390</t>
  </si>
  <si>
    <t xml:space="preserve"> 0.250 0.136</t>
  </si>
  <si>
    <t xml:space="preserve">  250  386</t>
  </si>
  <si>
    <t xml:space="preserve"> 0.095 0.095 0.095 0.095</t>
  </si>
  <si>
    <t xml:space="preserve">  95  190  285  380</t>
  </si>
  <si>
    <t xml:space="preserve"> 0.125 0.125 0.125</t>
  </si>
  <si>
    <t xml:space="preserve">  125  250  375</t>
  </si>
  <si>
    <t xml:space="preserve"> 0.095 0.095 0.130</t>
  </si>
  <si>
    <t xml:space="preserve">  95  190  320</t>
  </si>
  <si>
    <t>89 Rouleaux et 13 coupes</t>
  </si>
  <si>
    <t>89 Rouleaux et 9 Coupes (88,8%)</t>
  </si>
  <si>
    <t>95,56%</t>
  </si>
  <si>
    <t>93,33%</t>
  </si>
  <si>
    <t>87,78%</t>
  </si>
  <si>
    <t>69,33%</t>
  </si>
  <si>
    <t>38,22%</t>
  </si>
  <si>
    <t>17,11%</t>
  </si>
  <si>
    <t>44,13%</t>
  </si>
  <si>
    <t>55,87%</t>
  </si>
  <si>
    <t>69,28</t>
  </si>
  <si>
    <t>160</t>
  </si>
  <si>
    <t>140</t>
  </si>
  <si>
    <t>120</t>
  </si>
  <si>
    <t>77</t>
  </si>
  <si>
    <t>124 Rouleaux et 6 Coupes</t>
  </si>
  <si>
    <t xml:space="preserve"> 0.160 0.160 0.130</t>
  </si>
  <si>
    <t xml:space="preserve">  160  320  450</t>
  </si>
  <si>
    <t xml:space="preserve"> 0.160 0.160 0.120</t>
  </si>
  <si>
    <t xml:space="preserve">  160  320  440</t>
  </si>
  <si>
    <t xml:space="preserve"> 0.140 0.140 0.140</t>
  </si>
  <si>
    <t xml:space="preserve">  140  280  420</t>
  </si>
  <si>
    <t xml:space="preserve"> 0.160 0.160 0.095</t>
  </si>
  <si>
    <t xml:space="preserve">  160  320  415</t>
  </si>
  <si>
    <t xml:space="preserve"> 0.095 0.077 0.077 0.077 0.077</t>
  </si>
  <si>
    <t xml:space="preserve">  95  172  249  326  403</t>
  </si>
  <si>
    <t xml:space="preserve"> 0.077 0.077 0.077 0.077 0.077</t>
  </si>
  <si>
    <t xml:space="preserve">  77  154  231  308  385</t>
  </si>
  <si>
    <t xml:space="preserve"> 0.077 0.077 0.077</t>
  </si>
  <si>
    <t xml:space="preserve">  77  154  231</t>
  </si>
  <si>
    <t>61 Rouleaux et 8 coupes</t>
  </si>
  <si>
    <t>60 Rouleaux et 6 Coupes (90,9%)</t>
  </si>
  <si>
    <t>79,13%</t>
  </si>
  <si>
    <t>51,52%</t>
  </si>
  <si>
    <t>25,00%</t>
  </si>
  <si>
    <t>29,90%</t>
  </si>
  <si>
    <t>70,10%</t>
  </si>
  <si>
    <t>38,55</t>
  </si>
  <si>
    <t>115</t>
  </si>
  <si>
    <t>55 Rouleaux et 3 Coupes</t>
  </si>
  <si>
    <t xml:space="preserve"> 0.115 0.115 0.115 0.115</t>
  </si>
  <si>
    <t xml:space="preserve">  115  230  345  460</t>
  </si>
  <si>
    <t xml:space="preserve"> 0.127 0.127 0.127</t>
  </si>
  <si>
    <t xml:space="preserve">  127  254  381</t>
  </si>
  <si>
    <t xml:space="preserve"> 0.122 0.115 0.115</t>
  </si>
  <si>
    <t xml:space="preserve">  122  237  352</t>
  </si>
  <si>
    <t xml:space="preserve"> 0.115</t>
  </si>
  <si>
    <t xml:space="preserve">  115</t>
  </si>
  <si>
    <t>18 Rouleaux et 6 coupes</t>
  </si>
  <si>
    <t>18 Rouleaux et 3 Coupes (90,0%)</t>
  </si>
  <si>
    <t>85,56%</t>
  </si>
  <si>
    <t>75,56%</t>
  </si>
  <si>
    <t>73,33%</t>
  </si>
  <si>
    <t>33,33%</t>
  </si>
  <si>
    <t>69,91%</t>
  </si>
  <si>
    <t>30,09%</t>
  </si>
  <si>
    <t>19,56</t>
  </si>
  <si>
    <t>205</t>
  </si>
  <si>
    <t>180</t>
  </si>
  <si>
    <t>150</t>
  </si>
  <si>
    <t>65 Rouleaux et 4 Coupes</t>
  </si>
  <si>
    <t xml:space="preserve"> 0.150 0.150 0.150</t>
  </si>
  <si>
    <t xml:space="preserve">  150  300  450</t>
  </si>
  <si>
    <t xml:space="preserve"> 0.205 0.205</t>
  </si>
  <si>
    <t xml:space="preserve">  205  410</t>
  </si>
  <si>
    <t xml:space="preserve"> 0.205 0.180</t>
  </si>
  <si>
    <t xml:space="preserve">  205  385</t>
  </si>
  <si>
    <t xml:space="preserve"> 0.180 0.180</t>
  </si>
  <si>
    <t xml:space="preserve">  180  360</t>
  </si>
  <si>
    <t xml:space="preserve"> 0.180 0.160</t>
  </si>
  <si>
    <t xml:space="preserve">  180  340</t>
  </si>
  <si>
    <t xml:space="preserve"> 0.160 0.180</t>
  </si>
  <si>
    <t xml:space="preserve">  160  340</t>
  </si>
  <si>
    <t>52 Rouleaux et 7 coupes</t>
  </si>
  <si>
    <t>52 Rouleaux et 4 Coupes (86,7%)</t>
  </si>
  <si>
    <t>78,52%</t>
  </si>
  <si>
    <t>76,67%</t>
  </si>
  <si>
    <t>75,74%</t>
  </si>
  <si>
    <t>73,15%</t>
  </si>
  <si>
    <t>60,19%</t>
  </si>
  <si>
    <t>28,70%</t>
  </si>
  <si>
    <t>69,87%</t>
  </si>
  <si>
    <t>30,13%</t>
  </si>
  <si>
    <t>13,56</t>
  </si>
  <si>
    <t>199</t>
  </si>
  <si>
    <t>189</t>
  </si>
  <si>
    <t>184</t>
  </si>
  <si>
    <t>170</t>
  </si>
  <si>
    <t>155</t>
  </si>
  <si>
    <t>45 Rouleaux et 6 Coupes</t>
  </si>
  <si>
    <t>149770</t>
  </si>
  <si>
    <t>139853</t>
  </si>
  <si>
    <t>139854</t>
  </si>
  <si>
    <t>139852</t>
  </si>
  <si>
    <t>139855</t>
  </si>
  <si>
    <t>145088</t>
  </si>
  <si>
    <t xml:space="preserve"> 0.184 0.184 0.170</t>
  </si>
  <si>
    <t xml:space="preserve">  184  368  538</t>
  </si>
  <si>
    <t xml:space="preserve"> 0.189 0.189 0.155</t>
  </si>
  <si>
    <t xml:space="preserve">  189  378  533</t>
  </si>
  <si>
    <t xml:space="preserve"> 0.170 0.170 0.170</t>
  </si>
  <si>
    <t xml:space="preserve">  170  340  510</t>
  </si>
  <si>
    <t xml:space="preserve"> 0.170 0.155 0.155</t>
  </si>
  <si>
    <t xml:space="preserve">  170  325  480</t>
  </si>
  <si>
    <t xml:space="preserve"> 0.155 0.155 0.155</t>
  </si>
  <si>
    <t xml:space="preserve">  155  310  465</t>
  </si>
  <si>
    <t xml:space="preserve"> 0.225 0.199</t>
  </si>
  <si>
    <t xml:space="preserve">  225  424</t>
  </si>
  <si>
    <t xml:space="preserve"> 0.199 0.189</t>
  </si>
  <si>
    <t xml:space="preserve">  199  388</t>
  </si>
  <si>
    <t xml:space="preserve"> 0.170 0.225 0.155 0.199</t>
  </si>
  <si>
    <t xml:space="preserve">  170  395  550  749</t>
  </si>
  <si>
    <t>35 Rouleaux et 9 coupes</t>
  </si>
  <si>
    <t>34 Rouleaux et 6 Coupes (89,9%)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</si>
</sst>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0.00\ %"/>
    <numFmt numFmtId="165" formatCode="0;;"/>
    <numFmt numFmtId="166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979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E2"/>
        <bgColor indexed="64"/>
      </patternFill>
    </fill>
    <fill>
      <patternFill patternType="solid">
        <fgColor rgb="FF00E9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8CB9"/>
        <bgColor indexed="64"/>
      </patternFill>
    </fill>
    <fill>
      <patternFill patternType="solid">
        <fgColor rgb="FF96A5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82"/>
        <bgColor indexed="64"/>
      </patternFill>
    </fill>
    <fill>
      <patternFill patternType="solid">
        <fgColor rgb="FFFAF032"/>
        <bgColor indexed="64"/>
      </patternFill>
    </fill>
    <fill>
      <patternFill patternType="solid">
        <fgColor rgb="FFFFD23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2323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28DC1E"/>
        <bgColor indexed="64"/>
      </patternFill>
    </fill>
    <fill>
      <patternFill patternType="solid">
        <fgColor rgb="FF64F064"/>
        <bgColor indexed="64"/>
      </patternFill>
    </fill>
    <fill>
      <patternFill patternType="solid">
        <fgColor rgb="FF8CFF8C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2969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C9C9C9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9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7" xfId="0" applyFill="1" applyBorder="1" applyAlignment="1">
      <alignment horizontal="right" vertical="center"/>
    </xf>
    <xf numFmtId="0" fontId="0" fillId="12" borderId="11" xfId="0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2" fontId="0" fillId="0" borderId="0" xfId="0" applyNumberFormat="1"/>
    <xf numFmtId="164" fontId="0" fillId="3" borderId="7" xfId="0" applyNumberFormat="1" applyFill="1" applyBorder="1" applyAlignment="1">
      <alignment vertical="center"/>
    </xf>
    <xf numFmtId="164" fontId="0" fillId="0" borderId="0" xfId="0" applyNumberFormat="1"/>
    <xf numFmtId="0" fontId="6" fillId="0" borderId="0" xfId="0" applyFont="1"/>
    <xf numFmtId="164" fontId="0" fillId="0" borderId="8" xfId="0" applyNumberFormat="1" applyBorder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164" fontId="0" fillId="3" borderId="7" xfId="0" applyNumberFormat="1" applyFill="1" applyBorder="1" applyAlignment="1">
      <alignment horizontal="center" vertical="center"/>
    </xf>
    <xf numFmtId="0" fontId="0" fillId="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165" fontId="0" fillId="0" borderId="13" xfId="0" applyNumberFormat="1" applyBorder="1" applyAlignment="1">
      <alignment horizontal="center"/>
    </xf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15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7" fillId="0" borderId="15" xfId="0" applyNumberFormat="1" applyFont="1" applyBorder="1" applyAlignment="1">
      <alignment horizontal="center"/>
    </xf>
    <xf numFmtId="165" fontId="7" fillId="0" borderId="1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165" fontId="8" fillId="0" borderId="15" xfId="0" applyNumberFormat="1" applyFont="1" applyBorder="1" applyAlignment="1">
      <alignment horizontal="center"/>
    </xf>
    <xf numFmtId="165" fontId="7" fillId="33" borderId="15" xfId="0" quotePrefix="1" applyNumberFormat="1" applyFont="1" applyFill="1" applyBorder="1" applyAlignment="1">
      <alignment horizontal="center"/>
    </xf>
    <xf numFmtId="165" fontId="7" fillId="33" borderId="15" xfId="0" applyNumberFormat="1" applyFont="1" applyFill="1" applyBorder="1" applyAlignment="1">
      <alignment horizontal="center"/>
    </xf>
    <xf numFmtId="0" fontId="11" fillId="0" borderId="0" xfId="0" applyFont="1"/>
    <xf numFmtId="0" fontId="0" fillId="33" borderId="0" xfId="0" applyFill="1"/>
    <xf numFmtId="0" fontId="12" fillId="0" borderId="0" xfId="0" applyFont="1" applyAlignment="1">
      <alignment horizontal="left"/>
    </xf>
    <xf numFmtId="166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13" fillId="0" borderId="17" xfId="0" applyFont="1" applyBorder="1"/>
    <xf numFmtId="0" fontId="13" fillId="0" borderId="18" xfId="0" applyFont="1" applyBorder="1"/>
    <xf numFmtId="0" fontId="13" fillId="0" borderId="19" xfId="0" applyFont="1" applyBorder="1"/>
    <xf numFmtId="0" fontId="13" fillId="0" borderId="20" xfId="0" applyFont="1" applyBorder="1"/>
    <xf numFmtId="0" fontId="13" fillId="0" borderId="7" xfId="0" applyFont="1" applyBorder="1"/>
    <xf numFmtId="0" fontId="13" fillId="0" borderId="21" xfId="0" applyFont="1" applyBorder="1"/>
    <xf numFmtId="0" fontId="4" fillId="0" borderId="20" xfId="0" applyFont="1" applyBorder="1"/>
    <xf numFmtId="0" fontId="4" fillId="0" borderId="7" xfId="0" applyFont="1" applyBorder="1"/>
    <xf numFmtId="0" fontId="4" fillId="0" borderId="21" xfId="0" applyFont="1" applyBorder="1"/>
    <xf numFmtId="0" fontId="7" fillId="0" borderId="20" xfId="0" applyFont="1" applyBorder="1"/>
    <xf numFmtId="0" fontId="7" fillId="0" borderId="7" xfId="0" applyFont="1" applyBorder="1"/>
    <xf numFmtId="0" fontId="7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5" fillId="0" borderId="25" xfId="0" quotePrefix="1" applyFont="1" applyBorder="1" applyAlignment="1">
      <alignment horizontal="left"/>
    </xf>
    <xf numFmtId="166" fontId="0" fillId="0" borderId="25" xfId="0" applyNumberFormat="1" applyBorder="1" applyAlignment="1">
      <alignment horizontal="center"/>
    </xf>
    <xf numFmtId="0" fontId="14" fillId="33" borderId="25" xfId="0" applyFont="1" applyFill="1" applyBorder="1" applyAlignment="1">
      <alignment horizontal="center"/>
    </xf>
    <xf numFmtId="0" fontId="13" fillId="36" borderId="19" xfId="0" applyFont="1" applyFill="1" applyBorder="1" applyAlignment="1">
      <alignment horizontal="center"/>
    </xf>
    <xf numFmtId="0" fontId="0" fillId="34" borderId="0" xfId="0" applyFill="1"/>
    <xf numFmtId="0" fontId="0" fillId="37" borderId="0" xfId="0" applyFill="1"/>
    <xf numFmtId="0" fontId="0" fillId="38" borderId="0" xfId="0" applyFill="1"/>
    <xf numFmtId="0" fontId="14" fillId="39" borderId="25" xfId="0" applyFont="1" applyFill="1" applyBorder="1" applyAlignment="1">
      <alignment horizontal="center"/>
    </xf>
    <xf numFmtId="0" fontId="0" fillId="40" borderId="0" xfId="0" applyFill="1"/>
    <xf numFmtId="0" fontId="16" fillId="33" borderId="0" xfId="2" applyFill="1" applyAlignment="1">
      <alignment horizontal="center"/>
    </xf>
    <xf numFmtId="0" fontId="0" fillId="35" borderId="0" xfId="0" applyFill="1"/>
    <xf numFmtId="0" fontId="0" fillId="3" borderId="0" xfId="0" applyFill="1"/>
    <xf numFmtId="0" fontId="0" fillId="39" borderId="0" xfId="0" applyFill="1"/>
    <xf numFmtId="0" fontId="0" fillId="0" borderId="0" xfId="0" pivotButton="1"/>
    <xf numFmtId="0" fontId="17" fillId="41" borderId="26" xfId="0" applyFont="1" applyFill="1" applyBorder="1" applyAlignment="1">
      <alignment horizontal="left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6" fontId="14" fillId="0" borderId="0" xfId="0" applyNumberFormat="1" applyFont="1" applyAlignment="1">
      <alignment horizontal="center"/>
    </xf>
    <xf numFmtId="43" fontId="7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2" fontId="18" fillId="0" borderId="0" xfId="0" applyNumberFormat="1" applyFont="1" applyAlignment="1">
      <alignment horizontal="center"/>
    </xf>
    <xf numFmtId="4" fontId="7" fillId="0" borderId="0" xfId="1" applyNumberFormat="1" applyFont="1" applyAlignment="1">
      <alignment horizontal="center"/>
    </xf>
    <xf numFmtId="0" fontId="8" fillId="0" borderId="0" xfId="0" applyFont="1" applyAlignment="1">
      <alignment horizontal="center"/>
    </xf>
    <xf numFmtId="43" fontId="0" fillId="0" borderId="0" xfId="1" applyFont="1" applyAlignment="1">
      <alignment horizontal="center"/>
    </xf>
    <xf numFmtId="0" fontId="19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27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3" fontId="21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0" fillId="22" borderId="0" xfId="0" applyFill="1"/>
    <xf numFmtId="3" fontId="0" fillId="0" borderId="0" xfId="0" applyNumberFormat="1" applyAlignment="1">
      <alignment horizontal="center"/>
    </xf>
    <xf numFmtId="3" fontId="0" fillId="0" borderId="16" xfId="0" applyNumberFormat="1" applyBorder="1" applyAlignment="1">
      <alignment horizontal="center"/>
    </xf>
    <xf numFmtId="165" fontId="7" fillId="0" borderId="16" xfId="0" quotePrefix="1" applyNumberFormat="1" applyFont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quotePrefix="1" applyAlignment="1">
      <alignment horizontal="left"/>
    </xf>
    <xf numFmtId="165" fontId="7" fillId="0" borderId="0" xfId="0" quotePrefix="1" applyNumberFormat="1" applyFont="1" applyAlignment="1">
      <alignment horizontal="center"/>
    </xf>
    <xf numFmtId="0" fontId="0" fillId="0" borderId="0" xfId="0" applyAlignment="1">
      <alignment horizontal="centerContinuous"/>
    </xf>
    <xf numFmtId="0" fontId="14" fillId="35" borderId="25" xfId="0" applyFont="1" applyFill="1" applyBorder="1" applyAlignment="1">
      <alignment horizontal="center"/>
    </xf>
    <xf numFmtId="0" fontId="14" fillId="40" borderId="25" xfId="0" applyFont="1" applyFill="1" applyBorder="1" applyAlignment="1">
      <alignment horizontal="center"/>
    </xf>
    <xf numFmtId="0" fontId="14" fillId="42" borderId="25" xfId="0" applyFont="1" applyFill="1" applyBorder="1" applyAlignment="1">
      <alignment horizontal="center"/>
    </xf>
    <xf numFmtId="165" fontId="0" fillId="0" borderId="0" xfId="0" applyNumberFormat="1"/>
    <xf numFmtId="4" fontId="0" fillId="0" borderId="0" xfId="0" applyNumberFormat="1"/>
    <xf numFmtId="0" fontId="23" fillId="0" borderId="0" xfId="0" applyFont="1" applyAlignment="1">
      <alignment horizontal="centerContinuous"/>
    </xf>
    <xf numFmtId="0" fontId="23" fillId="0" borderId="13" xfId="0" applyFont="1" applyBorder="1" applyAlignment="1">
      <alignment horizontal="centerContinuous"/>
    </xf>
    <xf numFmtId="0" fontId="23" fillId="0" borderId="28" xfId="0" applyFont="1" applyBorder="1" applyAlignment="1">
      <alignment horizontal="centerContinuous"/>
    </xf>
    <xf numFmtId="0" fontId="11" fillId="0" borderId="13" xfId="0" applyFont="1" applyBorder="1"/>
    <xf numFmtId="0" fontId="11" fillId="0" borderId="28" xfId="0" applyFont="1" applyBorder="1"/>
    <xf numFmtId="0" fontId="0" fillId="0" borderId="13" xfId="0" applyBorder="1"/>
    <xf numFmtId="0" fontId="0" fillId="0" borderId="28" xfId="0" applyBorder="1"/>
    <xf numFmtId="0" fontId="1" fillId="2" borderId="29" xfId="0" applyFont="1" applyFill="1" applyBorder="1" applyAlignment="1">
      <alignment horizontal="center" vertical="center"/>
    </xf>
    <xf numFmtId="0" fontId="0" fillId="0" borderId="30" xfId="0" applyBorder="1"/>
    <xf numFmtId="3" fontId="21" fillId="0" borderId="13" xfId="0" applyNumberFormat="1" applyFont="1" applyBorder="1" applyAlignment="1">
      <alignment horizontal="centerContinuous"/>
    </xf>
    <xf numFmtId="0" fontId="0" fillId="0" borderId="13" xfId="0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1" fillId="0" borderId="13" xfId="0" applyFont="1" applyBorder="1" applyAlignment="1">
      <alignment horizontal="centerContinuous"/>
    </xf>
    <xf numFmtId="0" fontId="11" fillId="0" borderId="28" xfId="0" applyFont="1" applyBorder="1" applyAlignment="1">
      <alignment horizontal="centerContinuous"/>
    </xf>
    <xf numFmtId="0" fontId="0" fillId="0" borderId="0" xfId="0" applyFont="1" applyFill="1" applyAlignment="1">
      <alignment horizontal="center"/>
    </xf>
    <xf numFmtId="166" fontId="0" fillId="0" borderId="0" xfId="0" applyNumberFormat="1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0" fillId="0" borderId="0" xfId="0" quotePrefix="1" applyFont="1" applyFill="1" applyAlignment="1">
      <alignment horizontal="left"/>
    </xf>
    <xf numFmtId="0" fontId="0" fillId="0" borderId="0" xfId="0" applyFont="1" applyFill="1" applyAlignment="1">
      <alignment horizontal="left"/>
    </xf>
    <xf numFmtId="165" fontId="7" fillId="0" borderId="0" xfId="0" quotePrefix="1" applyNumberFormat="1" applyFont="1" applyFill="1" applyAlignment="1">
      <alignment horizontal="center"/>
    </xf>
    <xf numFmtId="165" fontId="7" fillId="0" borderId="0" xfId="0" applyNumberFormat="1" applyFont="1" applyFill="1" applyAlignment="1">
      <alignment horizontal="center"/>
    </xf>
    <xf numFmtId="165" fontId="0" fillId="0" borderId="13" xfId="0" applyNumberFormat="1" applyFon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14" fillId="0" borderId="25" xfId="0" applyNumberFormat="1" applyFont="1" applyBorder="1" applyAlignment="1">
      <alignment horizontal="center"/>
    </xf>
    <xf numFmtId="0" fontId="0" fillId="0" borderId="25" xfId="0" applyNumberFormat="1" applyBorder="1" applyAlignment="1">
      <alignment horizontal="center"/>
    </xf>
    <xf numFmtId="0" fontId="13" fillId="36" borderId="21" xfId="0" applyFont="1" applyFill="1" applyBorder="1" applyAlignment="1">
      <alignment horizontal="center"/>
    </xf>
    <xf numFmtId="0" fontId="0" fillId="0" borderId="0" xfId="0" applyNumberFormat="1"/>
    <xf numFmtId="0" fontId="14" fillId="43" borderId="25" xfId="0" applyFont="1" applyFill="1" applyBorder="1" applyAlignment="1">
      <alignment horizontal="center"/>
    </xf>
    <xf numFmtId="0" fontId="14" fillId="3" borderId="25" xfId="0" applyFont="1" applyFill="1" applyBorder="1" applyAlignment="1">
      <alignment horizontal="center"/>
    </xf>
    <xf numFmtId="0" fontId="14" fillId="34" borderId="25" xfId="0" applyFont="1" applyFill="1" applyBorder="1" applyAlignment="1">
      <alignment horizontal="center"/>
    </xf>
    <xf numFmtId="0" fontId="14" fillId="44" borderId="25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3" fontId="0" fillId="0" borderId="0" xfId="0" applyNumberFormat="1" applyFont="1" applyFill="1" applyAlignment="1">
      <alignment horizontal="center"/>
    </xf>
    <xf numFmtId="3" fontId="0" fillId="0" borderId="16" xfId="0" applyNumberFormat="1" applyFont="1" applyFill="1" applyBorder="1" applyAlignment="1">
      <alignment horizontal="center"/>
    </xf>
    <xf numFmtId="165" fontId="7" fillId="0" borderId="16" xfId="0" quotePrefix="1" applyNumberFormat="1" applyFont="1" applyFill="1" applyBorder="1" applyAlignment="1">
      <alignment horizontal="center"/>
    </xf>
    <xf numFmtId="165" fontId="7" fillId="0" borderId="16" xfId="0" applyNumberFormat="1" applyFont="1" applyFill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3" fontId="21" fillId="0" borderId="0" xfId="0" applyNumberFormat="1" applyFont="1" applyBorder="1" applyAlignment="1">
      <alignment horizontal="centerContinuous"/>
    </xf>
  </cellXfs>
  <cellStyles count="3">
    <cellStyle name="Hyperlink" xfId="2" builtinId="8"/>
    <cellStyle name="Komma" xfId="1" builtinId="3"/>
    <cellStyle name="Standaard" xfId="0" builtinId="0"/>
  </cellStyles>
  <dxfs count="14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border>
        <bottom style="hair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;;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.0%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medium">
          <color auto="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medium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6" formatCode="0.0%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rgb="FFFF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;;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rgb="FFFF000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outline="0">
        <right style="thick">
          <color rgb="FFFF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medium">
          <color auto="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medium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C8FFC8"/>
      <color rgb="FFB9FFB9"/>
      <color rgb="FFAFFFAF"/>
      <color rgb="FF8CFF8C"/>
      <color rgb="FF82FF82"/>
      <color rgb="FF78FA78"/>
      <color rgb="FF64F064"/>
      <color rgb="FF6EF464"/>
      <color rgb="FF64EB5F"/>
      <color rgb="FF28DC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2</xdr:row>
      <xdr:rowOff>38100</xdr:rowOff>
    </xdr:from>
    <xdr:to>
      <xdr:col>2</xdr:col>
      <xdr:colOff>1819275</xdr:colOff>
      <xdr:row>4</xdr:row>
      <xdr:rowOff>200025</xdr:rowOff>
    </xdr:to>
    <xdr:sp macro="" textlink="">
      <xdr:nvSpPr>
        <xdr:cNvPr id="2" name="Pijl: rechts 1">
          <a:extLst>
            <a:ext uri="{FF2B5EF4-FFF2-40B4-BE49-F238E27FC236}">
              <a16:creationId xmlns:a16="http://schemas.microsoft.com/office/drawing/2014/main" id="{47DB61CB-4021-98C3-B5DA-56113C2390ED}"/>
            </a:ext>
          </a:extLst>
        </xdr:cNvPr>
        <xdr:cNvSpPr/>
      </xdr:nvSpPr>
      <xdr:spPr>
        <a:xfrm>
          <a:off x="3000375" y="514350"/>
          <a:ext cx="1543050" cy="6381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57150</xdr:rowOff>
    </xdr:from>
    <xdr:to>
      <xdr:col>2</xdr:col>
      <xdr:colOff>438150</xdr:colOff>
      <xdr:row>2</xdr:row>
      <xdr:rowOff>28575</xdr:rowOff>
    </xdr:to>
    <xdr:sp macro="[0]!M_Solveu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B8F28AA-45FE-5120-7703-D58E9851ED8A}"/>
            </a:ext>
          </a:extLst>
        </xdr:cNvPr>
        <xdr:cNvSpPr/>
      </xdr:nvSpPr>
      <xdr:spPr>
        <a:xfrm>
          <a:off x="314325" y="57150"/>
          <a:ext cx="108585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Solveur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66675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8</xdr:row>
          <xdr:rowOff>95250</xdr:rowOff>
        </xdr:from>
        <xdr:to>
          <xdr:col>0</xdr:col>
          <xdr:colOff>381000</xdr:colOff>
          <xdr:row>9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FF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3</xdr:row>
          <xdr:rowOff>19050</xdr:rowOff>
        </xdr:from>
        <xdr:to>
          <xdr:col>0</xdr:col>
          <xdr:colOff>419100</xdr:colOff>
          <xdr:row>4</xdr:row>
          <xdr:rowOff>66675</xdr:rowOff>
        </xdr:to>
        <xdr:sp macro="" textlink="">
          <xdr:nvSpPr>
            <xdr:cNvPr id="5126" name="cmdOK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3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5</xdr:row>
          <xdr:rowOff>28575</xdr:rowOff>
        </xdr:from>
        <xdr:to>
          <xdr:col>0</xdr:col>
          <xdr:colOff>419100</xdr:colOff>
          <xdr:row>6</xdr:row>
          <xdr:rowOff>76200</xdr:rowOff>
        </xdr:to>
        <xdr:sp macro="" textlink="">
          <xdr:nvSpPr>
            <xdr:cNvPr id="5128" name="cmdOK3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3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314325</xdr:colOff>
      <xdr:row>1</xdr:row>
      <xdr:rowOff>133350</xdr:rowOff>
    </xdr:from>
    <xdr:to>
      <xdr:col>16</xdr:col>
      <xdr:colOff>257175</xdr:colOff>
      <xdr:row>3</xdr:row>
      <xdr:rowOff>161925</xdr:rowOff>
    </xdr:to>
    <xdr:sp macro="[0]!Opticutter_Prepara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9910404-457B-EB7B-19A5-93CD5613C88F}"/>
            </a:ext>
          </a:extLst>
        </xdr:cNvPr>
        <xdr:cNvSpPr/>
      </xdr:nvSpPr>
      <xdr:spPr>
        <a:xfrm>
          <a:off x="9315450" y="371475"/>
          <a:ext cx="942975" cy="4286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preparation</a:t>
          </a:r>
        </a:p>
      </xdr:txBody>
    </xdr:sp>
    <xdr:clientData/>
  </xdr:twoCellAnchor>
  <xdr:twoCellAnchor>
    <xdr:from>
      <xdr:col>15</xdr:col>
      <xdr:colOff>409575</xdr:colOff>
      <xdr:row>7</xdr:row>
      <xdr:rowOff>95250</xdr:rowOff>
    </xdr:from>
    <xdr:to>
      <xdr:col>16</xdr:col>
      <xdr:colOff>342900</xdr:colOff>
      <xdr:row>9</xdr:row>
      <xdr:rowOff>180975</xdr:rowOff>
    </xdr:to>
    <xdr:sp macro="[0]!Opticutter_Resulta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6B0F3E0-2DEF-5A13-B124-D1D4C44D5336}"/>
            </a:ext>
          </a:extLst>
        </xdr:cNvPr>
        <xdr:cNvSpPr/>
      </xdr:nvSpPr>
      <xdr:spPr>
        <a:xfrm>
          <a:off x="9410700" y="1533525"/>
          <a:ext cx="933450" cy="4857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Result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pie-de-olivcoco-v2-5-avec.xlsm" TargetMode="External"/><Relationship Id="rId1" Type="http://schemas.openxmlformats.org/officeDocument/2006/relationships/externalLinkPath" Target="copie-de-olivcoco-v2-5-av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équence"/>
      <sheetName val="Résultats Regroupés"/>
      <sheetName val="copie-de-olivcoco-v2-5-avec"/>
    </sheetNames>
    <definedNames>
      <definedName name="RassemblerParNumeroArticle"/>
    </definedNames>
    <sheetDataSet>
      <sheetData sheetId="0"/>
      <sheetData sheetId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696.705186342595" createdVersion="8" refreshedVersion="8" minRefreshableVersion="3" recordCount="9" xr:uid="{02E73642-10B2-4C26-A8DC-902436737FD8}">
  <cacheSource type="worksheet">
    <worksheetSource name="tbl_Resultat"/>
  </cacheSource>
  <cacheFields count="20">
    <cacheField name="Layout" numFmtId="0">
      <sharedItems/>
    </cacheField>
    <cacheField name="Nombre" numFmtId="0">
      <sharedItems containsSemiMixedTypes="0" containsString="0" containsNumber="1" containsInteger="1" minValue="1" maxValue="15"/>
    </cacheField>
    <cacheField name="Longueur" numFmtId="0">
      <sharedItems containsSemiMixedTypes="0" containsString="0" containsNumber="1" containsInteger="1" minValue="1200" maxValue="1200"/>
    </cacheField>
    <cacheField name="Largeur" numFmtId="0">
      <sharedItems containsSemiMixedTypes="0" containsString="0" containsNumber="1" containsInteger="1" minValue="540" maxValue="540"/>
    </cacheField>
    <cacheField name="Largeur utile" numFmtId="0">
      <sharedItems containsSemiMixedTypes="0" containsString="0" containsNumber="1" containsInteger="1" minValue="388" maxValue="749"/>
    </cacheField>
    <cacheField name="Rendement" numFmtId="166">
      <sharedItems containsSemiMixedTypes="0" containsString="0" containsNumber="1" minValue="0.5121296296296296" maxValue="0.99629629629629635"/>
    </cacheField>
    <cacheField name="L1" numFmtId="0">
      <sharedItems containsSemiMixedTypes="0" containsString="0" containsNumber="1" containsInteger="1" minValue="155" maxValue="225"/>
    </cacheField>
    <cacheField name="L2" numFmtId="0">
      <sharedItems containsSemiMixedTypes="0" containsString="0" containsNumber="1" containsInteger="1" minValue="155" maxValue="225"/>
    </cacheField>
    <cacheField name="L3" numFmtId="0">
      <sharedItems containsString="0" containsBlank="1" containsNumber="1" containsInteger="1" minValue="155" maxValue="170"/>
    </cacheField>
    <cacheField name="L4" numFmtId="0">
      <sharedItems containsString="0" containsBlank="1" containsNumber="1" containsInteger="1" minValue="199" maxValue="199"/>
    </cacheField>
    <cacheField name="L5" numFmtId="0">
      <sharedItems containsNonDate="0" containsString="0" containsBlank="1"/>
    </cacheField>
    <cacheField name="L6" numFmtId="0">
      <sharedItems containsNonDate="0" containsString="0" containsBlank="1"/>
    </cacheField>
    <cacheField name="L7" numFmtId="0">
      <sharedItems containsNonDate="0" containsString="0" containsBlank="1"/>
    </cacheField>
    <cacheField name="L8" numFmtId="0">
      <sharedItems containsNonDate="0" containsString="0" containsBlank="1"/>
    </cacheField>
    <cacheField name="L9" numFmtId="0">
      <sharedItems containsNonDate="0" containsString="0" containsBlank="1"/>
    </cacheField>
    <cacheField name="L10" numFmtId="0">
      <sharedItems containsNonDate="0" containsString="0" containsBlank="1"/>
    </cacheField>
    <cacheField name="Largeurs" numFmtId="0">
      <sharedItems count="48">
        <s v=" 0.225 0.225"/>
        <s v=" 0.225 0.199"/>
        <s v=" 0.199 0.189"/>
        <s v=" 0.189 0.189 0.155"/>
        <s v=" 0.184 0.184 0.170"/>
        <s v=" 0.170 0.225 0.155 0.199"/>
        <s v=" 0.170 0.170 0.170"/>
        <s v=" 0.170 0.155 0.155"/>
        <s v=" 0.155 0.155 0.155"/>
        <s v=" 0.205 0.205" u="1"/>
        <s v=" 0.205 0.180" u="1"/>
        <s v=" 0.180 0.180" u="1"/>
        <s v=" 0.180 0.160" u="1"/>
        <s v=" 0.160 0.180" u="1"/>
        <s v=" 0.150 0.150 0.150" u="1"/>
        <s v=" 0.127 0.127 0.127" u="1"/>
        <s v=" 0.127 0.122 0.122" u="1"/>
        <s v=" 0.122 0.122 0.122" u="1"/>
        <s v=" 0.122 0.115 0.115" u="1"/>
        <s v=" 0.115 0.115 0.115 0.115" u="1"/>
        <s v=" 0.115" u="1"/>
        <s v=" 0.160 0.160 0.130" u="1"/>
        <s v=" 0.160 0.160 0.120" u="1"/>
        <s v=" 0.160 0.160 0.095" u="1"/>
        <s v=" 0.140 0.140 0.140" u="1"/>
        <s v=" 0.095 0.095 0.095 0.095" u="1"/>
        <s v=" 0.095 0.077 0.077 0.077 0.077" u="1"/>
        <s v=" 0.077 0.077 0.077 0.077 0.077" u="1"/>
        <s v=" 0.077 0.077 0.077" u="1"/>
        <s v=" 0.250 0.195" u="1"/>
        <s v=" 0.250 0.136" u="1"/>
        <s v=" 0.210 0.210" u="1"/>
        <s v=" 0.210 0.136 0.095" u="1"/>
        <s v=" 0.136 0.136 0.136" u="1"/>
        <s v=" 0.136 0.136 0.130" u="1"/>
        <s v=" 0.130 0.130 0.130" u="1"/>
        <s v=" 0.125 0.125 0.125" u="1"/>
        <s v=" 0.114 0.114 0.114 0.095" u="1"/>
        <s v=" 0.095 0.095 0.130" u="1"/>
        <s v=" 0.127 0.112 0.112 0.108" u="1"/>
        <s v=" 0.127 0.112 0.112 0.107" u="1"/>
        <s v=" 0.122 0.122 0.112" u="1"/>
        <s v=" 0.122 0.122 0.108 0.107" u="1"/>
        <s v=" 0.122 0.122 0.107 0.107" u="1"/>
        <s v=" 0.122 0.112 0.112 0.112" u="1"/>
        <s v=" 0.122 0.112 0.112 0.107" u="1"/>
        <s v=" 0.122 0.112 0.108 0.107" u="1"/>
        <s v=" 0.112 0.112" u="1"/>
      </sharedItems>
    </cacheField>
    <cacheField name="Siceaux" numFmtId="0">
      <sharedItems/>
    </cacheField>
    <cacheField name="Destination" numFmtId="0">
      <sharedItems containsSemiMixedTypes="0" containsString="0" containsNumber="1" containsInteger="1" minValue="2" maxValue="30"/>
    </cacheField>
    <cacheField name="Coupe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 u="1"/>
        <n v="11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F"/>
    <n v="15"/>
    <n v="1200"/>
    <n v="540"/>
    <n v="450"/>
    <n v="0.83333333333333337"/>
    <n v="225"/>
    <n v="225"/>
    <m/>
    <m/>
    <m/>
    <m/>
    <m/>
    <m/>
    <m/>
    <m/>
    <x v="0"/>
    <s v="  225  450"/>
    <n v="30"/>
    <x v="0"/>
  </r>
  <r>
    <s v="G"/>
    <n v="1"/>
    <n v="1200"/>
    <n v="540"/>
    <n v="424"/>
    <n v="0.78518518518518521"/>
    <n v="225"/>
    <n v="199"/>
    <m/>
    <m/>
    <m/>
    <m/>
    <m/>
    <m/>
    <m/>
    <m/>
    <x v="1"/>
    <s v="  225  424"/>
    <n v="2"/>
    <x v="1"/>
  </r>
  <r>
    <s v="H"/>
    <n v="1"/>
    <n v="1200"/>
    <n v="540"/>
    <n v="388"/>
    <n v="0.71851851851851856"/>
    <n v="199"/>
    <n v="189"/>
    <m/>
    <m/>
    <m/>
    <m/>
    <m/>
    <m/>
    <m/>
    <m/>
    <x v="2"/>
    <s v="  199  388"/>
    <n v="2"/>
    <x v="2"/>
  </r>
  <r>
    <s v="B"/>
    <n v="1"/>
    <n v="1200"/>
    <n v="540"/>
    <n v="533"/>
    <n v="0.98703703703703705"/>
    <n v="189"/>
    <n v="189"/>
    <n v="155"/>
    <m/>
    <m/>
    <m/>
    <m/>
    <m/>
    <m/>
    <m/>
    <x v="3"/>
    <s v="  189  378  533"/>
    <n v="3"/>
    <x v="3"/>
  </r>
  <r>
    <s v="A"/>
    <n v="5"/>
    <n v="1200"/>
    <n v="540"/>
    <n v="538"/>
    <n v="0.99629629629629635"/>
    <n v="184"/>
    <n v="184"/>
    <n v="170"/>
    <m/>
    <m/>
    <m/>
    <m/>
    <m/>
    <m/>
    <m/>
    <x v="4"/>
    <s v="  184  368  538"/>
    <n v="15"/>
    <x v="4"/>
  </r>
  <r>
    <s v="I"/>
    <n v="1"/>
    <n v="1200"/>
    <n v="540"/>
    <n v="749"/>
    <n v="0.5121296296296296"/>
    <n v="170"/>
    <n v="225"/>
    <n v="155"/>
    <n v="199"/>
    <m/>
    <m/>
    <m/>
    <m/>
    <m/>
    <m/>
    <x v="5"/>
    <s v="  170  395  550  749"/>
    <n v="4"/>
    <x v="5"/>
  </r>
  <r>
    <s v="C"/>
    <n v="7"/>
    <n v="1200"/>
    <n v="540"/>
    <n v="510"/>
    <n v="0.94444444444444442"/>
    <n v="170"/>
    <n v="170"/>
    <n v="170"/>
    <m/>
    <m/>
    <m/>
    <m/>
    <m/>
    <m/>
    <m/>
    <x v="6"/>
    <s v="  170  340  510"/>
    <n v="21"/>
    <x v="6"/>
  </r>
  <r>
    <s v="D"/>
    <n v="1"/>
    <n v="1200"/>
    <n v="540"/>
    <n v="480"/>
    <n v="0.88888888888888884"/>
    <n v="170"/>
    <n v="155"/>
    <n v="155"/>
    <m/>
    <m/>
    <m/>
    <m/>
    <m/>
    <m/>
    <m/>
    <x v="7"/>
    <s v="  170  325  480"/>
    <n v="3"/>
    <x v="7"/>
  </r>
  <r>
    <s v="E"/>
    <n v="3"/>
    <n v="1200"/>
    <n v="540"/>
    <n v="465"/>
    <n v="0.86111111111111116"/>
    <n v="155"/>
    <n v="155"/>
    <n v="155"/>
    <m/>
    <m/>
    <m/>
    <m/>
    <m/>
    <m/>
    <m/>
    <x v="8"/>
    <s v="  155  310  465"/>
    <n v="9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D0F36D-3EE0-4DA0-84C3-664E8A3BDE15}" name="Draaitabel1" cacheId="25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AN2:AP13" firstHeaderRow="2" firstDataRow="2" firstDataCol="2"/>
  <pivotFields count="20"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48">
        <item m="1" x="29"/>
        <item m="1" x="30"/>
        <item x="0"/>
        <item m="1" x="31"/>
        <item m="1" x="32"/>
        <item m="1" x="33"/>
        <item m="1" x="34"/>
        <item m="1" x="35"/>
        <item m="1" x="36"/>
        <item m="1" x="37"/>
        <item m="1" x="38"/>
        <item m="1" x="25"/>
        <item m="1" x="16"/>
        <item m="1" x="39"/>
        <item m="1" x="40"/>
        <item m="1" x="17"/>
        <item m="1" x="41"/>
        <item m="1" x="42"/>
        <item m="1" x="43"/>
        <item m="1" x="44"/>
        <item m="1" x="45"/>
        <item m="1" x="46"/>
        <item m="1" x="47"/>
        <item m="1" x="21"/>
        <item m="1" x="22"/>
        <item m="1" x="23"/>
        <item m="1" x="24"/>
        <item m="1" x="26"/>
        <item m="1" x="27"/>
        <item m="1" x="28"/>
        <item m="1" x="15"/>
        <item m="1" x="18"/>
        <item m="1" x="19"/>
        <item m="1" x="20"/>
        <item m="1" x="9"/>
        <item m="1" x="10"/>
        <item m="1" x="11"/>
        <item m="1" x="12"/>
        <item m="1" x="13"/>
        <item m="1" x="14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sortType="descending" defaultSubtotal="0">
      <items count="12">
        <item x="0"/>
        <item x="1"/>
        <item x="2"/>
        <item x="3"/>
        <item x="4"/>
        <item x="5"/>
        <item x="6"/>
        <item x="7"/>
        <item x="8"/>
        <item m="1" x="9"/>
        <item m="1" x="10"/>
        <item m="1" x="1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9"/>
    <field x="16"/>
  </rowFields>
  <rowItems count="10">
    <i>
      <x v="7"/>
      <x v="46"/>
    </i>
    <i>
      <x v="5"/>
      <x v="44"/>
    </i>
    <i>
      <x/>
      <x v="2"/>
    </i>
    <i>
      <x v="1"/>
      <x v="40"/>
    </i>
    <i>
      <x v="6"/>
      <x v="45"/>
    </i>
    <i>
      <x v="2"/>
      <x v="41"/>
    </i>
    <i>
      <x v="8"/>
      <x v="47"/>
    </i>
    <i>
      <x v="3"/>
      <x v="42"/>
    </i>
    <i>
      <x v="4"/>
      <x v="43"/>
    </i>
    <i t="grand">
      <x/>
    </i>
  </rowItems>
  <colItems count="1">
    <i/>
  </colItems>
  <dataFields count="1">
    <dataField name="Aantal van Largeurs" fld="1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9461B6-284E-4051-BC67-5DEE84A74B74}" name="tbl_Solveur" displayName="tbl_Solveur" ref="A4:V10" totalsRowShown="0" headerRowDxfId="145" dataDxfId="143" headerRowBorderDxfId="144" tableBorderDxfId="142" totalsRowBorderDxfId="141">
  <tableColumns count="22">
    <tableColumn id="1" xr3:uid="{44B5882B-48A9-4E70-B3DE-DAC692962069}" name="SEQ" dataDxfId="140"/>
    <tableColumn id="2" xr3:uid="{C2E004DE-7D07-42B6-B9C2-067EF1B6A4EB}" name="Largeur" dataDxfId="139"/>
    <tableColumn id="3" xr3:uid="{2F32DD2F-7DBA-4243-A755-3031C65AF511}" name="Métrage" dataDxfId="138"/>
    <tableColumn id="4" xr3:uid="{EB790609-6547-48E3-83A7-409A8797D5AC}" name="#1" dataDxfId="137"/>
    <tableColumn id="5" xr3:uid="{132BC104-9AD6-4745-9EF4-57D9B7E41C81}" name="#2" dataDxfId="136"/>
    <tableColumn id="6" xr3:uid="{00983365-C3FF-4D73-8FB9-55D76DFABFC1}" name="#3" dataDxfId="135"/>
    <tableColumn id="7" xr3:uid="{3896B8F6-4F14-48C1-8093-B7B93D29D5FE}" name="#4" dataDxfId="134"/>
    <tableColumn id="8" xr3:uid="{F49A475B-41E5-43F7-AF1A-DA5EE8EE6022}" name="#5" dataDxfId="133"/>
    <tableColumn id="9" xr3:uid="{619C8A52-F919-4F44-AA7F-D5052EBBFB6E}" name="#6" dataDxfId="132"/>
    <tableColumn id="10" xr3:uid="{2EBBCCDB-29D8-4C81-808E-A9CBBE5BF236}" name="#7" dataDxfId="131"/>
    <tableColumn id="11" xr3:uid="{6FC5ABFB-6C0D-4130-9952-049DCEE1EAAC}" name="#8" dataDxfId="130"/>
    <tableColumn id="12" xr3:uid="{6CD7382B-E8FC-4371-80D6-1DFDC63D5BBE}" name="#9" dataDxfId="129"/>
    <tableColumn id="13" xr3:uid="{E5A82A9B-1BB9-476F-B482-19BE19E5DF17}" name="#10" dataDxfId="128"/>
    <tableColumn id="23" xr3:uid="{02DEEB17-4A53-4096-BF30-6AFBE10928DF}" name="Nbr" dataDxfId="127">
      <calculatedColumnFormula>COUNT(tbl_Solveur[[#This Row],['#1]:['#10]])</calculatedColumnFormula>
    </tableColumn>
    <tableColumn id="28" xr3:uid="{E51D1A85-12A6-44F8-AE5C-5910C5E7297B}" name="Solveur" dataDxfId="126"/>
    <tableColumn id="39" xr3:uid="{C0B9AD0A-58F3-4AB2-A692-5155BE7ADC67}" name="utilisé" dataDxfId="125">
      <calculatedColumnFormula>--(tbl_Solveur[[#This Row],[Solveur]]&gt;0)</calculatedColumnFormula>
    </tableColumn>
    <tableColumn id="44" xr3:uid="{2010FD2D-DE39-49D1-A79A-C7C621E646A5}" name="225" dataDxfId="58">
      <calculatedColumnFormula>COUNTIF(tbl_Solveur[[#This Row],['#1]:['#10]],--tbl_Solveur[[#Headers],[225]])</calculatedColumnFormula>
    </tableColumn>
    <tableColumn id="20" xr3:uid="{0F945A1A-2852-437E-A7F2-E75C125EEE40}" name="199" dataDxfId="57">
      <calculatedColumnFormula>COUNTIF(tbl_Solveur[[#This Row],['#1]:['#10]],--tbl_Solveur[[#Headers],[199]])</calculatedColumnFormula>
    </tableColumn>
    <tableColumn id="21" xr3:uid="{323B174B-C3BD-4818-923D-983A758BA9C7}" name="189" dataDxfId="56">
      <calculatedColumnFormula>COUNTIF(tbl_Solveur[[#This Row],['#1]:['#10]],--tbl_Solveur[[#Headers],[189]])</calculatedColumnFormula>
    </tableColumn>
    <tableColumn id="22" xr3:uid="{164F9B0C-F143-47DC-A2CE-F24C00DFCDD1}" name="184" dataDxfId="55">
      <calculatedColumnFormula>COUNTIF(tbl_Solveur[[#This Row],['#1]:['#10]],--tbl_Solveur[[#Headers],[184]])</calculatedColumnFormula>
    </tableColumn>
    <tableColumn id="24" xr3:uid="{121A8961-7C04-4A2F-9DAF-9E2E2BA685C2}" name="170" dataDxfId="54">
      <calculatedColumnFormula>COUNTIF(tbl_Solveur[[#This Row],['#1]:['#10]],--tbl_Solveur[[#Headers],[170]])</calculatedColumnFormula>
    </tableColumn>
    <tableColumn id="25" xr3:uid="{E7911BAC-D39F-4656-84CE-46DF5885B68C}" name="155" dataDxfId="53">
      <calculatedColumnFormula>COUNTIF(tbl_Solveur[[#This Row],['#1]:['#10]],--tbl_Solveur[[#Headers],[155]])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E22B40-22BC-4588-A91B-BF2FFBB261D1}" name="tbl_Stock" displayName="tbl_Stock" ref="A2:E9" totalsRowShown="0" headerRowDxfId="124" dataDxfId="123">
  <tableColumns count="5">
    <tableColumn id="1" xr3:uid="{32BAD6B1-4AA0-4F85-8C77-8EFB5DC7B5D6}" name="@" dataDxfId="122"/>
    <tableColumn id="2" xr3:uid="{F6EBC9F5-C651-420A-960F-31B0740BEC42}" name="Longueur" dataDxfId="121"/>
    <tableColumn id="3" xr3:uid="{E1BD266D-FFC3-4832-80B5-5D955F578AE9}" name="Largeur" dataDxfId="120"/>
    <tableColumn id="4" xr3:uid="{764F59E6-1A0C-47BE-B3DF-7A29484DCDB0}" name="Quantité" dataDxfId="119"/>
    <tableColumn id="5" xr3:uid="{00C6E11D-8C62-4F01-B9CA-E60613AFA373}" name="Grain" dataDxfId="1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E9879D-B865-4A2A-91F3-A909D21E71C9}" name="tbl_Ordres" displayName="tbl_Ordres" ref="G2:O12" totalsRowShown="0" headerRowDxfId="117" dataDxfId="116">
  <tableColumns count="9">
    <tableColumn id="1" xr3:uid="{D25FDCD3-26A2-4827-8780-FB8CBFC15462}" name="@" dataDxfId="115"/>
    <tableColumn id="2" xr3:uid="{D210FB31-77EE-46BA-93D2-EBEDB5258FA2}" name="Longueur" dataDxfId="114"/>
    <tableColumn id="3" xr3:uid="{4DD7BD11-B477-4CEF-B425-18D17CD04BB0}" name="Largeur" dataDxfId="113"/>
    <tableColumn id="4" xr3:uid="{0AA79AF3-54F1-4809-9DCD-F6D8D383F1D6}" name="Quantité" dataDxfId="112"/>
    <tableColumn id="5" xr3:uid="{9FCCF869-3265-4788-B00A-42CFA0AD3C8B}" name="Grain" dataDxfId="111"/>
    <tableColumn id="6" xr3:uid="{9226AE27-9AA9-4634-BD4C-33B911570EC6}" name="Etiquette" dataDxfId="110"/>
    <tableColumn id="8" xr3:uid="{831DD131-E975-42E8-8FDE-18D1031FC069}" name="surface" dataDxfId="109">
      <calculatedColumnFormula>+tbl_Ordres[[#This Row],[Longueur]]*tbl_Ordres[[#This Row],[Largeur]]*tbl_Ordres[[#This Row],[Quantité]]/100</calculatedColumnFormula>
    </tableColumn>
    <tableColumn id="7" xr3:uid="{EAB49CDA-9458-4208-9A74-DE5F25477CA1}" name="alea" dataDxfId="108">
      <calculatedColumnFormula>RAND()</calculatedColumnFormula>
    </tableColumn>
    <tableColumn id="9" xr3:uid="{08B3EDD8-9BAA-479B-801D-97C62D6B6BAB}" name="rank" dataDxfId="107">
      <calculatedColumnFormula>RANK(tbl_Ordres[[#This Row],[alea]],tbl_Ordres[alea])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474452-5794-4A53-86EF-B1EB29805487}" name="tbl_Resultat" displayName="tbl_Resultat" ref="S2:AL11" totalsRowShown="0" headerRowDxfId="106" dataDxfId="105">
  <sortState xmlns:xlrd2="http://schemas.microsoft.com/office/spreadsheetml/2017/richdata2" ref="S3:AJ3">
    <sortCondition descending="1" ref="Y2:Y3"/>
    <sortCondition descending="1" ref="Z2:Z3"/>
    <sortCondition descending="1" ref="AC2:AC3"/>
    <sortCondition descending="1" ref="AD2:AD3"/>
  </sortState>
  <tableColumns count="20">
    <tableColumn id="1" xr3:uid="{90F55B77-CD44-483D-81E7-E683B4AE1F76}" name="Layout" dataDxfId="104"/>
    <tableColumn id="2" xr3:uid="{7886CD1F-CFB6-4040-B24E-5ADDB4075AD8}" name="Nombre" dataDxfId="103"/>
    <tableColumn id="3" xr3:uid="{CF056A2F-C038-4347-9924-3E79F104D3BB}" name="Longueur" dataDxfId="102"/>
    <tableColumn id="4" xr3:uid="{98D69201-3E71-441E-8741-09CD0A8EE072}" name="Largeur" dataDxfId="101"/>
    <tableColumn id="5" xr3:uid="{693B93A6-5C21-45CA-B166-9DFC89A3E1DF}" name="Largeur utile" dataDxfId="100"/>
    <tableColumn id="26" xr3:uid="{CDF284CE-042B-4EDC-B689-50B470FBC09C}" name="Rendement" dataDxfId="99"/>
    <tableColumn id="6" xr3:uid="{4966B3C0-99A7-4357-94D0-71B137124C8F}" name="L1" dataDxfId="98"/>
    <tableColumn id="7" xr3:uid="{8129A16D-DB7F-46D5-8433-DEC0902C62C4}" name="L2" dataDxfId="97"/>
    <tableColumn id="29" xr3:uid="{A8AE2B77-C63D-4060-99B6-E0643B4C7B18}" name="L3" dataDxfId="96"/>
    <tableColumn id="30" xr3:uid="{88A3C2E9-0ED9-46E1-9ECD-CA18A1D7142D}" name="L4" dataDxfId="95"/>
    <tableColumn id="8" xr3:uid="{205244D5-615F-44EB-8B72-93E64B1ADD43}" name="L5" dataDxfId="94"/>
    <tableColumn id="9" xr3:uid="{06F2060E-B140-405D-9FF5-C64B54A4605E}" name="L6" dataDxfId="93"/>
    <tableColumn id="10" xr3:uid="{F0BD0D14-4168-4650-B0BB-FCC4DBE47F6C}" name="L7" dataDxfId="92"/>
    <tableColumn id="11" xr3:uid="{89D62352-0426-4FF2-AA06-121862192B8D}" name="L8" dataDxfId="91"/>
    <tableColumn id="12" xr3:uid="{6608E776-9C07-442F-97AC-3F8BC4322893}" name="L9" dataDxfId="90"/>
    <tableColumn id="13" xr3:uid="{BC0D4504-F69D-4FE4-947F-1D42C7CF7889}" name="L10" dataDxfId="89"/>
    <tableColumn id="14" xr3:uid="{DE9A008C-46F8-4EFB-90A7-E7C43BFC4C96}" name="Largeurs" dataDxfId="88"/>
    <tableColumn id="15" xr3:uid="{34F99E53-9146-4886-AD92-19BD53DAB841}" name="Siceaux" dataDxfId="87"/>
    <tableColumn id="31" xr3:uid="{28A676BC-2B14-4E92-95D8-B9CA2DEE72C0}" name="Destination" dataDxfId="86">
      <calculatedColumnFormula>COUNT(tbl_Resultat[[#This Row],[L1]:[L10]])*tbl_Resultat[[#This Row],[Nombre]]</calculatedColumnFormula>
    </tableColumn>
    <tableColumn id="16" xr3:uid="{8E5B687E-4F33-4D28-A56D-17112D433841}" name="Coupe" dataDxfId="85">
      <calculatedColumnFormula>SUM(AL2,tbl_Resultat[[#This Row],[Largeurs]]&lt;&gt;OFFSET(tbl_Resultat[[#This Row],[Largeurs]],-1,))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ACD760B-391F-4350-AFE5-47C49E8F38BE}" name="T_Couleurs" displayName="T_Couleurs" ref="AR2:AR14" totalsRowShown="0">
  <tableColumns count="1">
    <tableColumn id="1" xr3:uid="{5E45CD21-EC63-4024-BA67-6B7D759936CF}" name="Longueu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ECF6E42-493A-49CA-B266-9E2D369347E8}" name="tbl_Solveur7" displayName="tbl_Solveur7" ref="A4:AA13" totalsRowShown="0" headerRowDxfId="84" dataDxfId="82" headerRowBorderDxfId="83" tableBorderDxfId="81" totalsRowBorderDxfId="80">
  <tableColumns count="27">
    <tableColumn id="1" xr3:uid="{9D567BC2-44F5-4EE3-8F5D-22F79D127ECE}" name="Layout" dataDxfId="79"/>
    <tableColumn id="2" xr3:uid="{F43C9113-5034-4A4A-84DC-7301FDA34EAF}" name="Nombre" dataDxfId="78"/>
    <tableColumn id="3" xr3:uid="{E120C7AC-FD23-4428-A11B-CBC05E097E94}" name="Longueur" dataDxfId="77"/>
    <tableColumn id="4" xr3:uid="{10C8B6CA-FD05-40C1-A7E3-928A9B572D58}" name="Largeur" dataDxfId="76"/>
    <tableColumn id="5" xr3:uid="{8CDF041B-EFE3-4C3E-849A-18ED64557267}" name="Largeur utile" dataDxfId="75"/>
    <tableColumn id="6" xr3:uid="{97E6BF9E-F379-42C5-BED0-8414D3364C62}" name="Rendement" dataDxfId="74"/>
    <tableColumn id="7" xr3:uid="{BF26B777-1BC8-4792-8DA5-7B8D2C04492C}" name="L1" dataDxfId="73"/>
    <tableColumn id="8" xr3:uid="{8C14F1C9-F627-4874-80BB-C1206FFE0440}" name="L2" dataDxfId="72"/>
    <tableColumn id="9" xr3:uid="{CB793B24-219E-4757-9693-031774969ECC}" name="L3" dataDxfId="71"/>
    <tableColumn id="10" xr3:uid="{7E2044C3-C966-484A-BF1F-2CAB6DBDE1AB}" name="L4" dataDxfId="70"/>
    <tableColumn id="11" xr3:uid="{CE1464CB-475C-4947-972F-ABBBCE19879E}" name="L5" dataDxfId="69"/>
    <tableColumn id="12" xr3:uid="{E0C125DD-3841-4910-9851-8089EFF7059F}" name="L6" dataDxfId="68"/>
    <tableColumn id="13" xr3:uid="{67A4A82F-7DA8-48CC-92BA-3426242132E1}" name="L7" dataDxfId="67"/>
    <tableColumn id="14" xr3:uid="{531A05A0-E877-4FAD-9DC9-62083052824D}" name="L8" dataDxfId="66"/>
    <tableColumn id="15" xr3:uid="{E112D0F1-01BA-4462-BA8B-EA8CDDDA1700}" name="L9" dataDxfId="65"/>
    <tableColumn id="16" xr3:uid="{FBA0218E-E528-48AC-894D-C6EDD8730312}" name="L10" dataDxfId="64"/>
    <tableColumn id="17" xr3:uid="{1FAC78B1-571D-4CD8-AE72-A9A6060832B1}" name="Largeurs" dataDxfId="63"/>
    <tableColumn id="18" xr3:uid="{F709FE2C-7ADA-46B5-8D5F-120ED5C59473}" name="Siceaux" dataDxfId="62"/>
    <tableColumn id="38" xr3:uid="{07904720-11D1-4BE2-A832-E01BD65BAFE7}" name="nombre2" dataDxfId="61">
      <calculatedColumnFormula>SUMIFS(tbl_Resultat[Nombre],tbl_Resultat[Largeurs],tbl_Solveur7[[#This Row],[Largeurs]])</calculatedColumnFormula>
    </tableColumn>
    <tableColumn id="28" xr3:uid="{E03E140E-8F6E-4026-BFA8-E8BE5EE2F4FF}" name="Solveur" dataDxfId="60"/>
    <tableColumn id="39" xr3:uid="{07DBED0B-1373-49A3-B16A-48FFBF1021A7}" name="utilisé" dataDxfId="59">
      <calculatedColumnFormula>--(tbl_Solveur7[[#This Row],[Solveur]]&gt;0)</calculatedColumnFormula>
    </tableColumn>
    <tableColumn id="44" xr3:uid="{D4DF0171-FFEE-4D63-9638-D92184F57B87}" name="225" dataDxfId="52">
      <calculatedColumnFormula>COUNTIF(tbl_Solveur7[[#This Row],[L1]:[L10]],--tbl_Solveur7[[#Headers],[225]])</calculatedColumnFormula>
    </tableColumn>
    <tableColumn id="20" xr3:uid="{554F6F72-6500-47F5-A305-D25235271790}" name="199" dataDxfId="51">
      <calculatedColumnFormula>COUNTIF(tbl_Solveur7[[#This Row],[L1]:[L10]],--tbl_Solveur7[[#Headers],[199]])</calculatedColumnFormula>
    </tableColumn>
    <tableColumn id="21" xr3:uid="{4AB2B35C-29DC-4612-BA67-1E80EBAE4284}" name="189" dataDxfId="50">
      <calculatedColumnFormula>COUNTIF(tbl_Solveur7[[#This Row],[L1]:[L10]],--tbl_Solveur7[[#Headers],[189]])</calculatedColumnFormula>
    </tableColumn>
    <tableColumn id="19" xr3:uid="{A3D5B2B5-FB1F-43F8-8333-E83833CC67A9}" name="184" dataDxfId="49">
      <calculatedColumnFormula>COUNTIF(tbl_Solveur7[[#This Row],[L1]:[L10]],--tbl_Solveur7[[#Headers],[184]])</calculatedColumnFormula>
    </tableColumn>
    <tableColumn id="76" xr3:uid="{5CE9CDD8-705F-480B-95E5-91C9FF502FA9}" name="170" dataDxfId="48">
      <calculatedColumnFormula>COUNTIF(tbl_Solveur7[[#This Row],[L1]:[L10]],--tbl_Solveur7[[#Headers],[170]])</calculatedColumnFormula>
    </tableColumn>
    <tableColumn id="65" xr3:uid="{16BD757E-209A-4ED5-A796-05F85BB715DA}" name="155" dataDxfId="47">
      <calculatedColumnFormula>COUNTIF(tbl_Solveur7[[#This Row],[L1]:[L10]],--tbl_Solveur7[[#Headers],[155]])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printerSettings" Target="../printerSettings/printerSettings3.bin"/><Relationship Id="rId7" Type="http://schemas.openxmlformats.org/officeDocument/2006/relationships/table" Target="../tables/table4.xml"/><Relationship Id="rId2" Type="http://schemas.openxmlformats.org/officeDocument/2006/relationships/hyperlink" Target="https://www.opticutter.com/cut-list-optimizer/edit" TargetMode="Externa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49544-F70E-4468-8B48-9A446A1AC68D}">
  <sheetPr codeName="Feuil6" filterMode="1"/>
  <dimension ref="A1:DZ220"/>
  <sheetViews>
    <sheetView topLeftCell="AO1" workbookViewId="0">
      <pane ySplit="1" topLeftCell="A101" activePane="bottomLeft" state="frozen"/>
      <selection pane="bottomLeft" activeCell="BA101" sqref="BA101:BA201"/>
    </sheetView>
  </sheetViews>
  <sheetFormatPr defaultColWidth="11.42578125" defaultRowHeight="18.75" x14ac:dyDescent="0.3"/>
  <cols>
    <col min="1" max="1" width="11.7109375" bestFit="1" customWidth="1"/>
    <col min="2" max="2" width="17.42578125" bestFit="1" customWidth="1"/>
    <col min="3" max="3" width="16.28515625" bestFit="1" customWidth="1"/>
    <col min="4" max="4" width="18.28515625" bestFit="1" customWidth="1"/>
    <col min="5" max="5" width="16.42578125" bestFit="1" customWidth="1"/>
    <col min="6" max="6" width="20" bestFit="1" customWidth="1"/>
    <col min="7" max="7" width="14.5703125" bestFit="1" customWidth="1"/>
    <col min="8" max="8" width="18.42578125" bestFit="1" customWidth="1"/>
    <col min="9" max="9" width="15.42578125" bestFit="1" customWidth="1"/>
    <col min="10" max="10" width="8.85546875" style="70" bestFit="1" customWidth="1"/>
    <col min="11" max="11" width="6" bestFit="1" customWidth="1"/>
    <col min="12" max="12" width="4" bestFit="1" customWidth="1"/>
    <col min="13" max="13" width="6" bestFit="1" customWidth="1"/>
    <col min="14" max="15" width="4" bestFit="1" customWidth="1"/>
    <col min="16" max="16" width="3" bestFit="1" customWidth="1"/>
    <col min="17" max="19" width="2.140625" bestFit="1" customWidth="1"/>
    <col min="20" max="22" width="2" bestFit="1" customWidth="1"/>
    <col min="23" max="23" width="16.7109375" bestFit="1" customWidth="1"/>
    <col min="24" max="24" width="2.140625" bestFit="1" customWidth="1"/>
    <col min="25" max="26" width="7" bestFit="1" customWidth="1"/>
    <col min="27" max="27" width="6.85546875" style="160" bestFit="1" customWidth="1"/>
    <col min="28" max="28" width="8.42578125" bestFit="1" customWidth="1"/>
    <col min="29" max="29" width="9.28515625" bestFit="1" customWidth="1"/>
    <col min="30" max="32" width="4" bestFit="1" customWidth="1"/>
    <col min="33" max="38" width="3.28515625" bestFit="1" customWidth="1"/>
    <col min="39" max="39" width="4.42578125" bestFit="1" customWidth="1"/>
    <col min="41" max="41" width="7.28515625" bestFit="1" customWidth="1"/>
    <col min="42" max="42" width="4" bestFit="1" customWidth="1"/>
    <col min="43" max="43" width="19.42578125" bestFit="1" customWidth="1"/>
    <col min="44" max="44" width="8" bestFit="1" customWidth="1"/>
    <col min="46" max="46" width="7.5703125" bestFit="1" customWidth="1"/>
    <col min="47" max="47" width="2" bestFit="1" customWidth="1"/>
    <col min="48" max="48" width="9.28515625" bestFit="1" customWidth="1"/>
    <col min="49" max="49" width="2" bestFit="1" customWidth="1"/>
    <col min="52" max="52" width="11.42578125" style="161"/>
    <col min="53" max="53" width="6.85546875" bestFit="1" customWidth="1"/>
    <col min="54" max="54" width="7.5703125" bestFit="1" customWidth="1"/>
    <col min="55" max="55" width="8.42578125" bestFit="1" customWidth="1"/>
    <col min="56" max="58" width="4" bestFit="1" customWidth="1"/>
    <col min="59" max="64" width="3" bestFit="1" customWidth="1"/>
    <col min="65" max="65" width="4" bestFit="1" customWidth="1"/>
    <col min="66" max="66" width="4.28515625" bestFit="1" customWidth="1"/>
    <col min="67" max="67" width="7.7109375" bestFit="1" customWidth="1"/>
    <col min="68" max="68" width="6.5703125" bestFit="1" customWidth="1"/>
    <col min="69" max="77" width="4" bestFit="1" customWidth="1"/>
    <col min="78" max="78" width="11.42578125" style="161"/>
    <col min="79" max="79" width="6.85546875" bestFit="1" customWidth="1"/>
    <col min="80" max="80" width="8.28515625" bestFit="1" customWidth="1"/>
    <col min="81" max="81" width="9.28515625" bestFit="1" customWidth="1"/>
    <col min="82" max="82" width="11.42578125" bestFit="1" customWidth="1"/>
    <col min="83" max="83" width="12.140625" bestFit="1" customWidth="1"/>
    <col min="85" max="88" width="4.5703125" bestFit="1" customWidth="1"/>
    <col min="89" max="89" width="3.5703125" bestFit="1" customWidth="1"/>
    <col min="90" max="93" width="2.85546875" bestFit="1" customWidth="1"/>
    <col min="94" max="94" width="3.85546875" bestFit="1" customWidth="1"/>
    <col min="95" max="95" width="27.140625" bestFit="1" customWidth="1"/>
    <col min="96" max="96" width="20.140625" bestFit="1" customWidth="1"/>
    <col min="97" max="97" width="11.28515625" bestFit="1" customWidth="1"/>
    <col min="98" max="98" width="6.7109375" bestFit="1" customWidth="1"/>
    <col min="100" max="100" width="18.42578125" bestFit="1" customWidth="1"/>
    <col min="101" max="101" width="26.5703125" bestFit="1" customWidth="1"/>
    <col min="102" max="102" width="6.42578125" bestFit="1" customWidth="1"/>
    <col min="104" max="104" width="9.28515625" bestFit="1" customWidth="1"/>
    <col min="105" max="105" width="4" style="160" bestFit="1" customWidth="1"/>
    <col min="106" max="108" width="4" bestFit="1" customWidth="1"/>
    <col min="109" max="109" width="3" bestFit="1" customWidth="1"/>
    <col min="110" max="113" width="2.85546875" bestFit="1" customWidth="1"/>
    <col min="114" max="114" width="3.85546875" bestFit="1" customWidth="1"/>
    <col min="115" max="115" width="26.5703125" bestFit="1" customWidth="1"/>
    <col min="116" max="116" width="19.5703125" bestFit="1" customWidth="1"/>
    <col min="117" max="117" width="9" bestFit="1" customWidth="1"/>
    <col min="118" max="118" width="7.7109375" bestFit="1" customWidth="1"/>
    <col min="119" max="119" width="6.5703125" bestFit="1" customWidth="1"/>
    <col min="120" max="127" width="4" bestFit="1" customWidth="1"/>
    <col min="128" max="128" width="3" bestFit="1" customWidth="1"/>
    <col min="130" max="130" width="11.42578125" style="161"/>
  </cols>
  <sheetData>
    <row r="1" spans="1:130" s="70" customFormat="1" ht="2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48</v>
      </c>
      <c r="I1" t="s">
        <v>9</v>
      </c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 s="156" t="s">
        <v>178</v>
      </c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7"/>
      <c r="BA1" s="155" t="s">
        <v>179</v>
      </c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  <c r="BW1" s="155"/>
      <c r="BX1" s="155"/>
      <c r="BY1" s="155"/>
      <c r="BZ1" s="159"/>
      <c r="CA1" s="155" t="s">
        <v>180</v>
      </c>
      <c r="CB1" s="167"/>
      <c r="CC1" s="167"/>
      <c r="CD1" s="167"/>
      <c r="CE1" s="167"/>
      <c r="CF1" s="167"/>
      <c r="CG1" s="167"/>
      <c r="CH1" s="167"/>
      <c r="CI1" s="167"/>
      <c r="CJ1" s="167"/>
      <c r="CK1" s="167"/>
      <c r="CL1" s="167"/>
      <c r="CM1" s="167"/>
      <c r="CN1" s="167"/>
      <c r="CO1" s="167"/>
      <c r="CP1" s="167"/>
      <c r="CQ1" s="167"/>
      <c r="CR1" s="167"/>
      <c r="CS1" s="167"/>
      <c r="CT1" s="167"/>
      <c r="CU1" s="167"/>
      <c r="CV1" s="167"/>
      <c r="CW1" s="167"/>
      <c r="CX1" s="167"/>
      <c r="CY1" s="167"/>
      <c r="CZ1" s="167"/>
      <c r="DA1" s="168" t="s">
        <v>181</v>
      </c>
      <c r="DB1" s="167"/>
      <c r="DC1" s="167"/>
      <c r="DD1" s="167"/>
      <c r="DE1" s="167"/>
      <c r="DF1" s="167"/>
      <c r="DG1" s="167"/>
      <c r="DH1" s="167"/>
      <c r="DI1" s="167"/>
      <c r="DJ1" s="167"/>
      <c r="DK1" s="167"/>
      <c r="DL1" s="167"/>
      <c r="DM1" s="167"/>
      <c r="DN1" s="167"/>
      <c r="DO1" s="167"/>
      <c r="DP1" s="167"/>
      <c r="DQ1" s="167"/>
      <c r="DR1" s="167"/>
      <c r="DS1" s="167"/>
      <c r="DT1" s="167"/>
      <c r="DU1" s="167"/>
      <c r="DV1" s="167"/>
      <c r="DW1" s="167"/>
      <c r="DX1" s="167"/>
      <c r="DY1" s="167"/>
      <c r="DZ1" s="169"/>
    </row>
    <row r="2" spans="1:130" s="70" customFormat="1" hidden="1" x14ac:dyDescent="0.3">
      <c r="A2">
        <v>450</v>
      </c>
      <c r="B2">
        <v>115141</v>
      </c>
      <c r="C2">
        <v>117047</v>
      </c>
      <c r="D2">
        <v>160</v>
      </c>
      <c r="E2" t="s">
        <v>28</v>
      </c>
      <c r="F2">
        <v>500</v>
      </c>
      <c r="G2">
        <v>34400</v>
      </c>
      <c r="H2">
        <v>21500</v>
      </c>
      <c r="I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 s="158"/>
      <c r="AZ2" s="159"/>
      <c r="BZ2" s="159"/>
      <c r="DA2" s="158"/>
      <c r="DZ2" s="159"/>
    </row>
    <row r="3" spans="1:130" s="70" customFormat="1" hidden="1" x14ac:dyDescent="0.3">
      <c r="A3">
        <v>450</v>
      </c>
      <c r="B3">
        <v>115141</v>
      </c>
      <c r="C3">
        <v>131110</v>
      </c>
      <c r="D3">
        <v>120</v>
      </c>
      <c r="E3" t="s">
        <v>28</v>
      </c>
      <c r="F3">
        <v>500</v>
      </c>
      <c r="G3">
        <v>31200</v>
      </c>
      <c r="H3">
        <v>26000</v>
      </c>
      <c r="I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58"/>
      <c r="AZ3" s="159"/>
      <c r="BZ3" s="159"/>
      <c r="DA3" s="158"/>
      <c r="DZ3" s="159"/>
    </row>
    <row r="4" spans="1:130" s="70" customFormat="1" hidden="1" x14ac:dyDescent="0.3">
      <c r="A4">
        <v>450</v>
      </c>
      <c r="B4">
        <v>115141</v>
      </c>
      <c r="C4">
        <v>151968</v>
      </c>
      <c r="D4">
        <v>120</v>
      </c>
      <c r="E4" t="s">
        <v>28</v>
      </c>
      <c r="F4">
        <v>500</v>
      </c>
      <c r="G4">
        <v>7200</v>
      </c>
      <c r="H4">
        <v>6000</v>
      </c>
      <c r="I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 s="158"/>
      <c r="AZ4" s="159"/>
      <c r="BZ4" s="159"/>
      <c r="DA4" s="158"/>
      <c r="DZ4" s="159"/>
    </row>
    <row r="5" spans="1:130" s="70" customFormat="1" hidden="1" x14ac:dyDescent="0.3">
      <c r="A5">
        <v>450</v>
      </c>
      <c r="B5">
        <v>115141</v>
      </c>
      <c r="C5">
        <v>126015</v>
      </c>
      <c r="D5">
        <v>105</v>
      </c>
      <c r="E5" t="s">
        <v>28</v>
      </c>
      <c r="F5">
        <v>500</v>
      </c>
      <c r="G5">
        <v>4200</v>
      </c>
      <c r="H5">
        <v>4000</v>
      </c>
      <c r="I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 s="158"/>
      <c r="AZ5" s="159"/>
      <c r="BZ5" s="159"/>
      <c r="DA5" s="158"/>
      <c r="DZ5" s="159"/>
    </row>
    <row r="6" spans="1:130" s="70" customFormat="1" hidden="1" x14ac:dyDescent="0.3">
      <c r="A6">
        <v>450</v>
      </c>
      <c r="B6">
        <v>115141</v>
      </c>
      <c r="C6">
        <v>114170</v>
      </c>
      <c r="D6">
        <v>100</v>
      </c>
      <c r="E6" t="s">
        <v>28</v>
      </c>
      <c r="F6">
        <v>500</v>
      </c>
      <c r="G6">
        <v>71500</v>
      </c>
      <c r="H6">
        <v>71500</v>
      </c>
      <c r="I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 s="158"/>
      <c r="AZ6" s="159"/>
      <c r="BZ6" s="159"/>
      <c r="DA6" s="158"/>
      <c r="DZ6" s="159"/>
    </row>
    <row r="7" spans="1:130" s="70" customFormat="1" hidden="1" x14ac:dyDescent="0.3">
      <c r="A7">
        <v>450</v>
      </c>
      <c r="B7">
        <v>115141</v>
      </c>
      <c r="C7">
        <v>151967</v>
      </c>
      <c r="D7">
        <v>100</v>
      </c>
      <c r="E7" t="s">
        <v>28</v>
      </c>
      <c r="F7">
        <v>500</v>
      </c>
      <c r="G7">
        <v>48000</v>
      </c>
      <c r="H7">
        <v>48000</v>
      </c>
      <c r="I7" s="1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 s="158"/>
      <c r="AZ7" s="159"/>
      <c r="BZ7" s="159"/>
      <c r="DA7" s="158"/>
      <c r="DZ7" s="159"/>
    </row>
    <row r="8" spans="1:130" s="70" customFormat="1" hidden="1" x14ac:dyDescent="0.3">
      <c r="A8">
        <v>450</v>
      </c>
      <c r="B8">
        <v>115141</v>
      </c>
      <c r="C8">
        <v>152720</v>
      </c>
      <c r="D8">
        <v>90</v>
      </c>
      <c r="E8" t="s">
        <v>28</v>
      </c>
      <c r="F8">
        <v>500</v>
      </c>
      <c r="G8">
        <v>3600</v>
      </c>
      <c r="H8">
        <v>4000</v>
      </c>
      <c r="I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 s="158"/>
      <c r="AZ8" s="159"/>
      <c r="BZ8" s="159"/>
      <c r="DA8" s="158"/>
      <c r="DZ8" s="159"/>
    </row>
    <row r="9" spans="1:130" s="70" customFormat="1" hidden="1" x14ac:dyDescent="0.3">
      <c r="A9">
        <v>450</v>
      </c>
      <c r="B9">
        <v>115141</v>
      </c>
      <c r="C9">
        <v>152901</v>
      </c>
      <c r="D9">
        <v>89</v>
      </c>
      <c r="E9" t="s">
        <v>28</v>
      </c>
      <c r="F9">
        <v>500</v>
      </c>
      <c r="G9">
        <v>2225</v>
      </c>
      <c r="H9">
        <v>2500</v>
      </c>
      <c r="I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 s="158"/>
      <c r="AZ9" s="159"/>
      <c r="BZ9" s="159"/>
      <c r="DA9" s="158"/>
      <c r="DZ9" s="159"/>
    </row>
    <row r="10" spans="1:130" s="70" customFormat="1" hidden="1" x14ac:dyDescent="0.3">
      <c r="A10">
        <v>450</v>
      </c>
      <c r="B10">
        <v>115141</v>
      </c>
      <c r="C10">
        <v>151966</v>
      </c>
      <c r="D10">
        <v>45</v>
      </c>
      <c r="E10" t="s">
        <v>28</v>
      </c>
      <c r="F10">
        <v>500</v>
      </c>
      <c r="G10">
        <v>7256</v>
      </c>
      <c r="H10">
        <v>16125</v>
      </c>
      <c r="I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 s="158"/>
      <c r="AZ10" s="159"/>
      <c r="BZ10" s="159"/>
      <c r="DA10" s="158"/>
      <c r="DZ10" s="159"/>
    </row>
    <row r="11" spans="1:130" hidden="1" x14ac:dyDescent="0.3"/>
    <row r="12" spans="1:130" hidden="1" x14ac:dyDescent="0.3"/>
    <row r="13" spans="1:130" hidden="1" x14ac:dyDescent="0.3"/>
    <row r="14" spans="1:130" hidden="1" x14ac:dyDescent="0.3"/>
    <row r="15" spans="1:130" hidden="1" x14ac:dyDescent="0.3"/>
    <row r="16" spans="1:130" s="70" customFormat="1" hidden="1" x14ac:dyDescent="0.3">
      <c r="A16"/>
      <c r="B16"/>
      <c r="C16"/>
      <c r="D16"/>
      <c r="E16"/>
      <c r="F16"/>
      <c r="G16"/>
      <c r="H16" s="71"/>
      <c r="I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 s="158"/>
      <c r="AZ16" s="159"/>
      <c r="BZ16" s="159"/>
      <c r="DA16" s="158"/>
      <c r="DZ16" s="159"/>
    </row>
    <row r="17" spans="1:10" hidden="1" x14ac:dyDescent="0.3"/>
    <row r="18" spans="1:10" hidden="1" x14ac:dyDescent="0.3"/>
    <row r="19" spans="1:10" hidden="1" x14ac:dyDescent="0.3"/>
    <row r="20" spans="1:10" hidden="1" x14ac:dyDescent="0.3"/>
    <row r="21" spans="1:10" hidden="1" x14ac:dyDescent="0.3">
      <c r="A21" t="s">
        <v>0</v>
      </c>
      <c r="B21" t="s">
        <v>1</v>
      </c>
      <c r="C21" t="s">
        <v>2</v>
      </c>
      <c r="D21" t="s">
        <v>3</v>
      </c>
      <c r="E21" t="s">
        <v>4</v>
      </c>
      <c r="F21" t="s">
        <v>5</v>
      </c>
      <c r="G21" t="s">
        <v>6</v>
      </c>
      <c r="H21" t="s">
        <v>48</v>
      </c>
      <c r="I21" t="s">
        <v>9</v>
      </c>
      <c r="J21" s="70" t="s">
        <v>52</v>
      </c>
    </row>
    <row r="22" spans="1:10" hidden="1" x14ac:dyDescent="0.3">
      <c r="A22">
        <v>450</v>
      </c>
      <c r="B22">
        <v>115141</v>
      </c>
      <c r="C22">
        <v>117047</v>
      </c>
      <c r="D22">
        <v>160</v>
      </c>
      <c r="E22" t="s">
        <v>28</v>
      </c>
      <c r="F22">
        <v>500</v>
      </c>
      <c r="G22">
        <v>34400</v>
      </c>
      <c r="H22">
        <v>21500</v>
      </c>
    </row>
    <row r="23" spans="1:10" hidden="1" x14ac:dyDescent="0.3">
      <c r="A23">
        <v>450</v>
      </c>
      <c r="B23">
        <v>115141</v>
      </c>
      <c r="C23">
        <v>131110</v>
      </c>
      <c r="D23">
        <v>120</v>
      </c>
      <c r="E23" t="s">
        <v>28</v>
      </c>
      <c r="F23">
        <v>500</v>
      </c>
      <c r="G23">
        <v>31200</v>
      </c>
      <c r="H23">
        <v>26000</v>
      </c>
    </row>
    <row r="24" spans="1:10" hidden="1" x14ac:dyDescent="0.3">
      <c r="A24">
        <v>450</v>
      </c>
      <c r="B24">
        <v>115141</v>
      </c>
      <c r="C24">
        <v>151968</v>
      </c>
      <c r="D24">
        <v>120</v>
      </c>
      <c r="E24" t="s">
        <v>28</v>
      </c>
      <c r="F24">
        <v>500</v>
      </c>
      <c r="G24">
        <v>7200</v>
      </c>
      <c r="H24">
        <v>6000</v>
      </c>
    </row>
    <row r="25" spans="1:10" hidden="1" x14ac:dyDescent="0.3">
      <c r="A25">
        <v>450</v>
      </c>
      <c r="B25">
        <v>115141</v>
      </c>
      <c r="C25">
        <v>126015</v>
      </c>
      <c r="D25">
        <v>105</v>
      </c>
      <c r="E25" t="s">
        <v>28</v>
      </c>
      <c r="F25">
        <v>500</v>
      </c>
      <c r="G25">
        <v>4200</v>
      </c>
      <c r="H25">
        <v>4000</v>
      </c>
    </row>
    <row r="26" spans="1:10" hidden="1" x14ac:dyDescent="0.3">
      <c r="A26">
        <v>450</v>
      </c>
      <c r="B26">
        <v>115141</v>
      </c>
      <c r="C26">
        <v>114170</v>
      </c>
      <c r="D26">
        <v>100</v>
      </c>
      <c r="E26" t="s">
        <v>28</v>
      </c>
      <c r="F26">
        <v>500</v>
      </c>
      <c r="G26">
        <v>71500</v>
      </c>
      <c r="H26">
        <v>71500</v>
      </c>
    </row>
    <row r="27" spans="1:10" hidden="1" x14ac:dyDescent="0.3">
      <c r="A27">
        <v>450</v>
      </c>
      <c r="B27">
        <v>115141</v>
      </c>
      <c r="C27">
        <v>151967</v>
      </c>
      <c r="D27">
        <v>100</v>
      </c>
      <c r="E27" t="s">
        <v>28</v>
      </c>
      <c r="F27">
        <v>500</v>
      </c>
      <c r="G27">
        <v>48000</v>
      </c>
      <c r="H27">
        <v>48000</v>
      </c>
    </row>
    <row r="28" spans="1:10" hidden="1" x14ac:dyDescent="0.3">
      <c r="A28">
        <v>450</v>
      </c>
      <c r="B28">
        <v>115141</v>
      </c>
      <c r="C28">
        <v>152720</v>
      </c>
      <c r="D28">
        <v>90</v>
      </c>
      <c r="E28" t="s">
        <v>28</v>
      </c>
      <c r="F28">
        <v>500</v>
      </c>
      <c r="G28">
        <v>3600</v>
      </c>
      <c r="H28">
        <v>4000</v>
      </c>
    </row>
    <row r="29" spans="1:10" hidden="1" x14ac:dyDescent="0.3">
      <c r="A29">
        <v>450</v>
      </c>
      <c r="B29">
        <v>115141</v>
      </c>
      <c r="C29">
        <v>152901</v>
      </c>
      <c r="D29">
        <v>89</v>
      </c>
      <c r="E29" t="s">
        <v>28</v>
      </c>
      <c r="F29">
        <v>500</v>
      </c>
      <c r="G29">
        <v>2225</v>
      </c>
      <c r="H29">
        <v>2500</v>
      </c>
    </row>
    <row r="30" spans="1:10" hidden="1" x14ac:dyDescent="0.3">
      <c r="A30">
        <v>450</v>
      </c>
      <c r="B30">
        <v>115141</v>
      </c>
      <c r="C30">
        <v>151966</v>
      </c>
      <c r="D30">
        <v>45</v>
      </c>
      <c r="E30" t="s">
        <v>28</v>
      </c>
      <c r="F30">
        <v>500</v>
      </c>
      <c r="G30">
        <v>7256</v>
      </c>
      <c r="H30">
        <v>16125</v>
      </c>
    </row>
    <row r="31" spans="1:10" hidden="1" x14ac:dyDescent="0.3"/>
    <row r="32" spans="1:10" hidden="1" x14ac:dyDescent="0.3"/>
    <row r="33" spans="1:10" hidden="1" x14ac:dyDescent="0.3"/>
    <row r="34" spans="1:10" hidden="1" x14ac:dyDescent="0.3"/>
    <row r="35" spans="1:10" hidden="1" x14ac:dyDescent="0.3"/>
    <row r="36" spans="1:10" hidden="1" x14ac:dyDescent="0.3"/>
    <row r="37" spans="1:10" hidden="1" x14ac:dyDescent="0.3"/>
    <row r="38" spans="1:10" hidden="1" x14ac:dyDescent="0.3"/>
    <row r="39" spans="1:10" hidden="1" x14ac:dyDescent="0.3"/>
    <row r="40" spans="1:10" hidden="1" x14ac:dyDescent="0.3"/>
    <row r="41" spans="1:10" hidden="1" x14ac:dyDescent="0.3">
      <c r="A41" t="s">
        <v>0</v>
      </c>
      <c r="B41" t="s">
        <v>1</v>
      </c>
      <c r="C41" t="s">
        <v>2</v>
      </c>
      <c r="D41" t="s">
        <v>3</v>
      </c>
      <c r="E41" t="s">
        <v>4</v>
      </c>
      <c r="F41" t="s">
        <v>5</v>
      </c>
      <c r="G41" t="s">
        <v>6</v>
      </c>
      <c r="H41" t="s">
        <v>48</v>
      </c>
      <c r="I41" t="s">
        <v>9</v>
      </c>
      <c r="J41" s="70" t="s">
        <v>51</v>
      </c>
    </row>
    <row r="42" spans="1:10" hidden="1" x14ac:dyDescent="0.3">
      <c r="A42">
        <v>540</v>
      </c>
      <c r="B42">
        <v>142220</v>
      </c>
      <c r="C42">
        <v>139855</v>
      </c>
      <c r="D42">
        <v>225</v>
      </c>
      <c r="E42" t="s">
        <v>50</v>
      </c>
      <c r="F42">
        <v>1200</v>
      </c>
      <c r="G42">
        <v>25475</v>
      </c>
      <c r="H42">
        <v>11322</v>
      </c>
    </row>
    <row r="43" spans="1:10" hidden="1" x14ac:dyDescent="0.3">
      <c r="A43">
        <v>540</v>
      </c>
      <c r="B43">
        <v>142220</v>
      </c>
      <c r="C43">
        <v>145088</v>
      </c>
      <c r="D43">
        <v>199</v>
      </c>
      <c r="E43" t="s">
        <v>50</v>
      </c>
      <c r="F43">
        <v>1200</v>
      </c>
      <c r="G43">
        <v>16716</v>
      </c>
      <c r="H43">
        <v>8400</v>
      </c>
    </row>
    <row r="44" spans="1:10" hidden="1" x14ac:dyDescent="0.3">
      <c r="A44">
        <v>540</v>
      </c>
      <c r="B44">
        <v>142220</v>
      </c>
      <c r="C44">
        <v>149770</v>
      </c>
      <c r="D44">
        <v>184</v>
      </c>
      <c r="E44" t="s">
        <v>50</v>
      </c>
      <c r="F44">
        <v>1200</v>
      </c>
      <c r="G44">
        <v>19872</v>
      </c>
      <c r="H44">
        <v>10800</v>
      </c>
    </row>
    <row r="45" spans="1:10" hidden="1" x14ac:dyDescent="0.3">
      <c r="A45">
        <v>540</v>
      </c>
      <c r="B45">
        <v>142220</v>
      </c>
      <c r="C45">
        <v>142320</v>
      </c>
      <c r="D45">
        <v>175</v>
      </c>
      <c r="E45" t="s">
        <v>50</v>
      </c>
      <c r="F45">
        <v>1200</v>
      </c>
      <c r="G45">
        <v>100800</v>
      </c>
      <c r="H45">
        <v>57600</v>
      </c>
    </row>
    <row r="46" spans="1:10" hidden="1" x14ac:dyDescent="0.3">
      <c r="A46">
        <v>540</v>
      </c>
      <c r="B46">
        <v>142220</v>
      </c>
      <c r="C46">
        <v>139853</v>
      </c>
      <c r="D46">
        <v>170</v>
      </c>
      <c r="E46" t="s">
        <v>50</v>
      </c>
      <c r="F46">
        <v>1200</v>
      </c>
      <c r="G46">
        <v>81600</v>
      </c>
      <c r="H46">
        <v>48000</v>
      </c>
    </row>
    <row r="47" spans="1:10" hidden="1" x14ac:dyDescent="0.3">
      <c r="A47">
        <v>540</v>
      </c>
      <c r="B47">
        <v>142220</v>
      </c>
      <c r="C47">
        <v>139852</v>
      </c>
      <c r="D47">
        <v>155</v>
      </c>
      <c r="E47" t="s">
        <v>50</v>
      </c>
      <c r="F47">
        <v>1200</v>
      </c>
      <c r="G47">
        <v>60099</v>
      </c>
      <c r="H47">
        <v>38774</v>
      </c>
    </row>
    <row r="48" spans="1:10" hidden="1" x14ac:dyDescent="0.3"/>
    <row r="49" spans="1:10" hidden="1" x14ac:dyDescent="0.3"/>
    <row r="50" spans="1:10" hidden="1" x14ac:dyDescent="0.3">
      <c r="G50">
        <f>SUM(G42:G47)</f>
        <v>304562</v>
      </c>
    </row>
    <row r="51" spans="1:10" hidden="1" x14ac:dyDescent="0.3"/>
    <row r="52" spans="1:10" hidden="1" x14ac:dyDescent="0.3"/>
    <row r="53" spans="1:10" hidden="1" x14ac:dyDescent="0.3"/>
    <row r="54" spans="1:10" hidden="1" x14ac:dyDescent="0.3"/>
    <row r="55" spans="1:10" hidden="1" x14ac:dyDescent="0.3"/>
    <row r="56" spans="1:10" hidden="1" x14ac:dyDescent="0.3"/>
    <row r="57" spans="1:10" hidden="1" x14ac:dyDescent="0.3"/>
    <row r="58" spans="1:10" hidden="1" x14ac:dyDescent="0.3"/>
    <row r="59" spans="1:10" hidden="1" x14ac:dyDescent="0.3"/>
    <row r="60" spans="1:10" hidden="1" x14ac:dyDescent="0.3"/>
    <row r="61" spans="1:10" hidden="1" x14ac:dyDescent="0.3">
      <c r="A61" t="s">
        <v>0</v>
      </c>
      <c r="B61" t="s">
        <v>1</v>
      </c>
      <c r="C61" t="s">
        <v>2</v>
      </c>
      <c r="D61" t="s">
        <v>3</v>
      </c>
      <c r="E61" t="s">
        <v>4</v>
      </c>
      <c r="F61" t="s">
        <v>5</v>
      </c>
      <c r="G61" t="s">
        <v>6</v>
      </c>
      <c r="H61" t="s">
        <v>48</v>
      </c>
      <c r="I61" t="s">
        <v>9</v>
      </c>
      <c r="J61" s="70" t="s">
        <v>49</v>
      </c>
    </row>
    <row r="62" spans="1:10" hidden="1" x14ac:dyDescent="0.3">
      <c r="A62">
        <v>291</v>
      </c>
      <c r="B62">
        <v>121584</v>
      </c>
      <c r="C62">
        <v>150025</v>
      </c>
      <c r="D62">
        <v>184</v>
      </c>
      <c r="E62" t="s">
        <v>28</v>
      </c>
      <c r="F62">
        <v>750</v>
      </c>
      <c r="G62">
        <v>16000</v>
      </c>
      <c r="H62">
        <v>9000</v>
      </c>
    </row>
    <row r="63" spans="1:10" hidden="1" x14ac:dyDescent="0.3">
      <c r="A63">
        <v>291</v>
      </c>
      <c r="B63">
        <v>121584</v>
      </c>
      <c r="C63">
        <v>133226</v>
      </c>
      <c r="D63">
        <v>161</v>
      </c>
      <c r="E63" t="s">
        <v>28</v>
      </c>
      <c r="F63">
        <v>750</v>
      </c>
      <c r="G63">
        <v>8000</v>
      </c>
      <c r="H63">
        <v>6000</v>
      </c>
    </row>
    <row r="64" spans="1:10" hidden="1" x14ac:dyDescent="0.3">
      <c r="A64">
        <v>291</v>
      </c>
      <c r="B64">
        <v>121584</v>
      </c>
      <c r="C64">
        <v>143333</v>
      </c>
      <c r="D64">
        <v>160</v>
      </c>
      <c r="E64" t="s">
        <v>28</v>
      </c>
      <c r="F64">
        <v>750</v>
      </c>
      <c r="G64">
        <v>4000</v>
      </c>
      <c r="H64">
        <v>3000</v>
      </c>
    </row>
    <row r="65" spans="1:8" hidden="1" x14ac:dyDescent="0.3">
      <c r="A65">
        <v>291</v>
      </c>
      <c r="B65">
        <v>121584</v>
      </c>
      <c r="C65">
        <v>143332</v>
      </c>
      <c r="D65">
        <v>150</v>
      </c>
      <c r="E65" t="s">
        <v>28</v>
      </c>
      <c r="F65">
        <v>750</v>
      </c>
      <c r="G65">
        <v>13000</v>
      </c>
      <c r="H65">
        <v>9000</v>
      </c>
    </row>
    <row r="66" spans="1:8" hidden="1" x14ac:dyDescent="0.3">
      <c r="A66">
        <v>291</v>
      </c>
      <c r="B66">
        <v>121584</v>
      </c>
      <c r="C66">
        <v>135265</v>
      </c>
      <c r="D66">
        <v>147</v>
      </c>
      <c r="E66" t="s">
        <v>28</v>
      </c>
      <c r="F66">
        <v>750</v>
      </c>
      <c r="G66">
        <v>48000</v>
      </c>
      <c r="H66">
        <v>33000</v>
      </c>
    </row>
    <row r="67" spans="1:8" hidden="1" x14ac:dyDescent="0.3">
      <c r="A67">
        <v>291</v>
      </c>
      <c r="B67">
        <v>121584</v>
      </c>
      <c r="C67">
        <v>126449</v>
      </c>
      <c r="D67">
        <v>147</v>
      </c>
      <c r="E67" t="s">
        <v>28</v>
      </c>
      <c r="F67">
        <v>750</v>
      </c>
      <c r="G67">
        <v>12000</v>
      </c>
      <c r="H67">
        <v>9000</v>
      </c>
    </row>
    <row r="68" spans="1:8" hidden="1" x14ac:dyDescent="0.3">
      <c r="A68">
        <v>291</v>
      </c>
      <c r="B68">
        <v>121584</v>
      </c>
      <c r="C68">
        <v>152164</v>
      </c>
      <c r="D68">
        <v>138</v>
      </c>
      <c r="E68" t="s">
        <v>28</v>
      </c>
      <c r="F68">
        <v>750</v>
      </c>
      <c r="G68">
        <v>1000</v>
      </c>
      <c r="H68">
        <v>0</v>
      </c>
    </row>
    <row r="69" spans="1:8" hidden="1" x14ac:dyDescent="0.3">
      <c r="A69">
        <v>291</v>
      </c>
      <c r="B69">
        <v>121584</v>
      </c>
      <c r="C69">
        <v>153227</v>
      </c>
      <c r="D69">
        <v>135</v>
      </c>
      <c r="E69" t="s">
        <v>28</v>
      </c>
      <c r="F69">
        <v>750</v>
      </c>
      <c r="G69">
        <v>28000</v>
      </c>
      <c r="H69">
        <v>21000</v>
      </c>
    </row>
    <row r="70" spans="1:8" hidden="1" x14ac:dyDescent="0.3">
      <c r="A70">
        <v>291</v>
      </c>
      <c r="B70">
        <v>121584</v>
      </c>
      <c r="C70">
        <v>152663</v>
      </c>
      <c r="D70">
        <v>128</v>
      </c>
      <c r="E70" t="s">
        <v>28</v>
      </c>
      <c r="F70">
        <v>750</v>
      </c>
      <c r="G70">
        <v>3000</v>
      </c>
      <c r="H70">
        <v>3000</v>
      </c>
    </row>
    <row r="71" spans="1:8" hidden="1" x14ac:dyDescent="0.3">
      <c r="A71">
        <v>291</v>
      </c>
      <c r="B71">
        <v>121584</v>
      </c>
      <c r="C71">
        <v>145082</v>
      </c>
      <c r="D71">
        <v>122</v>
      </c>
      <c r="E71" t="s">
        <v>28</v>
      </c>
      <c r="F71">
        <v>750</v>
      </c>
      <c r="G71">
        <v>6000</v>
      </c>
      <c r="H71">
        <v>6000</v>
      </c>
    </row>
    <row r="72" spans="1:8" hidden="1" x14ac:dyDescent="0.3">
      <c r="A72">
        <v>291</v>
      </c>
      <c r="B72">
        <v>121584</v>
      </c>
      <c r="C72">
        <v>153265</v>
      </c>
      <c r="D72">
        <v>120</v>
      </c>
      <c r="E72" t="s">
        <v>28</v>
      </c>
      <c r="F72">
        <v>750</v>
      </c>
      <c r="G72">
        <v>3000</v>
      </c>
      <c r="H72">
        <v>3000</v>
      </c>
    </row>
    <row r="73" spans="1:8" hidden="1" x14ac:dyDescent="0.3">
      <c r="A73">
        <v>291</v>
      </c>
      <c r="B73">
        <v>121584</v>
      </c>
      <c r="C73">
        <v>145081</v>
      </c>
      <c r="D73">
        <v>112</v>
      </c>
      <c r="E73" t="s">
        <v>28</v>
      </c>
      <c r="F73">
        <v>750</v>
      </c>
      <c r="G73">
        <v>20000</v>
      </c>
      <c r="H73">
        <v>18000</v>
      </c>
    </row>
    <row r="74" spans="1:8" hidden="1" x14ac:dyDescent="0.3">
      <c r="A74">
        <v>291</v>
      </c>
      <c r="B74">
        <v>121584</v>
      </c>
      <c r="C74">
        <v>139999</v>
      </c>
      <c r="D74">
        <v>112</v>
      </c>
      <c r="E74" t="s">
        <v>28</v>
      </c>
      <c r="F74">
        <v>750</v>
      </c>
      <c r="G74">
        <v>11000</v>
      </c>
      <c r="H74">
        <v>10000</v>
      </c>
    </row>
    <row r="75" spans="1:8" hidden="1" x14ac:dyDescent="0.3">
      <c r="A75">
        <v>291</v>
      </c>
      <c r="B75">
        <v>121584</v>
      </c>
      <c r="C75">
        <v>150579</v>
      </c>
      <c r="D75">
        <v>108</v>
      </c>
      <c r="E75" t="s">
        <v>28</v>
      </c>
      <c r="F75">
        <v>750</v>
      </c>
      <c r="G75">
        <v>6000</v>
      </c>
      <c r="H75">
        <v>6000</v>
      </c>
    </row>
    <row r="76" spans="1:8" hidden="1" x14ac:dyDescent="0.3">
      <c r="A76">
        <v>291</v>
      </c>
      <c r="B76">
        <v>121584</v>
      </c>
      <c r="C76">
        <v>137203</v>
      </c>
      <c r="D76">
        <v>97</v>
      </c>
      <c r="E76" t="s">
        <v>28</v>
      </c>
      <c r="F76">
        <v>750</v>
      </c>
      <c r="G76">
        <v>116000</v>
      </c>
      <c r="H76">
        <v>60000</v>
      </c>
    </row>
    <row r="77" spans="1:8" hidden="1" x14ac:dyDescent="0.3">
      <c r="A77">
        <v>291</v>
      </c>
      <c r="B77">
        <v>121584</v>
      </c>
      <c r="C77">
        <v>137202</v>
      </c>
      <c r="D77">
        <v>86</v>
      </c>
      <c r="E77" t="s">
        <v>28</v>
      </c>
      <c r="F77">
        <v>750</v>
      </c>
      <c r="G77">
        <v>10000</v>
      </c>
      <c r="H77">
        <v>12000</v>
      </c>
    </row>
    <row r="78" spans="1:8" hidden="1" x14ac:dyDescent="0.3">
      <c r="A78">
        <v>291</v>
      </c>
      <c r="B78">
        <v>121584</v>
      </c>
      <c r="C78">
        <v>135854</v>
      </c>
      <c r="D78">
        <v>76</v>
      </c>
      <c r="E78" t="s">
        <v>28</v>
      </c>
      <c r="F78">
        <v>750</v>
      </c>
      <c r="G78">
        <v>52000</v>
      </c>
      <c r="H78">
        <v>72000</v>
      </c>
    </row>
    <row r="79" spans="1:8" hidden="1" x14ac:dyDescent="0.3">
      <c r="A79">
        <v>291</v>
      </c>
      <c r="B79">
        <v>121584</v>
      </c>
      <c r="C79">
        <v>136029</v>
      </c>
      <c r="D79">
        <v>58</v>
      </c>
      <c r="E79" t="s">
        <v>28</v>
      </c>
      <c r="F79">
        <v>750</v>
      </c>
      <c r="G79">
        <v>40000</v>
      </c>
      <c r="H79">
        <v>72000</v>
      </c>
    </row>
    <row r="80" spans="1:8" hidden="1" x14ac:dyDescent="0.3"/>
    <row r="81" spans="1:10" hidden="1" x14ac:dyDescent="0.3">
      <c r="A81" t="s">
        <v>0</v>
      </c>
      <c r="B81" t="s">
        <v>1</v>
      </c>
      <c r="C81" t="s">
        <v>2</v>
      </c>
      <c r="D81" t="s">
        <v>3</v>
      </c>
      <c r="E81" t="s">
        <v>4</v>
      </c>
      <c r="F81" t="s">
        <v>5</v>
      </c>
      <c r="G81" t="s">
        <v>6</v>
      </c>
      <c r="H81" t="s">
        <v>48</v>
      </c>
      <c r="I81" t="s">
        <v>9</v>
      </c>
      <c r="J81" s="70" t="s">
        <v>47</v>
      </c>
    </row>
    <row r="82" spans="1:10" hidden="1" x14ac:dyDescent="0.3">
      <c r="A82">
        <v>450</v>
      </c>
      <c r="B82">
        <v>119931</v>
      </c>
      <c r="C82">
        <v>126470</v>
      </c>
      <c r="D82">
        <v>150</v>
      </c>
      <c r="E82" t="s">
        <v>28</v>
      </c>
      <c r="F82">
        <v>500</v>
      </c>
      <c r="G82">
        <v>49500</v>
      </c>
      <c r="H82">
        <v>33000</v>
      </c>
    </row>
    <row r="83" spans="1:10" hidden="1" x14ac:dyDescent="0.3">
      <c r="A83">
        <v>450</v>
      </c>
      <c r="B83">
        <v>119931</v>
      </c>
      <c r="C83">
        <v>143455</v>
      </c>
      <c r="D83">
        <v>145</v>
      </c>
      <c r="E83" t="s">
        <v>28</v>
      </c>
      <c r="F83">
        <v>500</v>
      </c>
      <c r="G83">
        <v>9425</v>
      </c>
      <c r="H83">
        <v>6500</v>
      </c>
    </row>
    <row r="84" spans="1:10" hidden="1" x14ac:dyDescent="0.3">
      <c r="A84">
        <v>450</v>
      </c>
      <c r="B84">
        <v>151954</v>
      </c>
      <c r="C84">
        <v>151956</v>
      </c>
      <c r="D84">
        <v>130</v>
      </c>
      <c r="E84" t="s">
        <v>28</v>
      </c>
      <c r="F84">
        <v>500</v>
      </c>
      <c r="G84">
        <v>14741</v>
      </c>
      <c r="H84">
        <v>11339</v>
      </c>
    </row>
    <row r="85" spans="1:10" hidden="1" x14ac:dyDescent="0.3">
      <c r="A85">
        <v>450</v>
      </c>
      <c r="B85">
        <v>119931</v>
      </c>
      <c r="C85">
        <v>131442</v>
      </c>
      <c r="D85">
        <v>127</v>
      </c>
      <c r="E85" t="s">
        <v>28</v>
      </c>
      <c r="F85">
        <v>500</v>
      </c>
      <c r="G85">
        <v>2540</v>
      </c>
      <c r="H85">
        <v>2000</v>
      </c>
    </row>
    <row r="86" spans="1:10" hidden="1" x14ac:dyDescent="0.3">
      <c r="A86">
        <v>450</v>
      </c>
      <c r="B86">
        <v>119931</v>
      </c>
      <c r="C86">
        <v>129699</v>
      </c>
      <c r="D86">
        <v>122</v>
      </c>
      <c r="E86" t="s">
        <v>28</v>
      </c>
      <c r="F86">
        <v>500</v>
      </c>
      <c r="G86">
        <v>16470</v>
      </c>
      <c r="H86">
        <v>13500</v>
      </c>
    </row>
    <row r="87" spans="1:10" hidden="1" x14ac:dyDescent="0.3"/>
    <row r="88" spans="1:10" hidden="1" x14ac:dyDescent="0.3"/>
    <row r="89" spans="1:10" hidden="1" x14ac:dyDescent="0.3"/>
    <row r="90" spans="1:10" hidden="1" x14ac:dyDescent="0.3"/>
    <row r="91" spans="1:10" hidden="1" x14ac:dyDescent="0.3"/>
    <row r="92" spans="1:10" hidden="1" x14ac:dyDescent="0.3"/>
    <row r="93" spans="1:10" hidden="1" x14ac:dyDescent="0.3"/>
    <row r="94" spans="1:10" hidden="1" x14ac:dyDescent="0.3"/>
    <row r="95" spans="1:10" hidden="1" x14ac:dyDescent="0.3"/>
    <row r="96" spans="1:10" hidden="1" x14ac:dyDescent="0.3"/>
    <row r="97" spans="1:124" hidden="1" x14ac:dyDescent="0.3"/>
    <row r="98" spans="1:124" hidden="1" x14ac:dyDescent="0.3"/>
    <row r="99" spans="1:124" hidden="1" x14ac:dyDescent="0.3"/>
    <row r="100" spans="1:124" hidden="1" x14ac:dyDescent="0.3"/>
    <row r="101" spans="1:124" x14ac:dyDescent="0.3">
      <c r="A101" t="s">
        <v>0</v>
      </c>
      <c r="B101" t="s">
        <v>1</v>
      </c>
      <c r="C101" t="s">
        <v>2</v>
      </c>
      <c r="D101" t="s">
        <v>3</v>
      </c>
      <c r="E101" t="s">
        <v>4</v>
      </c>
      <c r="F101" t="s">
        <v>5</v>
      </c>
      <c r="G101" t="s">
        <v>6</v>
      </c>
      <c r="H101" t="s">
        <v>48</v>
      </c>
      <c r="I101" t="s">
        <v>9</v>
      </c>
      <c r="J101" s="27"/>
      <c r="AA101" s="162" t="s">
        <v>7</v>
      </c>
      <c r="AB101" s="3" t="s">
        <v>10</v>
      </c>
      <c r="AC101" s="3" t="s">
        <v>11</v>
      </c>
      <c r="AD101" s="3" t="s">
        <v>12</v>
      </c>
      <c r="AE101" s="3" t="s">
        <v>13</v>
      </c>
      <c r="AF101" s="3" t="s">
        <v>14</v>
      </c>
      <c r="AG101" s="3" t="s">
        <v>15</v>
      </c>
      <c r="AH101" s="3" t="s">
        <v>16</v>
      </c>
      <c r="AI101" s="3" t="s">
        <v>17</v>
      </c>
      <c r="AJ101" s="3" t="s">
        <v>19</v>
      </c>
      <c r="AK101" s="3" t="s">
        <v>18</v>
      </c>
      <c r="AL101" s="3" t="s">
        <v>20</v>
      </c>
      <c r="AM101" s="4" t="s">
        <v>21</v>
      </c>
      <c r="AO101" s="45" t="s">
        <v>43</v>
      </c>
      <c r="AP101" s="5" t="s">
        <v>26</v>
      </c>
      <c r="AQ101" s="5" t="s">
        <v>25</v>
      </c>
      <c r="AR101" s="5" t="s">
        <v>24</v>
      </c>
      <c r="AT101" s="5" t="s">
        <v>10</v>
      </c>
      <c r="AU101" s="6">
        <f>'Résultats Regroupés'!AA102/100</f>
        <v>0</v>
      </c>
      <c r="AV101" s="5" t="s">
        <v>27</v>
      </c>
      <c r="AW101" s="6">
        <f>'Résultats Regroupés'!AF102</f>
        <v>0</v>
      </c>
      <c r="BA101" s="138" t="s">
        <v>152</v>
      </c>
      <c r="BB101" s="138"/>
      <c r="BC101" s="138"/>
      <c r="BD101" s="138"/>
      <c r="BE101" s="138"/>
      <c r="BF101" s="138"/>
      <c r="BG101" s="138"/>
      <c r="BH101" s="138"/>
      <c r="BI101" s="138"/>
      <c r="BJ101" s="138"/>
      <c r="BK101" s="138"/>
      <c r="BL101" s="138"/>
      <c r="BM101" s="138"/>
      <c r="BN101" s="58"/>
      <c r="BO101" s="61"/>
      <c r="BP101" s="62">
        <v>7</v>
      </c>
      <c r="BQ101" s="60">
        <v>23</v>
      </c>
      <c r="BR101" s="60">
        <v>205</v>
      </c>
      <c r="BS101" s="60">
        <v>145</v>
      </c>
      <c r="BT101" s="60">
        <v>24</v>
      </c>
      <c r="BU101" s="60">
        <v>90</v>
      </c>
      <c r="CA101" s="126">
        <v>14</v>
      </c>
      <c r="CB101" s="126">
        <v>26</v>
      </c>
      <c r="CC101" s="65"/>
      <c r="CD101" s="125">
        <v>54600.040000000015</v>
      </c>
      <c r="CE101" s="65"/>
      <c r="CF101" s="124">
        <v>0.91304414715719084</v>
      </c>
      <c r="CG101" s="140" t="s">
        <v>176</v>
      </c>
      <c r="CH101" s="139"/>
      <c r="CI101" s="139"/>
      <c r="CJ101" s="139"/>
      <c r="CK101" s="139"/>
      <c r="CL101" s="139"/>
      <c r="CM101" s="139"/>
      <c r="CN101" s="139"/>
      <c r="CO101" s="139"/>
      <c r="CP101" s="139"/>
      <c r="CQ101" s="139"/>
      <c r="CR101" s="139"/>
      <c r="CS101" s="123">
        <v>95</v>
      </c>
      <c r="CT101" s="123">
        <v>11</v>
      </c>
      <c r="CU101" s="65"/>
      <c r="CV101" s="65"/>
      <c r="CW101" s="65"/>
      <c r="CX101" s="65"/>
      <c r="CY101" s="65"/>
      <c r="CZ101" s="65"/>
      <c r="DA101" s="164" t="s">
        <v>177</v>
      </c>
      <c r="DB101" s="149"/>
      <c r="DC101" s="149"/>
      <c r="DD101" s="149"/>
      <c r="DE101" s="149"/>
      <c r="DF101" s="149"/>
      <c r="DG101" s="149"/>
      <c r="DH101" s="149"/>
      <c r="DI101" s="149"/>
      <c r="DJ101" s="149"/>
      <c r="DL101">
        <v>18</v>
      </c>
      <c r="DM101" s="60">
        <v>5</v>
      </c>
      <c r="DN101" s="60"/>
      <c r="DO101" s="60">
        <v>11</v>
      </c>
      <c r="DP101" s="60">
        <v>6</v>
      </c>
      <c r="DQ101" s="60">
        <v>82</v>
      </c>
      <c r="DR101" s="60">
        <v>58</v>
      </c>
      <c r="DS101" s="60">
        <v>8</v>
      </c>
      <c r="DT101" s="60">
        <v>36</v>
      </c>
    </row>
    <row r="102" spans="1:124" hidden="1" x14ac:dyDescent="0.3">
      <c r="A102">
        <v>460</v>
      </c>
      <c r="B102">
        <v>115107</v>
      </c>
      <c r="C102">
        <v>131443</v>
      </c>
      <c r="D102">
        <v>127</v>
      </c>
      <c r="E102" t="s">
        <v>28</v>
      </c>
      <c r="F102">
        <v>500</v>
      </c>
      <c r="G102">
        <v>1905</v>
      </c>
      <c r="H102">
        <v>1500</v>
      </c>
      <c r="J102" s="2" t="s">
        <v>10</v>
      </c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6"/>
      <c r="X102" s="137"/>
      <c r="Y102" s="137"/>
      <c r="Z102" s="137"/>
      <c r="AA102" s="160" t="s">
        <v>8</v>
      </c>
      <c r="AB102">
        <f t="shared" ref="AB102:AB109" si="0">SUM(AD102:AM102)</f>
        <v>376</v>
      </c>
      <c r="AC102" s="12">
        <v>500</v>
      </c>
      <c r="AD102">
        <v>127</v>
      </c>
      <c r="AE102">
        <v>127</v>
      </c>
      <c r="AF102" s="141">
        <v>122</v>
      </c>
      <c r="AM102" s="8"/>
      <c r="AO102" s="35" t="s">
        <v>116</v>
      </c>
      <c r="AP102" s="15">
        <v>1</v>
      </c>
      <c r="AQ102" s="15">
        <v>1880</v>
      </c>
      <c r="AR102" s="16">
        <v>2300</v>
      </c>
      <c r="AT102" s="40">
        <v>122</v>
      </c>
      <c r="AU102" s="51"/>
      <c r="AV102" s="52"/>
      <c r="AW102" s="50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>
        <v>0</v>
      </c>
      <c r="BO102" s="67">
        <v>87</v>
      </c>
      <c r="BP102" s="62"/>
      <c r="BQ102" s="145">
        <v>4</v>
      </c>
      <c r="BR102" s="145">
        <v>42</v>
      </c>
      <c r="BS102" s="145">
        <v>29</v>
      </c>
      <c r="BT102" s="145">
        <v>4</v>
      </c>
      <c r="BU102" s="145">
        <v>18</v>
      </c>
      <c r="CA102" s="65" t="s">
        <v>106</v>
      </c>
      <c r="CB102" s="65" t="s">
        <v>105</v>
      </c>
      <c r="CC102" s="65" t="s">
        <v>27</v>
      </c>
      <c r="CD102" s="65" t="s">
        <v>10</v>
      </c>
      <c r="CE102" s="65" t="s">
        <v>104</v>
      </c>
      <c r="CF102" s="73" t="s">
        <v>103</v>
      </c>
      <c r="CG102" s="122" t="s">
        <v>102</v>
      </c>
      <c r="CH102" s="122" t="s">
        <v>101</v>
      </c>
      <c r="CI102" s="122" t="s">
        <v>100</v>
      </c>
      <c r="CJ102" s="122" t="s">
        <v>99</v>
      </c>
      <c r="CK102" s="122" t="s">
        <v>98</v>
      </c>
      <c r="CL102" s="122" t="s">
        <v>97</v>
      </c>
      <c r="CM102" s="122" t="s">
        <v>96</v>
      </c>
      <c r="CN102" s="122" t="s">
        <v>95</v>
      </c>
      <c r="CO102" s="122" t="s">
        <v>94</v>
      </c>
      <c r="CP102" s="122" t="s">
        <v>93</v>
      </c>
      <c r="CQ102" s="121" t="s">
        <v>87</v>
      </c>
      <c r="CR102" s="121" t="s">
        <v>92</v>
      </c>
      <c r="CS102" s="65" t="s">
        <v>91</v>
      </c>
      <c r="CT102" s="65" t="s">
        <v>88</v>
      </c>
      <c r="CU102" s="65"/>
      <c r="CV102" t="s">
        <v>90</v>
      </c>
      <c r="CZ102" t="s">
        <v>27</v>
      </c>
      <c r="DM102" s="60">
        <v>2</v>
      </c>
      <c r="DN102" s="60">
        <v>66</v>
      </c>
      <c r="DO102" s="60"/>
      <c r="DP102" s="60">
        <v>3</v>
      </c>
      <c r="DQ102" s="60">
        <v>41</v>
      </c>
      <c r="DR102" s="60">
        <v>33</v>
      </c>
      <c r="DS102" s="60">
        <v>5</v>
      </c>
      <c r="DT102" s="60">
        <v>19</v>
      </c>
    </row>
    <row r="103" spans="1:124" ht="15.75" hidden="1" thickBot="1" x14ac:dyDescent="0.3">
      <c r="A103">
        <v>460</v>
      </c>
      <c r="B103">
        <v>115107</v>
      </c>
      <c r="C103">
        <v>129701</v>
      </c>
      <c r="D103">
        <v>122</v>
      </c>
      <c r="E103" t="s">
        <v>28</v>
      </c>
      <c r="F103">
        <v>500</v>
      </c>
      <c r="G103">
        <v>18300</v>
      </c>
      <c r="H103">
        <v>15000</v>
      </c>
      <c r="J103" s="7">
        <f t="shared" ref="J103:J110" si="1">SUM(L103:U103)</f>
        <v>0</v>
      </c>
      <c r="W103" s="33"/>
      <c r="X103" s="15"/>
      <c r="Y103" s="15"/>
      <c r="Z103" s="15"/>
      <c r="AA103" s="160" t="s">
        <v>29</v>
      </c>
      <c r="AB103">
        <f t="shared" si="0"/>
        <v>371</v>
      </c>
      <c r="AC103" s="13">
        <v>500</v>
      </c>
      <c r="AD103">
        <v>127</v>
      </c>
      <c r="AE103" s="141">
        <v>122</v>
      </c>
      <c r="AF103" s="141">
        <v>122</v>
      </c>
      <c r="AM103" s="8"/>
      <c r="AO103" s="35" t="s">
        <v>117</v>
      </c>
      <c r="AP103" s="15">
        <v>1</v>
      </c>
      <c r="AQ103" s="15">
        <v>1855</v>
      </c>
      <c r="AR103" s="16">
        <v>2300</v>
      </c>
      <c r="AT103" s="56"/>
      <c r="AU103" s="55"/>
      <c r="AV103" s="54"/>
      <c r="AW103" s="53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65">
        <v>97</v>
      </c>
      <c r="BO103" s="63">
        <v>37</v>
      </c>
      <c r="BP103" s="64">
        <v>5</v>
      </c>
      <c r="BQ103" s="60">
        <v>3</v>
      </c>
      <c r="BR103" s="65">
        <v>41</v>
      </c>
      <c r="BS103" s="65">
        <v>29</v>
      </c>
      <c r="BT103" s="65">
        <v>4</v>
      </c>
      <c r="BU103" s="65">
        <v>18</v>
      </c>
      <c r="CA103" s="105" t="s">
        <v>72</v>
      </c>
      <c r="CB103" s="105">
        <v>1</v>
      </c>
      <c r="CC103" s="105">
        <v>500</v>
      </c>
      <c r="CD103" s="105">
        <v>460</v>
      </c>
      <c r="CE103" s="105">
        <v>371</v>
      </c>
      <c r="CF103" s="108">
        <v>0.80652173913043479</v>
      </c>
      <c r="CG103" s="114">
        <v>127</v>
      </c>
      <c r="CH103" s="109">
        <v>122</v>
      </c>
      <c r="CI103" s="109">
        <v>122</v>
      </c>
      <c r="CJ103" s="106"/>
      <c r="CK103" s="106"/>
      <c r="CL103" s="106"/>
      <c r="CM103" s="106"/>
      <c r="CN103" s="106"/>
      <c r="CO103" s="106"/>
      <c r="CP103" s="106"/>
      <c r="CQ103" s="107" t="s">
        <v>168</v>
      </c>
      <c r="CR103" s="107" t="s">
        <v>169</v>
      </c>
      <c r="CS103" s="106">
        <v>3</v>
      </c>
      <c r="CT103" s="105">
        <v>1</v>
      </c>
      <c r="CU103" s="65"/>
      <c r="CV103" t="s">
        <v>88</v>
      </c>
      <c r="CW103" t="s">
        <v>87</v>
      </c>
      <c r="CX103" t="s">
        <v>86</v>
      </c>
      <c r="CZ103" s="119">
        <v>127</v>
      </c>
      <c r="DM103" s="60">
        <v>26</v>
      </c>
      <c r="DN103" s="60">
        <v>26</v>
      </c>
      <c r="DO103" s="60">
        <v>4</v>
      </c>
      <c r="DP103" s="60">
        <v>3</v>
      </c>
      <c r="DQ103" s="60">
        <v>41</v>
      </c>
      <c r="DR103" s="60">
        <v>29</v>
      </c>
      <c r="DS103" s="60">
        <v>4</v>
      </c>
      <c r="DT103" s="65">
        <v>18</v>
      </c>
    </row>
    <row r="104" spans="1:124" ht="15.75" hidden="1" thickBot="1" x14ac:dyDescent="0.3">
      <c r="A104">
        <v>460</v>
      </c>
      <c r="B104">
        <v>115107</v>
      </c>
      <c r="C104">
        <v>146414</v>
      </c>
      <c r="D104">
        <v>122</v>
      </c>
      <c r="E104" t="s">
        <v>28</v>
      </c>
      <c r="F104">
        <v>500</v>
      </c>
      <c r="G104">
        <v>6710</v>
      </c>
      <c r="H104">
        <v>5500</v>
      </c>
      <c r="J104" s="7">
        <f t="shared" si="1"/>
        <v>0</v>
      </c>
      <c r="W104" s="33"/>
      <c r="X104" s="15"/>
      <c r="Y104" s="15"/>
      <c r="Z104" s="15"/>
      <c r="AA104" s="160" t="s">
        <v>30</v>
      </c>
      <c r="AB104">
        <f t="shared" si="0"/>
        <v>366</v>
      </c>
      <c r="AC104" s="13">
        <v>4500</v>
      </c>
      <c r="AD104" s="141">
        <v>122</v>
      </c>
      <c r="AE104" s="141">
        <v>122</v>
      </c>
      <c r="AF104" s="141">
        <v>122</v>
      </c>
      <c r="AM104" s="8"/>
      <c r="AO104" s="35" t="s">
        <v>118</v>
      </c>
      <c r="AP104" s="15">
        <v>9</v>
      </c>
      <c r="AQ104" s="15">
        <v>16470</v>
      </c>
      <c r="AR104" s="16">
        <v>20700</v>
      </c>
      <c r="AT104" s="36"/>
      <c r="AU104" s="38"/>
      <c r="AV104" s="37"/>
      <c r="AW104" s="39"/>
      <c r="BA104" s="59" t="s">
        <v>7</v>
      </c>
      <c r="BB104" s="59" t="s">
        <v>10</v>
      </c>
      <c r="BC104" s="59" t="s">
        <v>11</v>
      </c>
      <c r="BD104" s="59" t="s">
        <v>12</v>
      </c>
      <c r="BE104" s="59" t="s">
        <v>13</v>
      </c>
      <c r="BF104" s="59" t="s">
        <v>14</v>
      </c>
      <c r="BG104" s="59" t="s">
        <v>15</v>
      </c>
      <c r="BH104" s="59" t="s">
        <v>16</v>
      </c>
      <c r="BI104" s="59" t="s">
        <v>17</v>
      </c>
      <c r="BJ104" s="59" t="s">
        <v>19</v>
      </c>
      <c r="BK104" s="59" t="s">
        <v>18</v>
      </c>
      <c r="BL104" s="59" t="s">
        <v>20</v>
      </c>
      <c r="BM104" s="59" t="s">
        <v>21</v>
      </c>
      <c r="BN104" s="59" t="s">
        <v>46</v>
      </c>
      <c r="BO104" s="63" t="s">
        <v>44</v>
      </c>
      <c r="BP104" s="64" t="s">
        <v>45</v>
      </c>
      <c r="BQ104" s="60" t="s">
        <v>126</v>
      </c>
      <c r="BR104" s="66" t="s">
        <v>127</v>
      </c>
      <c r="BS104" s="66" t="s">
        <v>128</v>
      </c>
      <c r="BT104" s="66" t="s">
        <v>129</v>
      </c>
      <c r="BU104" s="66" t="s">
        <v>130</v>
      </c>
      <c r="CA104" s="105" t="s">
        <v>79</v>
      </c>
      <c r="CB104" s="105">
        <v>1</v>
      </c>
      <c r="CC104" s="105">
        <v>500</v>
      </c>
      <c r="CD104" s="105">
        <v>460</v>
      </c>
      <c r="CE104" s="105">
        <v>459</v>
      </c>
      <c r="CF104" s="108">
        <v>0.99782608695652175</v>
      </c>
      <c r="CG104" s="114">
        <v>127</v>
      </c>
      <c r="CH104" s="150">
        <v>112</v>
      </c>
      <c r="CI104" s="150">
        <v>112</v>
      </c>
      <c r="CJ104" s="151">
        <v>108</v>
      </c>
      <c r="CK104" s="106"/>
      <c r="CL104" s="106"/>
      <c r="CM104" s="106"/>
      <c r="CN104" s="106"/>
      <c r="CO104" s="106"/>
      <c r="CP104" s="106"/>
      <c r="CQ104" s="107" t="s">
        <v>156</v>
      </c>
      <c r="CR104" s="107" t="s">
        <v>157</v>
      </c>
      <c r="CS104" s="106">
        <v>4</v>
      </c>
      <c r="CT104" s="105">
        <v>2</v>
      </c>
      <c r="CU104" s="65"/>
      <c r="CV104">
        <v>5</v>
      </c>
      <c r="CW104" t="s">
        <v>172</v>
      </c>
      <c r="CX104">
        <v>3</v>
      </c>
      <c r="CZ104" s="71">
        <v>122</v>
      </c>
      <c r="DA104" s="165" t="s">
        <v>102</v>
      </c>
      <c r="DB104" s="65" t="s">
        <v>101</v>
      </c>
      <c r="DC104" s="65" t="s">
        <v>100</v>
      </c>
      <c r="DD104" s="65" t="s">
        <v>99</v>
      </c>
      <c r="DE104" s="65" t="s">
        <v>98</v>
      </c>
      <c r="DF104" s="65" t="s">
        <v>97</v>
      </c>
      <c r="DG104" s="65" t="s">
        <v>96</v>
      </c>
      <c r="DH104" s="65" t="s">
        <v>95</v>
      </c>
      <c r="DI104" s="65" t="s">
        <v>94</v>
      </c>
      <c r="DJ104" s="65" t="s">
        <v>93</v>
      </c>
      <c r="DK104" s="133" t="s">
        <v>87</v>
      </c>
      <c r="DL104" s="133" t="s">
        <v>92</v>
      </c>
      <c r="DM104" s="132" t="s">
        <v>114</v>
      </c>
      <c r="DN104" s="132" t="s">
        <v>44</v>
      </c>
      <c r="DO104" s="132" t="s">
        <v>45</v>
      </c>
      <c r="DP104" s="57" t="s">
        <v>126</v>
      </c>
      <c r="DQ104" s="60" t="s">
        <v>127</v>
      </c>
      <c r="DR104" s="60" t="s">
        <v>128</v>
      </c>
      <c r="DS104" s="60" t="s">
        <v>129</v>
      </c>
      <c r="DT104" s="66" t="s">
        <v>130</v>
      </c>
    </row>
    <row r="105" spans="1:124" ht="15.75" hidden="1" thickBot="1" x14ac:dyDescent="0.3">
      <c r="A105">
        <v>460</v>
      </c>
      <c r="B105">
        <v>115107</v>
      </c>
      <c r="C105">
        <v>146413</v>
      </c>
      <c r="D105">
        <v>112</v>
      </c>
      <c r="E105" t="s">
        <v>28</v>
      </c>
      <c r="F105">
        <v>500</v>
      </c>
      <c r="G105">
        <v>15895</v>
      </c>
      <c r="H105">
        <v>14192</v>
      </c>
      <c r="J105" s="7">
        <f t="shared" si="1"/>
        <v>0</v>
      </c>
      <c r="W105" s="33"/>
      <c r="X105" s="15"/>
      <c r="Y105" s="15"/>
      <c r="Z105" s="15"/>
      <c r="AA105" s="160" t="s">
        <v>31</v>
      </c>
      <c r="AB105">
        <f t="shared" si="0"/>
        <v>366</v>
      </c>
      <c r="AC105" s="13">
        <v>1500</v>
      </c>
      <c r="AD105" s="51">
        <v>122</v>
      </c>
      <c r="AE105" s="51">
        <v>122</v>
      </c>
      <c r="AF105" s="51">
        <v>122</v>
      </c>
      <c r="AM105" s="8"/>
      <c r="AO105" s="35" t="s">
        <v>118</v>
      </c>
      <c r="AP105" s="15">
        <v>3</v>
      </c>
      <c r="AQ105" s="15">
        <v>5490</v>
      </c>
      <c r="AR105" s="16">
        <v>6900</v>
      </c>
      <c r="AT105" s="41"/>
      <c r="AU105" s="42"/>
      <c r="AV105" s="43"/>
      <c r="AW105" s="44"/>
      <c r="BA105" s="142" t="s">
        <v>8</v>
      </c>
      <c r="BB105" s="142">
        <v>376</v>
      </c>
      <c r="BC105" s="142">
        <v>500</v>
      </c>
      <c r="BD105" s="142">
        <v>127</v>
      </c>
      <c r="BE105" s="142">
        <v>127</v>
      </c>
      <c r="BF105" s="142">
        <v>122</v>
      </c>
      <c r="BG105" s="142"/>
      <c r="BH105" s="142"/>
      <c r="BI105" s="142"/>
      <c r="BJ105" s="142"/>
      <c r="BK105" s="142"/>
      <c r="BL105" s="142"/>
      <c r="BM105" s="142"/>
      <c r="BN105" s="143">
        <v>3</v>
      </c>
      <c r="BO105" s="68">
        <v>2</v>
      </c>
      <c r="BP105" s="144">
        <v>1</v>
      </c>
      <c r="BQ105" s="57">
        <v>2</v>
      </c>
      <c r="BR105" s="60">
        <v>1</v>
      </c>
      <c r="BS105" s="60">
        <v>0</v>
      </c>
      <c r="BT105" s="60">
        <v>0</v>
      </c>
      <c r="BU105" s="60">
        <v>0</v>
      </c>
      <c r="CA105" s="105" t="s">
        <v>75</v>
      </c>
      <c r="CB105" s="105">
        <v>1</v>
      </c>
      <c r="CC105" s="105">
        <v>500</v>
      </c>
      <c r="CD105" s="105">
        <v>460</v>
      </c>
      <c r="CE105" s="105">
        <v>458</v>
      </c>
      <c r="CF105" s="108">
        <v>0.9956521739130435</v>
      </c>
      <c r="CG105" s="114">
        <v>127</v>
      </c>
      <c r="CH105" s="150">
        <v>112</v>
      </c>
      <c r="CI105" s="150">
        <v>112</v>
      </c>
      <c r="CJ105" s="152">
        <v>107</v>
      </c>
      <c r="CK105" s="106"/>
      <c r="CL105" s="106"/>
      <c r="CM105" s="106"/>
      <c r="CN105" s="106"/>
      <c r="CO105" s="106"/>
      <c r="CP105" s="106"/>
      <c r="CQ105" s="107" t="s">
        <v>162</v>
      </c>
      <c r="CR105" s="107" t="s">
        <v>163</v>
      </c>
      <c r="CS105" s="106">
        <v>4</v>
      </c>
      <c r="CT105" s="105">
        <v>3</v>
      </c>
      <c r="CU105" s="65"/>
      <c r="CV105">
        <v>7</v>
      </c>
      <c r="CW105" t="s">
        <v>160</v>
      </c>
      <c r="CX105">
        <v>2</v>
      </c>
      <c r="CZ105" s="118">
        <v>122</v>
      </c>
      <c r="DA105" s="166">
        <v>127</v>
      </c>
      <c r="DB105" s="146">
        <v>122</v>
      </c>
      <c r="DC105" s="146">
        <v>122</v>
      </c>
      <c r="DD105" s="146"/>
      <c r="DE105" s="146"/>
      <c r="DF105" s="65"/>
      <c r="DG105" s="65"/>
      <c r="DH105" s="65"/>
      <c r="DI105" s="65"/>
      <c r="DJ105" s="65"/>
      <c r="DK105" s="147" t="s">
        <v>168</v>
      </c>
      <c r="DL105" s="147" t="s">
        <v>169</v>
      </c>
      <c r="DM105" s="148">
        <v>1</v>
      </c>
      <c r="DN105" s="148">
        <v>3</v>
      </c>
      <c r="DO105" s="148">
        <v>1</v>
      </c>
      <c r="DP105" s="57">
        <v>1</v>
      </c>
      <c r="DQ105" s="60">
        <v>2</v>
      </c>
      <c r="DR105" s="60">
        <v>0</v>
      </c>
      <c r="DS105" s="60">
        <v>0</v>
      </c>
      <c r="DT105" s="60">
        <v>0</v>
      </c>
    </row>
    <row r="106" spans="1:124" ht="15.75" hidden="1" thickBot="1" x14ac:dyDescent="0.3">
      <c r="A106">
        <v>460</v>
      </c>
      <c r="B106">
        <v>115107</v>
      </c>
      <c r="C106">
        <v>146412</v>
      </c>
      <c r="D106">
        <v>108</v>
      </c>
      <c r="E106" t="s">
        <v>28</v>
      </c>
      <c r="F106">
        <v>500</v>
      </c>
      <c r="G106">
        <v>2160</v>
      </c>
      <c r="H106">
        <v>2000</v>
      </c>
      <c r="J106" s="7">
        <f t="shared" si="1"/>
        <v>0</v>
      </c>
      <c r="W106" s="33"/>
      <c r="X106" s="15"/>
      <c r="Y106" s="15"/>
      <c r="Z106" s="15"/>
      <c r="AA106" s="160" t="s">
        <v>32</v>
      </c>
      <c r="AB106">
        <f t="shared" si="0"/>
        <v>356</v>
      </c>
      <c r="AC106" s="13">
        <v>500</v>
      </c>
      <c r="AD106" s="51">
        <v>122</v>
      </c>
      <c r="AE106" s="51">
        <v>122</v>
      </c>
      <c r="AF106">
        <v>112</v>
      </c>
      <c r="AM106" s="8"/>
      <c r="AO106" s="35" t="s">
        <v>119</v>
      </c>
      <c r="AP106" s="15">
        <v>1</v>
      </c>
      <c r="AQ106" s="15">
        <v>1780</v>
      </c>
      <c r="AR106" s="16">
        <v>2300</v>
      </c>
      <c r="AT106" s="46"/>
      <c r="AU106" s="47"/>
      <c r="AV106" s="48"/>
      <c r="AW106" s="49"/>
      <c r="BA106" s="142" t="s">
        <v>29</v>
      </c>
      <c r="BB106" s="142">
        <v>371</v>
      </c>
      <c r="BC106" s="142">
        <v>500</v>
      </c>
      <c r="BD106" s="142">
        <v>127</v>
      </c>
      <c r="BE106" s="142">
        <v>122</v>
      </c>
      <c r="BF106" s="142">
        <v>122</v>
      </c>
      <c r="BG106" s="142"/>
      <c r="BH106" s="142"/>
      <c r="BI106" s="142"/>
      <c r="BJ106" s="142"/>
      <c r="BK106" s="142"/>
      <c r="BL106" s="142"/>
      <c r="BM106" s="142"/>
      <c r="BN106" s="143">
        <v>3</v>
      </c>
      <c r="BO106" s="69">
        <v>0</v>
      </c>
      <c r="BP106" s="64">
        <v>0</v>
      </c>
      <c r="BQ106" s="57">
        <v>1</v>
      </c>
      <c r="BR106" s="60">
        <v>2</v>
      </c>
      <c r="BS106" s="60">
        <v>0</v>
      </c>
      <c r="BT106" s="60">
        <v>0</v>
      </c>
      <c r="BU106" s="60">
        <v>0</v>
      </c>
      <c r="CA106" s="105" t="s">
        <v>71</v>
      </c>
      <c r="CB106" s="105">
        <v>3</v>
      </c>
      <c r="CC106" s="105">
        <v>500</v>
      </c>
      <c r="CD106" s="105">
        <v>460</v>
      </c>
      <c r="CE106" s="105">
        <v>366</v>
      </c>
      <c r="CF106" s="108">
        <v>0.79565217391304344</v>
      </c>
      <c r="CG106" s="109">
        <v>122</v>
      </c>
      <c r="CH106" s="109">
        <v>122</v>
      </c>
      <c r="CI106" s="109">
        <v>122</v>
      </c>
      <c r="CJ106" s="106"/>
      <c r="CK106" s="106"/>
      <c r="CL106" s="106"/>
      <c r="CM106" s="106"/>
      <c r="CN106" s="106"/>
      <c r="CO106" s="106"/>
      <c r="CP106" s="106"/>
      <c r="CQ106" s="107" t="s">
        <v>170</v>
      </c>
      <c r="CR106" s="107" t="s">
        <v>171</v>
      </c>
      <c r="CS106" s="106">
        <v>9</v>
      </c>
      <c r="CT106" s="105">
        <v>4</v>
      </c>
      <c r="CU106" s="65"/>
      <c r="CV106">
        <v>9</v>
      </c>
      <c r="CW106" t="s">
        <v>164</v>
      </c>
      <c r="CX106">
        <v>1</v>
      </c>
      <c r="CZ106" s="117">
        <v>112</v>
      </c>
      <c r="DA106" s="166">
        <v>127</v>
      </c>
      <c r="DB106" s="146">
        <v>112</v>
      </c>
      <c r="DC106" s="146">
        <v>112</v>
      </c>
      <c r="DD106" s="146">
        <v>108</v>
      </c>
      <c r="DE106" s="146"/>
      <c r="DF106" s="65"/>
      <c r="DG106" s="65"/>
      <c r="DH106" s="65"/>
      <c r="DI106" s="65"/>
      <c r="DJ106" s="65"/>
      <c r="DK106" s="133" t="s">
        <v>156</v>
      </c>
      <c r="DL106" s="133" t="s">
        <v>157</v>
      </c>
      <c r="DM106" s="132">
        <v>1</v>
      </c>
      <c r="DN106" s="132">
        <v>0</v>
      </c>
      <c r="DO106" s="132">
        <v>0</v>
      </c>
      <c r="DP106" s="57">
        <v>1</v>
      </c>
      <c r="DQ106" s="60">
        <v>0</v>
      </c>
      <c r="DR106" s="60">
        <v>2</v>
      </c>
      <c r="DS106" s="60">
        <v>1</v>
      </c>
      <c r="DT106" s="60">
        <v>0</v>
      </c>
    </row>
    <row r="107" spans="1:124" ht="15.75" hidden="1" thickBot="1" x14ac:dyDescent="0.3">
      <c r="A107">
        <v>460</v>
      </c>
      <c r="B107">
        <v>115107</v>
      </c>
      <c r="C107">
        <v>140899</v>
      </c>
      <c r="D107">
        <v>107</v>
      </c>
      <c r="E107" t="s">
        <v>28</v>
      </c>
      <c r="F107">
        <v>500</v>
      </c>
      <c r="G107">
        <v>9630</v>
      </c>
      <c r="H107">
        <v>9000</v>
      </c>
      <c r="J107" s="7">
        <f t="shared" si="1"/>
        <v>0</v>
      </c>
      <c r="W107" s="33"/>
      <c r="X107" s="15"/>
      <c r="Y107" s="15"/>
      <c r="Z107" s="15"/>
      <c r="AA107" s="160" t="s">
        <v>33</v>
      </c>
      <c r="AB107">
        <f t="shared" si="0"/>
        <v>327</v>
      </c>
      <c r="AC107" s="13">
        <v>2000</v>
      </c>
      <c r="AD107">
        <v>112</v>
      </c>
      <c r="AE107">
        <v>108</v>
      </c>
      <c r="AF107">
        <v>107</v>
      </c>
      <c r="AM107" s="8"/>
      <c r="AO107" s="35" t="s">
        <v>120</v>
      </c>
      <c r="AP107" s="15">
        <v>4</v>
      </c>
      <c r="AQ107" s="15">
        <v>6540</v>
      </c>
      <c r="AR107" s="16">
        <v>9200</v>
      </c>
      <c r="BA107" s="142" t="s">
        <v>30</v>
      </c>
      <c r="BB107" s="142">
        <v>366</v>
      </c>
      <c r="BC107" s="142">
        <v>4500</v>
      </c>
      <c r="BD107" s="142">
        <v>122</v>
      </c>
      <c r="BE107" s="142">
        <v>122</v>
      </c>
      <c r="BF107" s="142">
        <v>122</v>
      </c>
      <c r="BG107" s="142"/>
      <c r="BH107" s="142"/>
      <c r="BI107" s="142"/>
      <c r="BJ107" s="142"/>
      <c r="BK107" s="142"/>
      <c r="BL107" s="142"/>
      <c r="BM107" s="142"/>
      <c r="BN107" s="143">
        <v>3</v>
      </c>
      <c r="BO107" s="69">
        <v>6</v>
      </c>
      <c r="BP107" s="64">
        <v>1</v>
      </c>
      <c r="BQ107" s="57">
        <v>0</v>
      </c>
      <c r="BR107" s="60">
        <v>3</v>
      </c>
      <c r="BS107" s="60">
        <v>0</v>
      </c>
      <c r="BT107" s="60">
        <v>0</v>
      </c>
      <c r="BU107" s="60">
        <v>0</v>
      </c>
      <c r="CA107" s="105" t="s">
        <v>70</v>
      </c>
      <c r="CB107" s="105">
        <v>1</v>
      </c>
      <c r="CC107" s="105">
        <v>500</v>
      </c>
      <c r="CD107" s="105">
        <v>460</v>
      </c>
      <c r="CE107" s="105">
        <v>356</v>
      </c>
      <c r="CF107" s="108">
        <v>0.77391304347826084</v>
      </c>
      <c r="CG107" s="109">
        <v>122</v>
      </c>
      <c r="CH107" s="109">
        <v>122</v>
      </c>
      <c r="CI107" s="150">
        <v>112</v>
      </c>
      <c r="CJ107" s="106"/>
      <c r="CK107" s="106"/>
      <c r="CL107" s="106"/>
      <c r="CM107" s="106"/>
      <c r="CN107" s="106"/>
      <c r="CO107" s="106"/>
      <c r="CP107" s="106"/>
      <c r="CQ107" s="107" t="s">
        <v>172</v>
      </c>
      <c r="CR107" s="107" t="s">
        <v>173</v>
      </c>
      <c r="CS107" s="106">
        <v>3</v>
      </c>
      <c r="CT107" s="105">
        <v>5</v>
      </c>
      <c r="CU107" s="65"/>
      <c r="CV107">
        <v>2</v>
      </c>
      <c r="CW107" t="s">
        <v>156</v>
      </c>
      <c r="CX107">
        <v>1</v>
      </c>
      <c r="CZ107" s="19">
        <v>112</v>
      </c>
      <c r="DA107" s="166">
        <v>127</v>
      </c>
      <c r="DB107" s="146">
        <v>112</v>
      </c>
      <c r="DC107" s="146">
        <v>112</v>
      </c>
      <c r="DD107" s="146">
        <v>107</v>
      </c>
      <c r="DE107" s="146"/>
      <c r="DF107" s="65"/>
      <c r="DG107" s="65"/>
      <c r="DH107" s="65"/>
      <c r="DI107" s="65"/>
      <c r="DJ107" s="65"/>
      <c r="DK107" s="133" t="s">
        <v>162</v>
      </c>
      <c r="DL107" s="133" t="s">
        <v>163</v>
      </c>
      <c r="DM107" s="132">
        <v>1</v>
      </c>
      <c r="DN107" s="132">
        <v>0</v>
      </c>
      <c r="DO107" s="132">
        <v>0</v>
      </c>
      <c r="DP107" s="57">
        <v>1</v>
      </c>
      <c r="DQ107" s="60">
        <v>0</v>
      </c>
      <c r="DR107" s="60">
        <v>2</v>
      </c>
      <c r="DS107" s="60">
        <v>0</v>
      </c>
      <c r="DT107" s="60">
        <v>1</v>
      </c>
    </row>
    <row r="108" spans="1:124" ht="15.75" hidden="1" thickBot="1" x14ac:dyDescent="0.3">
      <c r="J108" s="7">
        <f t="shared" si="1"/>
        <v>0</v>
      </c>
      <c r="W108" s="33"/>
      <c r="X108" s="15"/>
      <c r="Y108" s="15"/>
      <c r="Z108" s="15"/>
      <c r="AA108" s="160" t="s">
        <v>34</v>
      </c>
      <c r="AB108">
        <f t="shared" si="0"/>
        <v>219</v>
      </c>
      <c r="AC108" s="13">
        <v>7000</v>
      </c>
      <c r="AD108">
        <v>112</v>
      </c>
      <c r="AE108">
        <v>107</v>
      </c>
      <c r="AM108" s="8"/>
      <c r="AO108" s="35" t="s">
        <v>121</v>
      </c>
      <c r="AP108" s="15">
        <v>14</v>
      </c>
      <c r="AQ108" s="15">
        <v>15330</v>
      </c>
      <c r="AR108" s="16">
        <v>32200</v>
      </c>
      <c r="BA108" s="142" t="s">
        <v>32</v>
      </c>
      <c r="BB108" s="142">
        <v>356</v>
      </c>
      <c r="BC108" s="142">
        <v>500</v>
      </c>
      <c r="BD108" s="142">
        <v>122</v>
      </c>
      <c r="BE108" s="142">
        <v>122</v>
      </c>
      <c r="BF108" s="142">
        <v>112</v>
      </c>
      <c r="BG108" s="142"/>
      <c r="BH108" s="142"/>
      <c r="BI108" s="142"/>
      <c r="BJ108" s="142"/>
      <c r="BK108" s="142"/>
      <c r="BL108" s="142"/>
      <c r="BM108" s="142"/>
      <c r="BN108" s="143">
        <v>3</v>
      </c>
      <c r="BO108" s="69">
        <v>11</v>
      </c>
      <c r="BP108" s="64">
        <v>1</v>
      </c>
      <c r="BQ108" s="57">
        <v>0</v>
      </c>
      <c r="BR108" s="60">
        <v>2</v>
      </c>
      <c r="BS108" s="60">
        <v>1</v>
      </c>
      <c r="BT108" s="60">
        <v>0</v>
      </c>
      <c r="BU108" s="60">
        <v>0</v>
      </c>
      <c r="CA108" s="105" t="s">
        <v>69</v>
      </c>
      <c r="CB108" s="105">
        <v>1</v>
      </c>
      <c r="CC108" s="105">
        <v>500</v>
      </c>
      <c r="CD108" s="105">
        <v>460</v>
      </c>
      <c r="CE108" s="105">
        <v>356</v>
      </c>
      <c r="CF108" s="108">
        <v>0.77391304347826084</v>
      </c>
      <c r="CG108" s="109">
        <v>122</v>
      </c>
      <c r="CH108" s="109">
        <v>122</v>
      </c>
      <c r="CI108" s="150">
        <v>112</v>
      </c>
      <c r="CJ108" s="106"/>
      <c r="CK108" s="106"/>
      <c r="CL108" s="106"/>
      <c r="CM108" s="106"/>
      <c r="CN108" s="106"/>
      <c r="CO108" s="106"/>
      <c r="CP108" s="106"/>
      <c r="CQ108" s="107" t="s">
        <v>172</v>
      </c>
      <c r="CR108" s="107" t="s">
        <v>173</v>
      </c>
      <c r="CS108" s="106">
        <v>3</v>
      </c>
      <c r="CT108" s="105">
        <v>5</v>
      </c>
      <c r="CU108" s="65"/>
      <c r="CV108">
        <v>3</v>
      </c>
      <c r="CW108" t="s">
        <v>162</v>
      </c>
      <c r="CX108">
        <v>1</v>
      </c>
      <c r="CZ108" s="115">
        <v>108</v>
      </c>
      <c r="DA108" s="166">
        <v>122</v>
      </c>
      <c r="DB108" s="146">
        <v>122</v>
      </c>
      <c r="DC108" s="146">
        <v>122</v>
      </c>
      <c r="DD108" s="146"/>
      <c r="DE108" s="146"/>
      <c r="DF108" s="65"/>
      <c r="DG108" s="65"/>
      <c r="DH108" s="65"/>
      <c r="DI108" s="65"/>
      <c r="DJ108" s="65"/>
      <c r="DK108" s="133" t="s">
        <v>170</v>
      </c>
      <c r="DL108" s="133" t="s">
        <v>171</v>
      </c>
      <c r="DM108" s="132">
        <v>3</v>
      </c>
      <c r="DN108" s="132">
        <v>0</v>
      </c>
      <c r="DO108" s="132">
        <v>0</v>
      </c>
      <c r="DP108" s="57">
        <v>0</v>
      </c>
      <c r="DQ108" s="60">
        <v>3</v>
      </c>
      <c r="DR108" s="60">
        <v>0</v>
      </c>
      <c r="DS108" s="60">
        <v>0</v>
      </c>
      <c r="DT108" s="60">
        <v>0</v>
      </c>
    </row>
    <row r="109" spans="1:124" ht="15.75" hidden="1" thickBot="1" x14ac:dyDescent="0.3">
      <c r="J109" s="7">
        <f t="shared" si="1"/>
        <v>0</v>
      </c>
      <c r="W109" s="33"/>
      <c r="X109" s="15"/>
      <c r="Y109" s="15"/>
      <c r="Z109" s="15"/>
      <c r="AA109" s="163" t="s">
        <v>35</v>
      </c>
      <c r="AB109" s="10">
        <f t="shared" si="0"/>
        <v>112</v>
      </c>
      <c r="AC109" s="14">
        <v>5000</v>
      </c>
      <c r="AD109" s="10">
        <v>112</v>
      </c>
      <c r="AE109" s="10"/>
      <c r="AF109" s="10"/>
      <c r="AG109" s="10"/>
      <c r="AH109" s="10"/>
      <c r="AI109" s="10"/>
      <c r="AJ109" s="10"/>
      <c r="AK109" s="10"/>
      <c r="AL109" s="10"/>
      <c r="AM109" s="11"/>
      <c r="AO109" s="35" t="s">
        <v>122</v>
      </c>
      <c r="AP109" s="15">
        <v>10</v>
      </c>
      <c r="AQ109" s="15">
        <v>5600</v>
      </c>
      <c r="AR109" s="16">
        <v>23000</v>
      </c>
      <c r="BA109" s="142" t="s">
        <v>33</v>
      </c>
      <c r="BB109" s="142">
        <v>327</v>
      </c>
      <c r="BC109" s="142">
        <v>2000</v>
      </c>
      <c r="BD109" s="142">
        <v>112</v>
      </c>
      <c r="BE109" s="142">
        <v>108</v>
      </c>
      <c r="BF109" s="142">
        <v>107</v>
      </c>
      <c r="BG109" s="142"/>
      <c r="BH109" s="142"/>
      <c r="BI109" s="142"/>
      <c r="BJ109" s="142"/>
      <c r="BK109" s="142"/>
      <c r="BL109" s="142"/>
      <c r="BM109" s="142"/>
      <c r="BN109" s="143">
        <v>3</v>
      </c>
      <c r="BO109" s="69">
        <v>4</v>
      </c>
      <c r="BP109" s="64">
        <v>1</v>
      </c>
      <c r="BQ109" s="57">
        <v>0</v>
      </c>
      <c r="BR109" s="60">
        <v>0</v>
      </c>
      <c r="BS109" s="60">
        <v>1</v>
      </c>
      <c r="BT109" s="60">
        <v>1</v>
      </c>
      <c r="BU109" s="60">
        <v>1</v>
      </c>
      <c r="CA109" s="105" t="s">
        <v>68</v>
      </c>
      <c r="CB109" s="105">
        <v>1</v>
      </c>
      <c r="CC109" s="105">
        <v>500</v>
      </c>
      <c r="CD109" s="105">
        <v>460</v>
      </c>
      <c r="CE109" s="105">
        <v>356</v>
      </c>
      <c r="CF109" s="108">
        <v>0.77391304347826084</v>
      </c>
      <c r="CG109" s="109">
        <v>122</v>
      </c>
      <c r="CH109" s="109">
        <v>122</v>
      </c>
      <c r="CI109" s="150">
        <v>112</v>
      </c>
      <c r="CJ109" s="106"/>
      <c r="CK109" s="106"/>
      <c r="CL109" s="106"/>
      <c r="CM109" s="106"/>
      <c r="CN109" s="106"/>
      <c r="CO109" s="106"/>
      <c r="CP109" s="106"/>
      <c r="CQ109" s="107" t="s">
        <v>172</v>
      </c>
      <c r="CR109" s="107" t="s">
        <v>173</v>
      </c>
      <c r="CS109" s="106">
        <v>3</v>
      </c>
      <c r="CT109" s="105">
        <v>5</v>
      </c>
      <c r="CU109" s="65"/>
      <c r="CV109">
        <v>8</v>
      </c>
      <c r="CW109" t="s">
        <v>158</v>
      </c>
      <c r="CX109">
        <v>1</v>
      </c>
      <c r="CZ109" s="113">
        <v>107</v>
      </c>
      <c r="DA109" s="166">
        <v>122</v>
      </c>
      <c r="DB109" s="146">
        <v>122</v>
      </c>
      <c r="DC109" s="146">
        <v>112</v>
      </c>
      <c r="DD109" s="146"/>
      <c r="DE109" s="146"/>
      <c r="DF109" s="65"/>
      <c r="DG109" s="65"/>
      <c r="DH109" s="65"/>
      <c r="DI109" s="65"/>
      <c r="DJ109" s="65"/>
      <c r="DK109" s="133" t="s">
        <v>172</v>
      </c>
      <c r="DL109" s="133" t="s">
        <v>173</v>
      </c>
      <c r="DM109" s="132">
        <v>3</v>
      </c>
      <c r="DN109" s="132">
        <v>0</v>
      </c>
      <c r="DO109" s="132">
        <v>0</v>
      </c>
      <c r="DP109" s="57">
        <v>0</v>
      </c>
      <c r="DQ109" s="60">
        <v>2</v>
      </c>
      <c r="DR109" s="60">
        <v>1</v>
      </c>
      <c r="DS109" s="60">
        <v>0</v>
      </c>
      <c r="DT109" s="60">
        <v>0</v>
      </c>
    </row>
    <row r="110" spans="1:124" ht="15.75" hidden="1" thickBot="1" x14ac:dyDescent="0.3">
      <c r="J110" s="9">
        <f t="shared" si="1"/>
        <v>0</v>
      </c>
      <c r="W110" s="33"/>
      <c r="X110" s="15"/>
      <c r="Y110" s="15"/>
      <c r="Z110" s="15"/>
      <c r="AO110" s="45" t="s">
        <v>123</v>
      </c>
      <c r="AP110" s="17">
        <f>SUM(AP102:AP109)</f>
        <v>43</v>
      </c>
      <c r="AQ110" s="17">
        <f>SUM(AQ102:AQ109)</f>
        <v>54945</v>
      </c>
      <c r="AR110" s="17">
        <f>SUM(AR102:AR109)</f>
        <v>98900</v>
      </c>
      <c r="BA110" s="142" t="s">
        <v>34</v>
      </c>
      <c r="BB110" s="142">
        <v>219</v>
      </c>
      <c r="BC110" s="142">
        <v>7000</v>
      </c>
      <c r="BD110" s="142">
        <v>112</v>
      </c>
      <c r="BE110" s="142">
        <v>107</v>
      </c>
      <c r="BF110" s="142"/>
      <c r="BG110" s="142"/>
      <c r="BH110" s="142"/>
      <c r="BI110" s="142"/>
      <c r="BJ110" s="142"/>
      <c r="BK110" s="142"/>
      <c r="BL110" s="142"/>
      <c r="BM110" s="142"/>
      <c r="BN110" s="143">
        <v>2</v>
      </c>
      <c r="BO110" s="69">
        <v>14</v>
      </c>
      <c r="BP110" s="64">
        <v>1</v>
      </c>
      <c r="BQ110" s="57">
        <v>0</v>
      </c>
      <c r="BR110" s="60">
        <v>0</v>
      </c>
      <c r="BS110" s="60">
        <v>1</v>
      </c>
      <c r="BT110" s="60">
        <v>0</v>
      </c>
      <c r="BU110" s="60">
        <v>1</v>
      </c>
      <c r="CA110" s="105" t="s">
        <v>81</v>
      </c>
      <c r="CB110" s="105">
        <v>2</v>
      </c>
      <c r="CC110" s="105">
        <v>500</v>
      </c>
      <c r="CD110" s="105">
        <v>460</v>
      </c>
      <c r="CE110" s="105">
        <v>459</v>
      </c>
      <c r="CF110" s="108">
        <v>0.99782608695652175</v>
      </c>
      <c r="CG110" s="109">
        <v>122</v>
      </c>
      <c r="CH110" s="109">
        <v>122</v>
      </c>
      <c r="CI110" s="151">
        <v>108</v>
      </c>
      <c r="CJ110" s="152">
        <v>107</v>
      </c>
      <c r="CK110" s="106"/>
      <c r="CL110" s="106"/>
      <c r="CM110" s="106"/>
      <c r="CN110" s="106"/>
      <c r="CO110" s="106"/>
      <c r="CP110" s="106"/>
      <c r="CQ110" s="107" t="s">
        <v>154</v>
      </c>
      <c r="CR110" s="107" t="s">
        <v>155</v>
      </c>
      <c r="CS110" s="106">
        <v>8</v>
      </c>
      <c r="CT110" s="105">
        <v>6</v>
      </c>
      <c r="CU110" s="65"/>
      <c r="CV110">
        <v>4</v>
      </c>
      <c r="CW110" t="s">
        <v>170</v>
      </c>
      <c r="CX110">
        <v>1</v>
      </c>
      <c r="CZ110" s="112"/>
      <c r="DA110" s="166">
        <v>122</v>
      </c>
      <c r="DB110" s="146">
        <v>122</v>
      </c>
      <c r="DC110" s="146">
        <v>108</v>
      </c>
      <c r="DD110" s="146">
        <v>107</v>
      </c>
      <c r="DE110" s="146"/>
      <c r="DF110" s="65"/>
      <c r="DG110" s="65"/>
      <c r="DH110" s="65"/>
      <c r="DI110" s="65"/>
      <c r="DJ110" s="65"/>
      <c r="DK110" s="133" t="s">
        <v>154</v>
      </c>
      <c r="DL110" s="133" t="s">
        <v>155</v>
      </c>
      <c r="DM110" s="132">
        <v>2</v>
      </c>
      <c r="DN110" s="132">
        <v>5</v>
      </c>
      <c r="DO110" s="132">
        <v>1</v>
      </c>
      <c r="DP110" s="57">
        <v>0</v>
      </c>
      <c r="DQ110" s="60">
        <v>2</v>
      </c>
      <c r="DR110" s="60">
        <v>0</v>
      </c>
      <c r="DS110" s="60">
        <v>1</v>
      </c>
      <c r="DT110" s="60">
        <v>1</v>
      </c>
    </row>
    <row r="111" spans="1:124" ht="15.75" hidden="1" thickBot="1" x14ac:dyDescent="0.3">
      <c r="J111"/>
      <c r="W111" s="136"/>
      <c r="X111" s="137"/>
      <c r="Y111" s="137"/>
      <c r="Z111" s="137"/>
      <c r="AO111" s="33" t="s">
        <v>124</v>
      </c>
      <c r="AP111" s="15"/>
      <c r="AQ111" s="15" t="s">
        <v>36</v>
      </c>
      <c r="AR111" s="15">
        <v>43955</v>
      </c>
      <c r="BA111" s="142" t="s">
        <v>35</v>
      </c>
      <c r="BB111" s="142">
        <v>112</v>
      </c>
      <c r="BC111" s="142">
        <v>5000</v>
      </c>
      <c r="BD111" s="142">
        <v>112</v>
      </c>
      <c r="BE111" s="142"/>
      <c r="BF111" s="142"/>
      <c r="BG111" s="142"/>
      <c r="BH111" s="142"/>
      <c r="BI111" s="142"/>
      <c r="BJ111" s="142"/>
      <c r="BK111" s="142"/>
      <c r="BL111" s="142"/>
      <c r="BM111" s="142"/>
      <c r="BN111" s="143">
        <v>1</v>
      </c>
      <c r="BO111" s="69">
        <v>0</v>
      </c>
      <c r="BP111" s="64">
        <v>0</v>
      </c>
      <c r="BQ111" s="57">
        <v>0</v>
      </c>
      <c r="BR111" s="60">
        <v>0</v>
      </c>
      <c r="BS111" s="60">
        <v>1</v>
      </c>
      <c r="BT111" s="60">
        <v>0</v>
      </c>
      <c r="BU111" s="60">
        <v>0</v>
      </c>
      <c r="CA111" s="105" t="s">
        <v>77</v>
      </c>
      <c r="CB111" s="105">
        <v>4</v>
      </c>
      <c r="CC111" s="105">
        <v>500</v>
      </c>
      <c r="CD111" s="105">
        <v>460</v>
      </c>
      <c r="CE111" s="105">
        <v>458</v>
      </c>
      <c r="CF111" s="108">
        <v>0.9956521739130435</v>
      </c>
      <c r="CG111" s="109">
        <v>122</v>
      </c>
      <c r="CH111" s="109">
        <v>122</v>
      </c>
      <c r="CI111" s="152">
        <v>107</v>
      </c>
      <c r="CJ111" s="152">
        <v>107</v>
      </c>
      <c r="CK111" s="106"/>
      <c r="CL111" s="106"/>
      <c r="CM111" s="106"/>
      <c r="CN111" s="106"/>
      <c r="CO111" s="106"/>
      <c r="CP111" s="106"/>
      <c r="CQ111" s="107" t="s">
        <v>160</v>
      </c>
      <c r="CR111" s="107" t="s">
        <v>161</v>
      </c>
      <c r="CS111" s="106">
        <v>16</v>
      </c>
      <c r="CT111" s="105">
        <v>7</v>
      </c>
      <c r="CU111" s="65"/>
      <c r="CV111">
        <v>10</v>
      </c>
      <c r="CW111" t="s">
        <v>166</v>
      </c>
      <c r="CX111">
        <v>1</v>
      </c>
      <c r="CZ111" s="111"/>
      <c r="DA111" s="166">
        <v>122</v>
      </c>
      <c r="DB111" s="146">
        <v>122</v>
      </c>
      <c r="DC111" s="146">
        <v>107</v>
      </c>
      <c r="DD111" s="146">
        <v>107</v>
      </c>
      <c r="DE111" s="146"/>
      <c r="DF111" s="65"/>
      <c r="DG111" s="65"/>
      <c r="DH111" s="65"/>
      <c r="DI111" s="65"/>
      <c r="DJ111" s="65"/>
      <c r="DK111" s="133" t="s">
        <v>160</v>
      </c>
      <c r="DL111" s="133" t="s">
        <v>161</v>
      </c>
      <c r="DM111" s="132">
        <v>6</v>
      </c>
      <c r="DN111" s="132">
        <v>7</v>
      </c>
      <c r="DO111" s="132">
        <v>1</v>
      </c>
      <c r="DP111" s="57">
        <v>0</v>
      </c>
      <c r="DQ111" s="60">
        <v>2</v>
      </c>
      <c r="DR111" s="60">
        <v>0</v>
      </c>
      <c r="DS111" s="60">
        <v>0</v>
      </c>
      <c r="DT111" s="60">
        <v>2</v>
      </c>
    </row>
    <row r="112" spans="1:124" ht="15.75" hidden="1" thickBot="1" x14ac:dyDescent="0.3">
      <c r="J112"/>
      <c r="W112" s="33"/>
      <c r="X112" s="15"/>
      <c r="Y112" s="15"/>
      <c r="Z112" s="15"/>
      <c r="AO112" s="33"/>
      <c r="AP112" s="15"/>
      <c r="AQ112" s="15" t="s">
        <v>41</v>
      </c>
      <c r="AR112" s="15" t="s">
        <v>125</v>
      </c>
      <c r="BQ112" s="65"/>
      <c r="BR112" s="65"/>
      <c r="BS112" s="65"/>
      <c r="BT112" s="65"/>
      <c r="BU112" s="65"/>
      <c r="CA112" s="105" t="s">
        <v>76</v>
      </c>
      <c r="CB112" s="105">
        <v>2</v>
      </c>
      <c r="CC112" s="105">
        <v>500</v>
      </c>
      <c r="CD112" s="105">
        <v>460</v>
      </c>
      <c r="CE112" s="105">
        <v>458</v>
      </c>
      <c r="CF112" s="108">
        <v>0.9956521739130435</v>
      </c>
      <c r="CG112" s="109">
        <v>122</v>
      </c>
      <c r="CH112" s="109">
        <v>122</v>
      </c>
      <c r="CI112" s="152">
        <v>107</v>
      </c>
      <c r="CJ112" s="152">
        <v>107</v>
      </c>
      <c r="CK112" s="106"/>
      <c r="CL112" s="106"/>
      <c r="CM112" s="106"/>
      <c r="CN112" s="106"/>
      <c r="CO112" s="106"/>
      <c r="CP112" s="106"/>
      <c r="CQ112" s="107" t="s">
        <v>160</v>
      </c>
      <c r="CR112" s="107" t="s">
        <v>161</v>
      </c>
      <c r="CS112" s="106">
        <v>8</v>
      </c>
      <c r="CT112" s="105">
        <v>7</v>
      </c>
      <c r="CU112" s="65"/>
      <c r="CV112">
        <v>11</v>
      </c>
      <c r="CW112" t="s">
        <v>174</v>
      </c>
      <c r="CX112">
        <v>1</v>
      </c>
      <c r="DA112" s="166">
        <v>122</v>
      </c>
      <c r="DB112" s="146">
        <v>112</v>
      </c>
      <c r="DC112" s="146">
        <v>112</v>
      </c>
      <c r="DD112" s="146">
        <v>112</v>
      </c>
      <c r="DE112" s="146"/>
      <c r="DF112" s="65"/>
      <c r="DG112" s="65"/>
      <c r="DH112" s="65"/>
      <c r="DI112" s="65"/>
      <c r="DJ112" s="65"/>
      <c r="DK112" s="133" t="s">
        <v>158</v>
      </c>
      <c r="DL112" s="133" t="s">
        <v>159</v>
      </c>
      <c r="DM112" s="132">
        <v>5</v>
      </c>
      <c r="DN112" s="132">
        <v>11</v>
      </c>
      <c r="DO112" s="132">
        <v>1</v>
      </c>
      <c r="DP112" s="57">
        <v>0</v>
      </c>
      <c r="DQ112" s="60">
        <v>1</v>
      </c>
      <c r="DR112" s="60">
        <v>3</v>
      </c>
      <c r="DS112" s="60">
        <v>0</v>
      </c>
      <c r="DT112" s="60">
        <v>0</v>
      </c>
    </row>
    <row r="113" spans="1:130" ht="15.75" hidden="1" thickBot="1" x14ac:dyDescent="0.3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AO113" s="33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60"/>
      <c r="BP113" s="60"/>
      <c r="BQ113" s="60"/>
      <c r="BR113" s="65"/>
      <c r="BS113" s="65"/>
      <c r="BT113" s="65"/>
      <c r="BU113" s="65"/>
      <c r="CA113" s="105" t="s">
        <v>78</v>
      </c>
      <c r="CB113" s="105">
        <v>5</v>
      </c>
      <c r="CC113" s="105">
        <v>500</v>
      </c>
      <c r="CD113" s="105">
        <v>460</v>
      </c>
      <c r="CE113" s="105">
        <v>458</v>
      </c>
      <c r="CF113" s="108">
        <v>0.9956521739130435</v>
      </c>
      <c r="CG113" s="109">
        <v>122</v>
      </c>
      <c r="CH113" s="150">
        <v>112</v>
      </c>
      <c r="CI113" s="150">
        <v>112</v>
      </c>
      <c r="CJ113" s="150">
        <v>112</v>
      </c>
      <c r="CK113" s="106"/>
      <c r="CL113" s="106"/>
      <c r="CM113" s="106"/>
      <c r="CN113" s="106"/>
      <c r="CO113" s="106"/>
      <c r="CP113" s="106"/>
      <c r="CQ113" s="107" t="s">
        <v>158</v>
      </c>
      <c r="CR113" s="107" t="s">
        <v>159</v>
      </c>
      <c r="CS113" s="106">
        <v>20</v>
      </c>
      <c r="CT113" s="105">
        <v>8</v>
      </c>
      <c r="CU113" s="65"/>
      <c r="CV113">
        <v>1</v>
      </c>
      <c r="CW113" t="s">
        <v>168</v>
      </c>
      <c r="CX113">
        <v>1</v>
      </c>
      <c r="DA113" s="166">
        <v>122</v>
      </c>
      <c r="DB113" s="146">
        <v>112</v>
      </c>
      <c r="DC113" s="146">
        <v>112</v>
      </c>
      <c r="DD113" s="146">
        <v>107</v>
      </c>
      <c r="DE113" s="146"/>
      <c r="DF113" s="65"/>
      <c r="DG113" s="65"/>
      <c r="DH113" s="65"/>
      <c r="DI113" s="65"/>
      <c r="DJ113" s="65"/>
      <c r="DK113" s="133" t="s">
        <v>164</v>
      </c>
      <c r="DL113" s="133" t="s">
        <v>165</v>
      </c>
      <c r="DM113" s="132">
        <v>2</v>
      </c>
      <c r="DN113" s="132">
        <v>0</v>
      </c>
      <c r="DO113" s="132">
        <v>0</v>
      </c>
      <c r="DP113" s="57">
        <v>0</v>
      </c>
      <c r="DQ113" s="60">
        <v>1</v>
      </c>
      <c r="DR113" s="60">
        <v>2</v>
      </c>
      <c r="DS113" s="60">
        <v>0</v>
      </c>
      <c r="DT113" s="60">
        <v>1</v>
      </c>
    </row>
    <row r="114" spans="1:130" ht="15.75" hidden="1" thickBot="1" x14ac:dyDescent="0.3">
      <c r="J114"/>
      <c r="AO114" s="33"/>
      <c r="AU114">
        <f>+AT114*98/96</f>
        <v>0</v>
      </c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60"/>
      <c r="BP114" s="60"/>
      <c r="BQ114" s="60"/>
      <c r="BR114" s="65"/>
      <c r="BS114" s="65"/>
      <c r="BT114" s="65"/>
      <c r="BU114" s="65"/>
      <c r="CA114" s="105" t="s">
        <v>74</v>
      </c>
      <c r="CB114" s="105">
        <v>2</v>
      </c>
      <c r="CC114" s="105">
        <v>500</v>
      </c>
      <c r="CD114" s="105">
        <v>460</v>
      </c>
      <c r="CE114" s="105">
        <v>453</v>
      </c>
      <c r="CF114" s="108">
        <v>0.98478260869565215</v>
      </c>
      <c r="CG114" s="109">
        <v>122</v>
      </c>
      <c r="CH114" s="150">
        <v>112</v>
      </c>
      <c r="CI114" s="150">
        <v>112</v>
      </c>
      <c r="CJ114" s="152">
        <v>107</v>
      </c>
      <c r="CK114" s="106"/>
      <c r="CL114" s="106"/>
      <c r="CM114" s="106"/>
      <c r="CN114" s="106"/>
      <c r="CO114" s="106"/>
      <c r="CP114" s="106"/>
      <c r="CQ114" s="107" t="s">
        <v>164</v>
      </c>
      <c r="CR114" s="107" t="s">
        <v>165</v>
      </c>
      <c r="CS114" s="106">
        <v>8</v>
      </c>
      <c r="CT114" s="105">
        <v>9</v>
      </c>
      <c r="CU114" s="65"/>
      <c r="CV114">
        <v>6</v>
      </c>
      <c r="CW114" t="s">
        <v>154</v>
      </c>
      <c r="CX114">
        <v>1</v>
      </c>
      <c r="DA114" s="166">
        <v>122</v>
      </c>
      <c r="DB114" s="146">
        <v>112</v>
      </c>
      <c r="DC114" s="146">
        <v>108</v>
      </c>
      <c r="DD114" s="146">
        <v>107</v>
      </c>
      <c r="DE114" s="146"/>
      <c r="DF114" s="65"/>
      <c r="DG114" s="65"/>
      <c r="DH114" s="65"/>
      <c r="DI114" s="65"/>
      <c r="DJ114" s="65"/>
      <c r="DK114" s="133" t="s">
        <v>166</v>
      </c>
      <c r="DL114" s="133" t="s">
        <v>167</v>
      </c>
      <c r="DM114" s="132">
        <v>1</v>
      </c>
      <c r="DN114" s="132">
        <v>0</v>
      </c>
      <c r="DO114" s="132">
        <v>0</v>
      </c>
      <c r="DP114" s="57">
        <v>0</v>
      </c>
      <c r="DQ114" s="60">
        <v>1</v>
      </c>
      <c r="DR114" s="60">
        <v>1</v>
      </c>
      <c r="DS114" s="60">
        <v>1</v>
      </c>
      <c r="DT114" s="60">
        <v>1</v>
      </c>
    </row>
    <row r="115" spans="1:130" ht="15.75" hidden="1" thickBot="1" x14ac:dyDescent="0.3">
      <c r="J115"/>
      <c r="AO115" s="33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60"/>
      <c r="BP115" s="60"/>
      <c r="BQ115" s="60"/>
      <c r="BR115" s="65"/>
      <c r="BS115" s="65"/>
      <c r="BT115" s="65"/>
      <c r="BU115" s="65"/>
      <c r="CA115" s="105" t="s">
        <v>73</v>
      </c>
      <c r="CB115" s="105">
        <v>1</v>
      </c>
      <c r="CC115" s="105">
        <v>500</v>
      </c>
      <c r="CD115" s="105">
        <v>460</v>
      </c>
      <c r="CE115" s="105">
        <v>449</v>
      </c>
      <c r="CF115" s="108">
        <v>0.97608695652173916</v>
      </c>
      <c r="CG115" s="109">
        <v>122</v>
      </c>
      <c r="CH115" s="150">
        <v>112</v>
      </c>
      <c r="CI115" s="151">
        <v>108</v>
      </c>
      <c r="CJ115" s="152">
        <v>107</v>
      </c>
      <c r="CK115" s="106"/>
      <c r="CL115" s="106"/>
      <c r="CM115" s="106"/>
      <c r="CN115" s="106"/>
      <c r="CO115" s="106"/>
      <c r="CP115" s="106"/>
      <c r="CQ115" s="107" t="s">
        <v>166</v>
      </c>
      <c r="CR115" s="107" t="s">
        <v>167</v>
      </c>
      <c r="CS115" s="106">
        <v>4</v>
      </c>
      <c r="CT115" s="105">
        <v>10</v>
      </c>
      <c r="CU115" s="65"/>
      <c r="CV115" t="s">
        <v>80</v>
      </c>
      <c r="CX115">
        <v>14</v>
      </c>
      <c r="DA115" s="166">
        <v>112</v>
      </c>
      <c r="DB115" s="146">
        <v>112</v>
      </c>
      <c r="DC115" s="146"/>
      <c r="DD115" s="146"/>
      <c r="DE115" s="146"/>
      <c r="DF115" s="65"/>
      <c r="DG115" s="65"/>
      <c r="DH115" s="65"/>
      <c r="DI115" s="65"/>
      <c r="DJ115" s="65"/>
      <c r="DK115" s="133" t="s">
        <v>174</v>
      </c>
      <c r="DL115" s="133" t="s">
        <v>175</v>
      </c>
      <c r="DM115" s="132">
        <v>1</v>
      </c>
      <c r="DN115" s="132">
        <v>0</v>
      </c>
      <c r="DO115" s="132">
        <v>0</v>
      </c>
      <c r="DP115" s="57">
        <v>0</v>
      </c>
      <c r="DQ115" s="60">
        <v>0</v>
      </c>
      <c r="DR115" s="60">
        <v>2</v>
      </c>
      <c r="DS115" s="60">
        <v>0</v>
      </c>
      <c r="DT115" s="60">
        <v>0</v>
      </c>
    </row>
    <row r="116" spans="1:130" ht="15.75" hidden="1" thickBot="1" x14ac:dyDescent="0.3">
      <c r="J116"/>
      <c r="AO116" s="33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60"/>
      <c r="BP116" s="60"/>
      <c r="BQ116" s="60"/>
      <c r="BR116" s="65"/>
      <c r="BS116" s="65"/>
      <c r="BT116" s="65"/>
      <c r="BU116" s="65"/>
      <c r="CA116" s="105" t="s">
        <v>153</v>
      </c>
      <c r="CB116" s="105">
        <v>1</v>
      </c>
      <c r="CC116" s="105">
        <v>500</v>
      </c>
      <c r="CD116" s="105">
        <v>460</v>
      </c>
      <c r="CE116" s="105">
        <v>224</v>
      </c>
      <c r="CF116" s="108">
        <v>0.33697391304347823</v>
      </c>
      <c r="CG116" s="150">
        <v>112</v>
      </c>
      <c r="CH116" s="150">
        <v>112</v>
      </c>
      <c r="CI116" s="106"/>
      <c r="CJ116" s="106"/>
      <c r="CK116" s="106"/>
      <c r="CL116" s="106"/>
      <c r="CM116" s="106"/>
      <c r="CN116" s="106"/>
      <c r="CO116" s="106"/>
      <c r="CP116" s="106"/>
      <c r="CQ116" s="107" t="s">
        <v>174</v>
      </c>
      <c r="CR116" s="107" t="s">
        <v>175</v>
      </c>
      <c r="CS116" s="106">
        <v>2</v>
      </c>
      <c r="CT116" s="105">
        <v>11</v>
      </c>
      <c r="CU116" s="65"/>
      <c r="DP116" s="65"/>
      <c r="DQ116" s="65"/>
      <c r="DR116" s="65"/>
      <c r="DS116" s="65"/>
      <c r="DT116" s="65"/>
    </row>
    <row r="117" spans="1:130" ht="15" hidden="1" x14ac:dyDescent="0.25">
      <c r="J117"/>
      <c r="AO117" s="33"/>
      <c r="BA117" s="58"/>
      <c r="BB117" s="58"/>
      <c r="BC117" s="58"/>
      <c r="BD117" s="58"/>
      <c r="BE117" s="58"/>
      <c r="BF117" s="58"/>
      <c r="BG117" s="58"/>
      <c r="BH117" s="58"/>
      <c r="BI117" s="58"/>
      <c r="BJ117" s="58"/>
      <c r="BK117" s="58"/>
      <c r="BL117" s="58"/>
      <c r="BM117" s="58"/>
      <c r="BN117" s="58"/>
      <c r="BO117" s="60"/>
      <c r="BP117" s="60"/>
      <c r="BQ117" s="60"/>
      <c r="BR117" s="65"/>
      <c r="BS117" s="65"/>
      <c r="BT117" s="65"/>
      <c r="BU117" s="65"/>
      <c r="CA117" s="65"/>
      <c r="CB117" s="65"/>
      <c r="CC117" s="65"/>
      <c r="CD117" s="65"/>
      <c r="CE117" s="65"/>
      <c r="CF117" s="73"/>
      <c r="CG117" s="65"/>
      <c r="CH117" s="65"/>
      <c r="CI117" s="65"/>
      <c r="CJ117" s="65"/>
      <c r="CK117" s="65"/>
      <c r="CL117" s="65"/>
      <c r="CM117" s="65"/>
      <c r="CN117" s="65"/>
      <c r="CO117" s="65"/>
      <c r="CP117" s="65"/>
      <c r="CQ117" s="72"/>
      <c r="CR117" s="72"/>
      <c r="CS117" s="65"/>
      <c r="CT117" s="65"/>
      <c r="CU117" s="65"/>
      <c r="DP117" s="65"/>
      <c r="DQ117" s="65"/>
      <c r="DR117" s="65"/>
      <c r="DS117" s="65"/>
      <c r="DT117" s="65"/>
    </row>
    <row r="118" spans="1:130" ht="15" hidden="1" x14ac:dyDescent="0.25">
      <c r="J118"/>
      <c r="AO118" s="33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60"/>
      <c r="BP118" s="60"/>
      <c r="BQ118" s="60"/>
      <c r="BR118" s="65"/>
      <c r="BS118" s="65"/>
      <c r="BT118" s="65"/>
      <c r="BU118" s="65"/>
      <c r="CA118" s="65"/>
      <c r="CB118" s="65"/>
      <c r="CC118" s="65"/>
      <c r="CD118" s="65"/>
      <c r="CE118" s="65"/>
      <c r="CF118" s="73"/>
      <c r="CG118" s="65"/>
      <c r="CH118" s="65"/>
      <c r="CI118" s="65"/>
      <c r="CJ118" s="65"/>
      <c r="CK118" s="65"/>
      <c r="CL118" s="65"/>
      <c r="CM118" s="65"/>
      <c r="CN118" s="65"/>
      <c r="CO118" s="65"/>
      <c r="CP118" s="65"/>
      <c r="CQ118" s="72"/>
      <c r="CR118" s="72"/>
      <c r="CS118" s="65"/>
      <c r="CT118" s="65"/>
      <c r="CU118" s="65"/>
      <c r="DP118" s="65"/>
      <c r="DQ118" s="65"/>
      <c r="DR118" s="65"/>
      <c r="DS118" s="65"/>
      <c r="DT118" s="65"/>
    </row>
    <row r="119" spans="1:130" ht="15" hidden="1" x14ac:dyDescent="0.25">
      <c r="J119"/>
      <c r="AO119" s="33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8"/>
      <c r="BO119" s="60"/>
      <c r="BP119" s="60"/>
      <c r="BQ119" s="60"/>
      <c r="BR119" s="65"/>
      <c r="BS119" s="65"/>
      <c r="BT119" s="65"/>
      <c r="BU119" s="65"/>
      <c r="CA119" s="65"/>
      <c r="CB119" s="65"/>
      <c r="CC119" s="65"/>
      <c r="CD119" s="65"/>
      <c r="CE119" s="65"/>
      <c r="CF119" s="73"/>
      <c r="CG119" s="65"/>
      <c r="CH119" s="65"/>
      <c r="CI119" s="65"/>
      <c r="CJ119" s="65"/>
      <c r="CK119" s="65"/>
      <c r="CL119" s="65"/>
      <c r="CM119" s="65"/>
      <c r="CN119" s="65"/>
      <c r="CO119" s="65"/>
      <c r="CP119" s="65"/>
      <c r="CQ119" s="72"/>
      <c r="CR119" s="72"/>
      <c r="CS119" s="65"/>
      <c r="CT119" s="65"/>
      <c r="CU119" s="65"/>
      <c r="DM119" s="60"/>
      <c r="DN119" s="60"/>
      <c r="DO119" s="60"/>
      <c r="DP119" s="57"/>
      <c r="DQ119" s="60"/>
      <c r="DR119" s="60"/>
      <c r="DS119" s="60"/>
      <c r="DT119" s="65"/>
    </row>
    <row r="120" spans="1:130" ht="15" hidden="1" x14ac:dyDescent="0.25">
      <c r="J120"/>
      <c r="AO120" s="33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60"/>
      <c r="BP120" s="60"/>
      <c r="BQ120" s="60"/>
      <c r="BR120" s="65"/>
      <c r="BS120" s="65"/>
      <c r="BT120" s="65"/>
      <c r="BU120" s="65"/>
      <c r="CA120" s="65"/>
      <c r="CB120" s="65"/>
      <c r="CC120" s="65"/>
      <c r="CD120" s="65"/>
      <c r="CE120" s="65"/>
      <c r="CF120" s="73"/>
      <c r="CG120" s="65"/>
      <c r="CH120" s="65"/>
      <c r="CI120" s="65"/>
      <c r="CJ120" s="65"/>
      <c r="CK120" s="65"/>
      <c r="CL120" s="65"/>
      <c r="CM120" s="65"/>
      <c r="CN120" s="65"/>
      <c r="CO120" s="65"/>
      <c r="CP120" s="65"/>
      <c r="CQ120" s="72"/>
      <c r="CR120" s="72"/>
      <c r="CS120" s="65"/>
      <c r="CT120" s="65"/>
      <c r="CU120" s="65"/>
      <c r="DM120" s="60"/>
      <c r="DN120" s="60"/>
      <c r="DO120" s="60"/>
      <c r="DP120" s="57"/>
      <c r="DQ120" s="60"/>
      <c r="DR120" s="60"/>
      <c r="DS120" s="60"/>
      <c r="DT120" s="65"/>
    </row>
    <row r="121" spans="1:130" x14ac:dyDescent="0.3">
      <c r="A121" t="s">
        <v>0</v>
      </c>
      <c r="B121" t="s">
        <v>1</v>
      </c>
      <c r="C121" t="s">
        <v>2</v>
      </c>
      <c r="D121" t="s">
        <v>3</v>
      </c>
      <c r="E121" t="s">
        <v>4</v>
      </c>
      <c r="F121" t="s">
        <v>5</v>
      </c>
      <c r="G121" t="s">
        <v>6</v>
      </c>
      <c r="H121" t="s">
        <v>48</v>
      </c>
      <c r="I121" t="s">
        <v>9</v>
      </c>
      <c r="J121" s="27"/>
      <c r="AA121" s="2" t="s">
        <v>7</v>
      </c>
      <c r="AB121" s="3" t="s">
        <v>10</v>
      </c>
      <c r="AC121" s="3" t="s">
        <v>11</v>
      </c>
      <c r="AD121" s="3" t="s">
        <v>12</v>
      </c>
      <c r="AE121" s="3" t="s">
        <v>13</v>
      </c>
      <c r="AF121" s="3" t="s">
        <v>14</v>
      </c>
      <c r="AG121" s="3" t="s">
        <v>15</v>
      </c>
      <c r="AH121" s="3" t="s">
        <v>16</v>
      </c>
      <c r="AI121" s="3" t="s">
        <v>17</v>
      </c>
      <c r="AJ121" s="3" t="s">
        <v>19</v>
      </c>
      <c r="AK121" s="3" t="s">
        <v>18</v>
      </c>
      <c r="AL121" s="3" t="s">
        <v>20</v>
      </c>
      <c r="AM121" s="4" t="s">
        <v>21</v>
      </c>
      <c r="AO121" s="45" t="s">
        <v>43</v>
      </c>
      <c r="AP121" s="5" t="s">
        <v>26</v>
      </c>
      <c r="AQ121" s="5" t="s">
        <v>25</v>
      </c>
      <c r="AR121" s="5" t="s">
        <v>24</v>
      </c>
      <c r="AT121" s="5" t="s">
        <v>10</v>
      </c>
      <c r="AU121" s="6">
        <f>'Résultats Regroupés'!AA122/100</f>
        <v>0</v>
      </c>
      <c r="AV121" s="5" t="s">
        <v>27</v>
      </c>
      <c r="AW121" s="6">
        <f>'Résultats Regroupés'!AF122</f>
        <v>0</v>
      </c>
      <c r="AZ121"/>
      <c r="BA121" s="138" t="s">
        <v>151</v>
      </c>
      <c r="BB121" s="138"/>
      <c r="BC121" s="138"/>
      <c r="BD121" s="138"/>
      <c r="BE121" s="138"/>
      <c r="BF121" s="138"/>
      <c r="BG121" s="138"/>
      <c r="BH121" s="138"/>
      <c r="BI121" s="138"/>
      <c r="BJ121" s="138"/>
      <c r="BK121" s="138"/>
      <c r="BL121" s="138"/>
      <c r="BM121" s="138"/>
      <c r="BN121" s="58"/>
      <c r="BO121" s="61"/>
      <c r="BP121" s="62">
        <v>9</v>
      </c>
      <c r="BQ121" s="60">
        <v>90</v>
      </c>
      <c r="BR121" s="60">
        <v>60</v>
      </c>
      <c r="BS121" s="60">
        <v>75</v>
      </c>
      <c r="BT121" s="60">
        <v>40</v>
      </c>
      <c r="BU121" s="60">
        <v>95</v>
      </c>
      <c r="BV121" s="60">
        <v>415</v>
      </c>
      <c r="BW121" s="60">
        <v>240</v>
      </c>
      <c r="BX121" s="60">
        <v>90</v>
      </c>
      <c r="BY121" s="60">
        <v>125</v>
      </c>
      <c r="BZ121"/>
      <c r="CA121" s="126">
        <v>13</v>
      </c>
      <c r="CB121" s="126">
        <v>89</v>
      </c>
      <c r="CC121" s="65"/>
      <c r="CD121" s="125">
        <v>177751.5</v>
      </c>
      <c r="CE121" s="65"/>
      <c r="CF121" s="124">
        <v>0.88764794007490644</v>
      </c>
      <c r="CG121" s="140" t="s">
        <v>206</v>
      </c>
      <c r="CH121" s="139"/>
      <c r="CI121" s="139"/>
      <c r="CJ121" s="139"/>
      <c r="CK121" s="139"/>
      <c r="CL121" s="139"/>
      <c r="CM121" s="139"/>
      <c r="CN121" s="139"/>
      <c r="CO121" s="139"/>
      <c r="CP121" s="139"/>
      <c r="CQ121" s="139"/>
      <c r="CR121" s="139"/>
      <c r="CS121" s="123">
        <v>246</v>
      </c>
      <c r="CT121" s="123">
        <v>12</v>
      </c>
      <c r="CU121" s="65"/>
      <c r="CV121" s="65"/>
      <c r="CW121" s="65"/>
      <c r="CX121" s="65"/>
      <c r="CY121" s="65"/>
      <c r="CZ121" s="65"/>
      <c r="DA121" s="138" t="s">
        <v>207</v>
      </c>
      <c r="DB121" s="149"/>
      <c r="DC121" s="149"/>
      <c r="DD121" s="149"/>
      <c r="DE121" s="149"/>
      <c r="DF121" s="149"/>
      <c r="DG121" s="149"/>
      <c r="DH121" s="149"/>
      <c r="DI121" s="149"/>
      <c r="DJ121" s="149"/>
      <c r="DL121">
        <v>18</v>
      </c>
      <c r="DM121" s="60">
        <v>3</v>
      </c>
      <c r="DN121" s="60"/>
      <c r="DO121" s="60">
        <v>12</v>
      </c>
      <c r="DP121" s="178">
        <v>36</v>
      </c>
      <c r="DQ121" s="178">
        <v>24</v>
      </c>
      <c r="DR121" s="178">
        <v>30</v>
      </c>
      <c r="DS121" s="178">
        <v>16</v>
      </c>
      <c r="DT121" s="178">
        <v>38</v>
      </c>
      <c r="DU121" s="178">
        <v>166</v>
      </c>
      <c r="DV121" s="178">
        <v>96</v>
      </c>
      <c r="DW121" s="178">
        <v>36</v>
      </c>
      <c r="DX121" s="178">
        <v>50</v>
      </c>
      <c r="DZ121"/>
    </row>
    <row r="122" spans="1:130" hidden="1" x14ac:dyDescent="0.3">
      <c r="A122">
        <v>450</v>
      </c>
      <c r="B122">
        <v>116032</v>
      </c>
      <c r="C122">
        <v>135186</v>
      </c>
      <c r="D122">
        <v>95</v>
      </c>
      <c r="E122" t="s">
        <v>28</v>
      </c>
      <c r="F122">
        <v>500</v>
      </c>
      <c r="G122">
        <v>11656</v>
      </c>
      <c r="H122">
        <v>12270</v>
      </c>
      <c r="J122" s="2" t="s">
        <v>10</v>
      </c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6"/>
      <c r="X122" s="137"/>
      <c r="Y122" s="137"/>
      <c r="Z122" s="137"/>
      <c r="AA122" s="7" t="s">
        <v>8</v>
      </c>
      <c r="AB122">
        <f t="shared" ref="AB122:AB131" si="2">SUM(AD122:AM122)</f>
        <v>445</v>
      </c>
      <c r="AC122" s="12">
        <v>4000</v>
      </c>
      <c r="AD122" s="141">
        <v>250</v>
      </c>
      <c r="AE122">
        <v>195</v>
      </c>
      <c r="AM122" s="8"/>
      <c r="AO122" s="35" t="s">
        <v>38</v>
      </c>
      <c r="AP122" s="15">
        <v>8</v>
      </c>
      <c r="AQ122" s="15">
        <v>17800</v>
      </c>
      <c r="AR122" s="16">
        <v>18000</v>
      </c>
      <c r="AT122" s="40">
        <v>250</v>
      </c>
      <c r="AU122" s="51"/>
      <c r="AV122" s="52"/>
      <c r="AW122" s="50"/>
      <c r="AZ122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>
        <v>0</v>
      </c>
      <c r="BO122" s="67">
        <v>166</v>
      </c>
      <c r="BP122" s="62"/>
      <c r="BQ122" s="145">
        <v>18</v>
      </c>
      <c r="BR122" s="145">
        <v>15</v>
      </c>
      <c r="BS122" s="145">
        <v>15</v>
      </c>
      <c r="BT122" s="145">
        <v>18</v>
      </c>
      <c r="BU122" s="145">
        <v>40</v>
      </c>
      <c r="BV122" s="145">
        <v>83</v>
      </c>
      <c r="BW122" s="145">
        <v>83</v>
      </c>
      <c r="BX122" s="145">
        <v>18</v>
      </c>
      <c r="BY122" s="145">
        <v>25</v>
      </c>
      <c r="BZ122"/>
      <c r="CA122" s="65" t="s">
        <v>106</v>
      </c>
      <c r="CB122" s="65" t="s">
        <v>105</v>
      </c>
      <c r="CC122" s="65" t="s">
        <v>27</v>
      </c>
      <c r="CD122" s="65" t="s">
        <v>10</v>
      </c>
      <c r="CE122" s="65" t="s">
        <v>104</v>
      </c>
      <c r="CF122" s="73" t="s">
        <v>103</v>
      </c>
      <c r="CG122" s="122" t="s">
        <v>102</v>
      </c>
      <c r="CH122" s="122" t="s">
        <v>101</v>
      </c>
      <c r="CI122" s="122" t="s">
        <v>100</v>
      </c>
      <c r="CJ122" s="122" t="s">
        <v>99</v>
      </c>
      <c r="CK122" s="122" t="s">
        <v>98</v>
      </c>
      <c r="CL122" s="122" t="s">
        <v>97</v>
      </c>
      <c r="CM122" s="122" t="s">
        <v>96</v>
      </c>
      <c r="CN122" s="122" t="s">
        <v>95</v>
      </c>
      <c r="CO122" s="122" t="s">
        <v>94</v>
      </c>
      <c r="CP122" s="122" t="s">
        <v>93</v>
      </c>
      <c r="CQ122" s="121" t="s">
        <v>87</v>
      </c>
      <c r="CR122" s="121" t="s">
        <v>92</v>
      </c>
      <c r="CS122" s="65" t="s">
        <v>91</v>
      </c>
      <c r="CT122" s="65" t="s">
        <v>88</v>
      </c>
      <c r="CU122" s="65"/>
      <c r="CV122" t="s">
        <v>90</v>
      </c>
      <c r="CZ122" t="s">
        <v>27</v>
      </c>
      <c r="DA122"/>
      <c r="DM122" s="60">
        <v>1</v>
      </c>
      <c r="DN122" s="60">
        <v>179</v>
      </c>
      <c r="DO122" s="60"/>
      <c r="DP122" s="178">
        <v>18</v>
      </c>
      <c r="DQ122" s="178">
        <v>12</v>
      </c>
      <c r="DR122" s="178">
        <v>15</v>
      </c>
      <c r="DS122" s="178">
        <v>8</v>
      </c>
      <c r="DT122" s="178">
        <v>19</v>
      </c>
      <c r="DU122" s="178">
        <v>84</v>
      </c>
      <c r="DV122" s="178">
        <v>48</v>
      </c>
      <c r="DW122" s="178">
        <v>18</v>
      </c>
      <c r="DX122" s="178">
        <v>27</v>
      </c>
      <c r="DZ122"/>
    </row>
    <row r="123" spans="1:130" ht="15.75" hidden="1" thickBot="1" x14ac:dyDescent="0.3">
      <c r="A123">
        <v>450</v>
      </c>
      <c r="B123">
        <v>116032</v>
      </c>
      <c r="C123">
        <v>128789</v>
      </c>
      <c r="D123">
        <v>114</v>
      </c>
      <c r="E123" t="s">
        <v>28</v>
      </c>
      <c r="F123">
        <v>500</v>
      </c>
      <c r="G123">
        <v>10260</v>
      </c>
      <c r="H123">
        <v>9000</v>
      </c>
      <c r="J123" s="7">
        <f t="shared" ref="J123:J131" si="3">SUM(L123:U123)</f>
        <v>0</v>
      </c>
      <c r="W123" s="33"/>
      <c r="X123" s="15"/>
      <c r="Y123" s="15"/>
      <c r="Z123" s="15"/>
      <c r="AA123" s="7" t="s">
        <v>29</v>
      </c>
      <c r="AB123">
        <f t="shared" si="2"/>
        <v>386</v>
      </c>
      <c r="AC123" s="13">
        <v>1500</v>
      </c>
      <c r="AD123" s="141">
        <v>250</v>
      </c>
      <c r="AE123">
        <v>136</v>
      </c>
      <c r="AM123" s="8"/>
      <c r="AO123" s="35" t="s">
        <v>131</v>
      </c>
      <c r="AP123" s="15">
        <v>3</v>
      </c>
      <c r="AQ123" s="15">
        <v>5790</v>
      </c>
      <c r="AR123" s="16">
        <v>6750</v>
      </c>
      <c r="AT123" s="56"/>
      <c r="AU123" s="55"/>
      <c r="AV123" s="54"/>
      <c r="AW123" s="53"/>
      <c r="AZ123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65">
        <v>315</v>
      </c>
      <c r="BO123" s="63">
        <v>116</v>
      </c>
      <c r="BP123" s="64">
        <v>5</v>
      </c>
      <c r="BQ123" s="60">
        <v>18</v>
      </c>
      <c r="BR123" s="60">
        <v>12</v>
      </c>
      <c r="BS123" s="65">
        <v>15</v>
      </c>
      <c r="BT123" s="65">
        <v>8</v>
      </c>
      <c r="BU123" s="65">
        <v>19</v>
      </c>
      <c r="BV123" s="65">
        <v>83</v>
      </c>
      <c r="BW123" s="65">
        <v>48</v>
      </c>
      <c r="BX123" s="65">
        <v>18</v>
      </c>
      <c r="BY123" s="65">
        <v>25</v>
      </c>
      <c r="BZ123"/>
      <c r="CA123" s="105" t="s">
        <v>79</v>
      </c>
      <c r="CB123" s="105">
        <v>8</v>
      </c>
      <c r="CC123" s="105">
        <v>500</v>
      </c>
      <c r="CD123" s="105">
        <v>450</v>
      </c>
      <c r="CE123" s="105">
        <v>445</v>
      </c>
      <c r="CF123" s="108">
        <v>0.98888888888888893</v>
      </c>
      <c r="CG123" s="114">
        <v>250</v>
      </c>
      <c r="CH123" s="187">
        <v>195</v>
      </c>
      <c r="CI123" s="106"/>
      <c r="CJ123" s="106"/>
      <c r="CK123" s="106"/>
      <c r="CL123" s="106"/>
      <c r="CM123" s="106"/>
      <c r="CN123" s="106"/>
      <c r="CO123" s="106"/>
      <c r="CP123" s="106"/>
      <c r="CQ123" s="107" t="s">
        <v>184</v>
      </c>
      <c r="CR123" s="107" t="s">
        <v>185</v>
      </c>
      <c r="CS123" s="183">
        <v>16</v>
      </c>
      <c r="CT123" s="184">
        <v>1</v>
      </c>
      <c r="CU123" s="65"/>
      <c r="CV123" t="s">
        <v>88</v>
      </c>
      <c r="CW123" t="s">
        <v>87</v>
      </c>
      <c r="CX123" t="s">
        <v>86</v>
      </c>
      <c r="CZ123" s="119">
        <v>250</v>
      </c>
      <c r="DA123"/>
      <c r="DM123" s="60">
        <v>89</v>
      </c>
      <c r="DN123" s="60">
        <v>89</v>
      </c>
      <c r="DO123" s="60">
        <v>9</v>
      </c>
      <c r="DP123" s="178">
        <v>18</v>
      </c>
      <c r="DQ123" s="178">
        <v>12</v>
      </c>
      <c r="DR123" s="178">
        <v>15</v>
      </c>
      <c r="DS123" s="178">
        <v>8</v>
      </c>
      <c r="DT123" s="178">
        <v>19</v>
      </c>
      <c r="DU123" s="178">
        <v>83</v>
      </c>
      <c r="DV123" s="178">
        <v>48</v>
      </c>
      <c r="DW123" s="178">
        <v>18</v>
      </c>
      <c r="DX123" s="179">
        <v>25</v>
      </c>
      <c r="DZ123"/>
    </row>
    <row r="124" spans="1:130" ht="15.75" hidden="1" thickBot="1" x14ac:dyDescent="0.3">
      <c r="A124">
        <v>450</v>
      </c>
      <c r="B124">
        <v>116032</v>
      </c>
      <c r="C124">
        <v>128790</v>
      </c>
      <c r="D124">
        <v>125</v>
      </c>
      <c r="E124" t="s">
        <v>28</v>
      </c>
      <c r="F124">
        <v>500</v>
      </c>
      <c r="G124">
        <v>30000</v>
      </c>
      <c r="H124">
        <v>24000</v>
      </c>
      <c r="J124" s="7">
        <f t="shared" si="3"/>
        <v>0</v>
      </c>
      <c r="W124" s="33"/>
      <c r="X124" s="15"/>
      <c r="Y124" s="15"/>
      <c r="Z124" s="15"/>
      <c r="AA124" s="7" t="s">
        <v>30</v>
      </c>
      <c r="AB124">
        <f t="shared" si="2"/>
        <v>386</v>
      </c>
      <c r="AC124" s="13">
        <v>3500</v>
      </c>
      <c r="AD124" s="51">
        <v>250</v>
      </c>
      <c r="AE124">
        <v>136</v>
      </c>
      <c r="AM124" s="8"/>
      <c r="AO124" s="35" t="s">
        <v>131</v>
      </c>
      <c r="AP124" s="15">
        <v>7</v>
      </c>
      <c r="AQ124" s="15">
        <v>13510</v>
      </c>
      <c r="AR124" s="16">
        <v>15750</v>
      </c>
      <c r="AT124" s="36"/>
      <c r="AU124" s="38"/>
      <c r="AV124" s="37"/>
      <c r="AW124" s="39"/>
      <c r="AZ124"/>
      <c r="BA124" s="59" t="s">
        <v>7</v>
      </c>
      <c r="BB124" s="59" t="s">
        <v>10</v>
      </c>
      <c r="BC124" s="59" t="s">
        <v>11</v>
      </c>
      <c r="BD124" s="59" t="s">
        <v>12</v>
      </c>
      <c r="BE124" s="59" t="s">
        <v>13</v>
      </c>
      <c r="BF124" s="59" t="s">
        <v>14</v>
      </c>
      <c r="BG124" s="59" t="s">
        <v>15</v>
      </c>
      <c r="BH124" s="59" t="s">
        <v>16</v>
      </c>
      <c r="BI124" s="59" t="s">
        <v>17</v>
      </c>
      <c r="BJ124" s="59" t="s">
        <v>19</v>
      </c>
      <c r="BK124" s="59" t="s">
        <v>18</v>
      </c>
      <c r="BL124" s="59" t="s">
        <v>20</v>
      </c>
      <c r="BM124" s="59" t="s">
        <v>21</v>
      </c>
      <c r="BN124" s="59" t="s">
        <v>46</v>
      </c>
      <c r="BO124" s="63" t="s">
        <v>44</v>
      </c>
      <c r="BP124" s="64" t="s">
        <v>45</v>
      </c>
      <c r="BQ124" s="60" t="s">
        <v>142</v>
      </c>
      <c r="BR124" s="60" t="s">
        <v>143</v>
      </c>
      <c r="BS124" s="66" t="s">
        <v>144</v>
      </c>
      <c r="BT124" s="66" t="s">
        <v>145</v>
      </c>
      <c r="BU124" s="66" t="s">
        <v>146</v>
      </c>
      <c r="BV124" s="66" t="s">
        <v>147</v>
      </c>
      <c r="BW124" s="66" t="s">
        <v>148</v>
      </c>
      <c r="BX124" s="66" t="s">
        <v>149</v>
      </c>
      <c r="BY124" s="66" t="s">
        <v>150</v>
      </c>
      <c r="BZ124"/>
      <c r="CA124" s="105" t="s">
        <v>72</v>
      </c>
      <c r="CB124" s="105">
        <v>7</v>
      </c>
      <c r="CC124" s="105">
        <v>500</v>
      </c>
      <c r="CD124" s="105">
        <v>450</v>
      </c>
      <c r="CE124" s="105">
        <v>386</v>
      </c>
      <c r="CF124" s="108">
        <v>0.85777777777777775</v>
      </c>
      <c r="CG124" s="114">
        <v>250</v>
      </c>
      <c r="CH124" s="151">
        <v>136</v>
      </c>
      <c r="CI124" s="106"/>
      <c r="CJ124" s="106"/>
      <c r="CK124" s="106"/>
      <c r="CL124" s="106"/>
      <c r="CM124" s="106"/>
      <c r="CN124" s="106"/>
      <c r="CO124" s="106"/>
      <c r="CP124" s="106"/>
      <c r="CQ124" s="107" t="s">
        <v>198</v>
      </c>
      <c r="CR124" s="107" t="s">
        <v>199</v>
      </c>
      <c r="CS124" s="183">
        <v>14</v>
      </c>
      <c r="CT124" s="184">
        <v>2</v>
      </c>
      <c r="CU124" s="65"/>
      <c r="CV124">
        <v>2</v>
      </c>
      <c r="CW124" t="s">
        <v>198</v>
      </c>
      <c r="CX124" s="186">
        <v>2</v>
      </c>
      <c r="CZ124" s="71">
        <v>250</v>
      </c>
      <c r="DA124" s="65" t="s">
        <v>102</v>
      </c>
      <c r="DB124" s="65" t="s">
        <v>101</v>
      </c>
      <c r="DC124" s="65" t="s">
        <v>100</v>
      </c>
      <c r="DD124" s="65" t="s">
        <v>99</v>
      </c>
      <c r="DE124" s="65" t="s">
        <v>98</v>
      </c>
      <c r="DF124" s="65" t="s">
        <v>97</v>
      </c>
      <c r="DG124" s="65" t="s">
        <v>96</v>
      </c>
      <c r="DH124" s="65" t="s">
        <v>95</v>
      </c>
      <c r="DI124" s="65" t="s">
        <v>94</v>
      </c>
      <c r="DJ124" s="65" t="s">
        <v>93</v>
      </c>
      <c r="DK124" s="133" t="s">
        <v>87</v>
      </c>
      <c r="DL124" s="133" t="s">
        <v>92</v>
      </c>
      <c r="DM124" s="132" t="s">
        <v>114</v>
      </c>
      <c r="DN124" s="132" t="s">
        <v>44</v>
      </c>
      <c r="DO124" s="132" t="s">
        <v>45</v>
      </c>
      <c r="DP124" s="57" t="s">
        <v>142</v>
      </c>
      <c r="DQ124" s="178" t="s">
        <v>143</v>
      </c>
      <c r="DR124" s="178" t="s">
        <v>144</v>
      </c>
      <c r="DS124" s="178" t="s">
        <v>145</v>
      </c>
      <c r="DT124" s="178" t="s">
        <v>146</v>
      </c>
      <c r="DU124" s="178" t="s">
        <v>147</v>
      </c>
      <c r="DV124" s="178" t="s">
        <v>148</v>
      </c>
      <c r="DW124" s="178" t="s">
        <v>149</v>
      </c>
      <c r="DX124" s="66" t="s">
        <v>150</v>
      </c>
      <c r="DZ124"/>
    </row>
    <row r="125" spans="1:130" ht="15.75" hidden="1" thickBot="1" x14ac:dyDescent="0.3">
      <c r="A125">
        <v>450</v>
      </c>
      <c r="B125">
        <v>116032</v>
      </c>
      <c r="C125">
        <v>135187</v>
      </c>
      <c r="D125">
        <v>130</v>
      </c>
      <c r="E125" t="s">
        <v>28</v>
      </c>
      <c r="F125">
        <v>500</v>
      </c>
      <c r="G125">
        <v>53365</v>
      </c>
      <c r="H125">
        <v>41050</v>
      </c>
      <c r="J125" s="7">
        <f t="shared" si="3"/>
        <v>0</v>
      </c>
      <c r="W125" s="33"/>
      <c r="X125" s="15"/>
      <c r="Y125" s="15"/>
      <c r="Z125" s="15"/>
      <c r="AA125" s="7" t="s">
        <v>31</v>
      </c>
      <c r="AB125">
        <f t="shared" si="2"/>
        <v>435</v>
      </c>
      <c r="AC125" s="13">
        <v>6000</v>
      </c>
      <c r="AD125">
        <v>225</v>
      </c>
      <c r="AE125">
        <v>210</v>
      </c>
      <c r="AM125" s="8"/>
      <c r="AO125" s="35" t="s">
        <v>132</v>
      </c>
      <c r="AP125" s="15">
        <v>12</v>
      </c>
      <c r="AQ125" s="15">
        <v>26100</v>
      </c>
      <c r="AR125" s="16">
        <v>27000</v>
      </c>
      <c r="AT125" s="41"/>
      <c r="AU125" s="42"/>
      <c r="AV125" s="43"/>
      <c r="AW125" s="44"/>
      <c r="AZ125"/>
      <c r="BA125" s="142" t="s">
        <v>8</v>
      </c>
      <c r="BB125" s="142">
        <v>445</v>
      </c>
      <c r="BC125" s="142">
        <v>4000</v>
      </c>
      <c r="BD125" s="142">
        <v>250</v>
      </c>
      <c r="BE125" s="142">
        <v>195</v>
      </c>
      <c r="BF125" s="142"/>
      <c r="BG125" s="142"/>
      <c r="BH125" s="142"/>
      <c r="BI125" s="142"/>
      <c r="BJ125" s="142"/>
      <c r="BK125" s="142"/>
      <c r="BL125" s="142"/>
      <c r="BM125" s="142"/>
      <c r="BN125" s="143">
        <v>2</v>
      </c>
      <c r="BO125" s="68">
        <v>18</v>
      </c>
      <c r="BP125" s="144">
        <v>1</v>
      </c>
      <c r="BQ125" s="57">
        <v>1</v>
      </c>
      <c r="BR125" s="60">
        <v>0</v>
      </c>
      <c r="BS125" s="60">
        <v>0</v>
      </c>
      <c r="BT125" s="60">
        <v>1</v>
      </c>
      <c r="BU125" s="60">
        <v>0</v>
      </c>
      <c r="BV125" s="60">
        <v>0</v>
      </c>
      <c r="BW125" s="60">
        <v>0</v>
      </c>
      <c r="BX125" s="60">
        <v>0</v>
      </c>
      <c r="BY125" s="60">
        <v>0</v>
      </c>
      <c r="BZ125"/>
      <c r="CA125" s="105" t="s">
        <v>71</v>
      </c>
      <c r="CB125" s="105">
        <v>3</v>
      </c>
      <c r="CC125" s="105">
        <v>500</v>
      </c>
      <c r="CD125" s="105">
        <v>450</v>
      </c>
      <c r="CE125" s="105">
        <v>386</v>
      </c>
      <c r="CF125" s="108">
        <v>0.85777777777777775</v>
      </c>
      <c r="CG125" s="114">
        <v>250</v>
      </c>
      <c r="CH125" s="151">
        <v>136</v>
      </c>
      <c r="CI125" s="106"/>
      <c r="CJ125" s="106"/>
      <c r="CK125" s="106"/>
      <c r="CL125" s="106"/>
      <c r="CM125" s="106"/>
      <c r="CN125" s="106"/>
      <c r="CO125" s="106"/>
      <c r="CP125" s="106"/>
      <c r="CQ125" s="107" t="s">
        <v>198</v>
      </c>
      <c r="CR125" s="107" t="s">
        <v>199</v>
      </c>
      <c r="CS125" s="183">
        <v>6</v>
      </c>
      <c r="CT125" s="184">
        <v>2</v>
      </c>
      <c r="CU125" s="65"/>
      <c r="CV125">
        <v>10</v>
      </c>
      <c r="CW125" t="s">
        <v>188</v>
      </c>
      <c r="CX125" s="186">
        <v>1</v>
      </c>
      <c r="CZ125" s="118">
        <v>225</v>
      </c>
      <c r="DA125" s="172">
        <v>250</v>
      </c>
      <c r="DB125" s="172">
        <v>195</v>
      </c>
      <c r="DC125" s="172"/>
      <c r="DD125" s="172"/>
      <c r="DE125" s="172"/>
      <c r="DF125" s="170"/>
      <c r="DG125" s="170"/>
      <c r="DH125" s="170"/>
      <c r="DI125" s="170"/>
      <c r="DJ125" s="170"/>
      <c r="DK125" s="173" t="s">
        <v>184</v>
      </c>
      <c r="DL125" s="173" t="s">
        <v>185</v>
      </c>
      <c r="DM125" s="175">
        <v>8</v>
      </c>
      <c r="DN125" s="175">
        <v>8</v>
      </c>
      <c r="DO125" s="175">
        <v>1</v>
      </c>
      <c r="DP125" s="177">
        <v>1</v>
      </c>
      <c r="DQ125" s="180">
        <v>0</v>
      </c>
      <c r="DR125" s="180">
        <v>0</v>
      </c>
      <c r="DS125" s="180">
        <v>1</v>
      </c>
      <c r="DT125" s="180">
        <v>0</v>
      </c>
      <c r="DU125" s="180">
        <v>0</v>
      </c>
      <c r="DV125" s="180">
        <v>0</v>
      </c>
      <c r="DW125" s="180">
        <v>0</v>
      </c>
      <c r="DX125" s="180">
        <v>0</v>
      </c>
      <c r="DZ125"/>
    </row>
    <row r="126" spans="1:130" ht="15.75" hidden="1" thickBot="1" x14ac:dyDescent="0.3">
      <c r="A126">
        <v>450</v>
      </c>
      <c r="B126">
        <v>116032</v>
      </c>
      <c r="C126">
        <v>131191</v>
      </c>
      <c r="D126">
        <v>136</v>
      </c>
      <c r="E126" t="s">
        <v>28</v>
      </c>
      <c r="F126">
        <v>500</v>
      </c>
      <c r="G126">
        <v>12920</v>
      </c>
      <c r="H126">
        <v>9500</v>
      </c>
      <c r="J126" s="7">
        <f t="shared" si="3"/>
        <v>0</v>
      </c>
      <c r="W126" s="33"/>
      <c r="X126" s="15"/>
      <c r="Y126" s="15"/>
      <c r="Z126" s="15"/>
      <c r="AA126" s="7" t="s">
        <v>32</v>
      </c>
      <c r="AB126">
        <f t="shared" si="2"/>
        <v>441</v>
      </c>
      <c r="AC126" s="13">
        <v>1500</v>
      </c>
      <c r="AD126">
        <v>210</v>
      </c>
      <c r="AE126">
        <v>136</v>
      </c>
      <c r="AF126">
        <v>95</v>
      </c>
      <c r="AM126" s="8"/>
      <c r="AO126" s="35" t="s">
        <v>133</v>
      </c>
      <c r="AP126" s="15">
        <v>3</v>
      </c>
      <c r="AQ126" s="15">
        <v>6615</v>
      </c>
      <c r="AR126" s="16">
        <v>6750</v>
      </c>
      <c r="AT126" s="46"/>
      <c r="AU126" s="47"/>
      <c r="AV126" s="48"/>
      <c r="AW126" s="49"/>
      <c r="AZ126"/>
      <c r="BA126" s="142" t="s">
        <v>29</v>
      </c>
      <c r="BB126" s="142">
        <v>386</v>
      </c>
      <c r="BC126" s="142">
        <v>1500</v>
      </c>
      <c r="BD126" s="142">
        <v>250</v>
      </c>
      <c r="BE126" s="142">
        <v>136</v>
      </c>
      <c r="BF126" s="142"/>
      <c r="BG126" s="142"/>
      <c r="BH126" s="142"/>
      <c r="BI126" s="142"/>
      <c r="BJ126" s="142"/>
      <c r="BK126" s="142"/>
      <c r="BL126" s="142"/>
      <c r="BM126" s="142"/>
      <c r="BN126" s="143">
        <v>2</v>
      </c>
      <c r="BO126" s="69">
        <v>0</v>
      </c>
      <c r="BP126" s="64">
        <v>0</v>
      </c>
      <c r="BQ126" s="57">
        <v>1</v>
      </c>
      <c r="BR126" s="60">
        <v>0</v>
      </c>
      <c r="BS126" s="60">
        <v>0</v>
      </c>
      <c r="BT126" s="60">
        <v>0</v>
      </c>
      <c r="BU126" s="60">
        <v>1</v>
      </c>
      <c r="BV126" s="60">
        <v>0</v>
      </c>
      <c r="BW126" s="60">
        <v>0</v>
      </c>
      <c r="BX126" s="60">
        <v>0</v>
      </c>
      <c r="BY126" s="60">
        <v>0</v>
      </c>
      <c r="BZ126"/>
      <c r="CA126" s="105" t="s">
        <v>81</v>
      </c>
      <c r="CB126" s="105">
        <v>6</v>
      </c>
      <c r="CC126" s="105">
        <v>500</v>
      </c>
      <c r="CD126" s="105">
        <v>450</v>
      </c>
      <c r="CE126" s="105">
        <v>450</v>
      </c>
      <c r="CF126" s="108">
        <v>1</v>
      </c>
      <c r="CG126" s="188">
        <v>225</v>
      </c>
      <c r="CH126" s="188">
        <v>225</v>
      </c>
      <c r="CI126" s="109"/>
      <c r="CJ126" s="106"/>
      <c r="CK126" s="106"/>
      <c r="CL126" s="106"/>
      <c r="CM126" s="106"/>
      <c r="CN126" s="106"/>
      <c r="CO126" s="106"/>
      <c r="CP126" s="106"/>
      <c r="CQ126" s="107" t="s">
        <v>182</v>
      </c>
      <c r="CR126" s="107" t="s">
        <v>183</v>
      </c>
      <c r="CS126" s="183">
        <v>12</v>
      </c>
      <c r="CT126" s="184">
        <v>3</v>
      </c>
      <c r="CU126" s="65"/>
      <c r="CV126">
        <v>8</v>
      </c>
      <c r="CW126" t="s">
        <v>196</v>
      </c>
      <c r="CX126" s="186">
        <v>1</v>
      </c>
      <c r="CZ126" s="117">
        <v>210</v>
      </c>
      <c r="DA126" s="172">
        <v>250</v>
      </c>
      <c r="DB126" s="172">
        <v>136</v>
      </c>
      <c r="DC126" s="172"/>
      <c r="DD126" s="172"/>
      <c r="DE126" s="172"/>
      <c r="DF126" s="170"/>
      <c r="DG126" s="170"/>
      <c r="DH126" s="170"/>
      <c r="DI126" s="170"/>
      <c r="DJ126" s="170"/>
      <c r="DK126" s="174" t="s">
        <v>198</v>
      </c>
      <c r="DL126" s="174" t="s">
        <v>199</v>
      </c>
      <c r="DM126" s="176">
        <v>10</v>
      </c>
      <c r="DN126" s="176">
        <v>10</v>
      </c>
      <c r="DO126" s="176">
        <v>1</v>
      </c>
      <c r="DP126" s="177">
        <v>1</v>
      </c>
      <c r="DQ126" s="180">
        <v>0</v>
      </c>
      <c r="DR126" s="180">
        <v>0</v>
      </c>
      <c r="DS126" s="180">
        <v>0</v>
      </c>
      <c r="DT126" s="180">
        <v>1</v>
      </c>
      <c r="DU126" s="180">
        <v>0</v>
      </c>
      <c r="DV126" s="180">
        <v>0</v>
      </c>
      <c r="DW126" s="180">
        <v>0</v>
      </c>
      <c r="DX126" s="180">
        <v>0</v>
      </c>
      <c r="DZ126"/>
    </row>
    <row r="127" spans="1:130" ht="15.75" hidden="1" thickBot="1" x14ac:dyDescent="0.3">
      <c r="A127">
        <v>450</v>
      </c>
      <c r="B127">
        <v>116032</v>
      </c>
      <c r="C127">
        <v>141653</v>
      </c>
      <c r="D127">
        <v>195</v>
      </c>
      <c r="E127" t="s">
        <v>28</v>
      </c>
      <c r="F127">
        <v>500</v>
      </c>
      <c r="G127">
        <v>7800</v>
      </c>
      <c r="H127">
        <v>4000</v>
      </c>
      <c r="J127" s="7">
        <f t="shared" si="3"/>
        <v>0</v>
      </c>
      <c r="W127" s="33"/>
      <c r="X127" s="15"/>
      <c r="Y127" s="15"/>
      <c r="Z127" s="15"/>
      <c r="AA127" s="7" t="s">
        <v>33</v>
      </c>
      <c r="AB127">
        <f t="shared" si="2"/>
        <v>391</v>
      </c>
      <c r="AC127" s="13">
        <v>3000</v>
      </c>
      <c r="AD127">
        <v>136</v>
      </c>
      <c r="AE127">
        <v>130</v>
      </c>
      <c r="AF127">
        <v>125</v>
      </c>
      <c r="AM127" s="8"/>
      <c r="AO127" s="35" t="s">
        <v>134</v>
      </c>
      <c r="AP127" s="15">
        <v>6</v>
      </c>
      <c r="AQ127" s="15">
        <v>11730</v>
      </c>
      <c r="AR127" s="16">
        <v>13500</v>
      </c>
      <c r="AZ127"/>
      <c r="BA127" s="142" t="s">
        <v>31</v>
      </c>
      <c r="BB127" s="142">
        <v>435</v>
      </c>
      <c r="BC127" s="142">
        <v>6000</v>
      </c>
      <c r="BD127" s="142">
        <v>225</v>
      </c>
      <c r="BE127" s="142">
        <v>210</v>
      </c>
      <c r="BF127" s="142"/>
      <c r="BG127" s="142"/>
      <c r="BH127" s="142"/>
      <c r="BI127" s="142"/>
      <c r="BJ127" s="142"/>
      <c r="BK127" s="142"/>
      <c r="BL127" s="142"/>
      <c r="BM127" s="142"/>
      <c r="BN127" s="143">
        <v>2</v>
      </c>
      <c r="BO127" s="69">
        <v>15</v>
      </c>
      <c r="BP127" s="64">
        <v>1</v>
      </c>
      <c r="BQ127" s="57">
        <v>0</v>
      </c>
      <c r="BR127" s="60">
        <v>1</v>
      </c>
      <c r="BS127" s="60">
        <v>1</v>
      </c>
      <c r="BT127" s="60">
        <v>0</v>
      </c>
      <c r="BU127" s="60">
        <v>0</v>
      </c>
      <c r="BV127" s="60">
        <v>0</v>
      </c>
      <c r="BW127" s="60">
        <v>0</v>
      </c>
      <c r="BX127" s="60">
        <v>0</v>
      </c>
      <c r="BY127" s="60">
        <v>0</v>
      </c>
      <c r="BZ127"/>
      <c r="CA127" s="105" t="s">
        <v>76</v>
      </c>
      <c r="CB127" s="105">
        <v>7</v>
      </c>
      <c r="CC127" s="105">
        <v>500</v>
      </c>
      <c r="CD127" s="105">
        <v>450</v>
      </c>
      <c r="CE127" s="105">
        <v>420</v>
      </c>
      <c r="CF127" s="108">
        <v>0.93333333333333335</v>
      </c>
      <c r="CG127" s="150">
        <v>210</v>
      </c>
      <c r="CH127" s="150">
        <v>210</v>
      </c>
      <c r="CI127" s="106"/>
      <c r="CJ127" s="106"/>
      <c r="CK127" s="106"/>
      <c r="CL127" s="106"/>
      <c r="CM127" s="106"/>
      <c r="CN127" s="106"/>
      <c r="CO127" s="106"/>
      <c r="CP127" s="106"/>
      <c r="CQ127" s="107" t="s">
        <v>190</v>
      </c>
      <c r="CR127" s="107" t="s">
        <v>191</v>
      </c>
      <c r="CS127" s="183">
        <v>14</v>
      </c>
      <c r="CT127" s="184">
        <v>4</v>
      </c>
      <c r="CU127" s="65"/>
      <c r="CV127">
        <v>12</v>
      </c>
      <c r="CW127" t="s">
        <v>200</v>
      </c>
      <c r="CX127" s="186">
        <v>1</v>
      </c>
      <c r="CZ127" s="19">
        <v>195</v>
      </c>
      <c r="DA127" s="172">
        <v>225</v>
      </c>
      <c r="DB127" s="172">
        <v>225</v>
      </c>
      <c r="DC127" s="172"/>
      <c r="DD127" s="172"/>
      <c r="DE127" s="172"/>
      <c r="DF127" s="170"/>
      <c r="DG127" s="170"/>
      <c r="DH127" s="170"/>
      <c r="DI127" s="170"/>
      <c r="DJ127" s="170"/>
      <c r="DK127" s="174" t="s">
        <v>182</v>
      </c>
      <c r="DL127" s="174" t="s">
        <v>183</v>
      </c>
      <c r="DM127" s="176">
        <v>6</v>
      </c>
      <c r="DN127" s="176">
        <v>6</v>
      </c>
      <c r="DO127" s="176">
        <v>1</v>
      </c>
      <c r="DP127" s="177">
        <v>0</v>
      </c>
      <c r="DQ127" s="180">
        <v>2</v>
      </c>
      <c r="DR127" s="180">
        <v>0</v>
      </c>
      <c r="DS127" s="180">
        <v>0</v>
      </c>
      <c r="DT127" s="180">
        <v>0</v>
      </c>
      <c r="DU127" s="180">
        <v>0</v>
      </c>
      <c r="DV127" s="180">
        <v>0</v>
      </c>
      <c r="DW127" s="180">
        <v>0</v>
      </c>
      <c r="DX127" s="180">
        <v>0</v>
      </c>
      <c r="DZ127"/>
    </row>
    <row r="128" spans="1:130" ht="15.75" hidden="1" thickBot="1" x14ac:dyDescent="0.3">
      <c r="A128">
        <v>450</v>
      </c>
      <c r="B128">
        <v>116032</v>
      </c>
      <c r="C128">
        <v>119176</v>
      </c>
      <c r="D128">
        <v>210</v>
      </c>
      <c r="E128" t="s">
        <v>28</v>
      </c>
      <c r="F128">
        <v>500</v>
      </c>
      <c r="G128">
        <v>15750</v>
      </c>
      <c r="H128">
        <v>7500</v>
      </c>
      <c r="J128" s="7">
        <f t="shared" si="3"/>
        <v>0</v>
      </c>
      <c r="W128" s="33"/>
      <c r="X128" s="15"/>
      <c r="Y128" s="15"/>
      <c r="Z128" s="15"/>
      <c r="AA128" s="7" t="s">
        <v>34</v>
      </c>
      <c r="AB128">
        <f t="shared" si="2"/>
        <v>369</v>
      </c>
      <c r="AC128" s="13">
        <v>9000</v>
      </c>
      <c r="AD128">
        <v>130</v>
      </c>
      <c r="AE128">
        <v>125</v>
      </c>
      <c r="AF128">
        <v>114</v>
      </c>
      <c r="AM128" s="8"/>
      <c r="AO128" s="35" t="s">
        <v>135</v>
      </c>
      <c r="AP128" s="15">
        <v>18</v>
      </c>
      <c r="AQ128" s="15">
        <v>33210</v>
      </c>
      <c r="AR128" s="16">
        <v>40500</v>
      </c>
      <c r="AZ128"/>
      <c r="BA128" s="142" t="s">
        <v>32</v>
      </c>
      <c r="BB128" s="142">
        <v>441</v>
      </c>
      <c r="BC128" s="142">
        <v>1500</v>
      </c>
      <c r="BD128" s="142">
        <v>210</v>
      </c>
      <c r="BE128" s="142">
        <v>136</v>
      </c>
      <c r="BF128" s="142">
        <v>95</v>
      </c>
      <c r="BG128" s="142"/>
      <c r="BH128" s="142"/>
      <c r="BI128" s="142"/>
      <c r="BJ128" s="142"/>
      <c r="BK128" s="142"/>
      <c r="BL128" s="142"/>
      <c r="BM128" s="142"/>
      <c r="BN128" s="143">
        <v>3</v>
      </c>
      <c r="BO128" s="69">
        <v>0</v>
      </c>
      <c r="BP128" s="64">
        <v>0</v>
      </c>
      <c r="BQ128" s="57">
        <v>0</v>
      </c>
      <c r="BR128" s="60">
        <v>0</v>
      </c>
      <c r="BS128" s="60">
        <v>1</v>
      </c>
      <c r="BT128" s="60">
        <v>0</v>
      </c>
      <c r="BU128" s="60">
        <v>1</v>
      </c>
      <c r="BV128" s="60">
        <v>0</v>
      </c>
      <c r="BW128" s="60">
        <v>0</v>
      </c>
      <c r="BX128" s="60">
        <v>0</v>
      </c>
      <c r="BY128" s="60">
        <v>1</v>
      </c>
      <c r="BZ128"/>
      <c r="CA128" s="105" t="s">
        <v>78</v>
      </c>
      <c r="CB128" s="105">
        <v>1</v>
      </c>
      <c r="CC128" s="105">
        <v>500</v>
      </c>
      <c r="CD128" s="105">
        <v>450</v>
      </c>
      <c r="CE128" s="105">
        <v>441</v>
      </c>
      <c r="CF128" s="108">
        <v>0.98</v>
      </c>
      <c r="CG128" s="150">
        <v>210</v>
      </c>
      <c r="CH128" s="151">
        <v>136</v>
      </c>
      <c r="CI128" s="106">
        <v>95</v>
      </c>
      <c r="CJ128" s="106"/>
      <c r="CK128" s="106"/>
      <c r="CL128" s="106"/>
      <c r="CM128" s="106"/>
      <c r="CN128" s="106"/>
      <c r="CO128" s="106"/>
      <c r="CP128" s="106"/>
      <c r="CQ128" s="107" t="s">
        <v>186</v>
      </c>
      <c r="CR128" s="107" t="s">
        <v>187</v>
      </c>
      <c r="CS128" s="183">
        <v>3</v>
      </c>
      <c r="CT128" s="184">
        <v>5</v>
      </c>
      <c r="CU128" s="65"/>
      <c r="CV128">
        <v>7</v>
      </c>
      <c r="CW128" t="s">
        <v>194</v>
      </c>
      <c r="CX128" s="186">
        <v>1</v>
      </c>
      <c r="CZ128" s="115">
        <v>136</v>
      </c>
      <c r="DA128" s="172">
        <v>210</v>
      </c>
      <c r="DB128" s="172">
        <v>210</v>
      </c>
      <c r="DC128" s="172"/>
      <c r="DD128" s="172"/>
      <c r="DE128" s="172"/>
      <c r="DF128" s="170"/>
      <c r="DG128" s="170"/>
      <c r="DH128" s="170"/>
      <c r="DI128" s="170"/>
      <c r="DJ128" s="170"/>
      <c r="DK128" s="174" t="s">
        <v>190</v>
      </c>
      <c r="DL128" s="174" t="s">
        <v>191</v>
      </c>
      <c r="DM128" s="176">
        <v>7</v>
      </c>
      <c r="DN128" s="176">
        <v>3</v>
      </c>
      <c r="DO128" s="176">
        <v>1</v>
      </c>
      <c r="DP128" s="177">
        <v>0</v>
      </c>
      <c r="DQ128" s="180">
        <v>0</v>
      </c>
      <c r="DR128" s="180">
        <v>2</v>
      </c>
      <c r="DS128" s="180">
        <v>0</v>
      </c>
      <c r="DT128" s="180">
        <v>0</v>
      </c>
      <c r="DU128" s="180">
        <v>0</v>
      </c>
      <c r="DV128" s="180">
        <v>0</v>
      </c>
      <c r="DW128" s="180">
        <v>0</v>
      </c>
      <c r="DX128" s="180">
        <v>0</v>
      </c>
      <c r="DZ128"/>
    </row>
    <row r="129" spans="1:130" ht="15.75" hidden="1" thickBot="1" x14ac:dyDescent="0.3">
      <c r="A129">
        <v>450</v>
      </c>
      <c r="B129">
        <v>116032</v>
      </c>
      <c r="C129">
        <v>146613</v>
      </c>
      <c r="D129">
        <v>225</v>
      </c>
      <c r="E129" t="s">
        <v>28</v>
      </c>
      <c r="F129">
        <v>500</v>
      </c>
      <c r="G129">
        <v>13500</v>
      </c>
      <c r="H129">
        <v>6000</v>
      </c>
      <c r="J129" s="7">
        <f t="shared" si="3"/>
        <v>0</v>
      </c>
      <c r="W129" s="33"/>
      <c r="X129" s="15"/>
      <c r="Y129" s="15"/>
      <c r="Z129" s="15"/>
      <c r="AA129" s="7" t="s">
        <v>35</v>
      </c>
      <c r="AB129">
        <f t="shared" si="2"/>
        <v>350</v>
      </c>
      <c r="AC129" s="13">
        <v>11000</v>
      </c>
      <c r="AD129">
        <v>130</v>
      </c>
      <c r="AE129">
        <v>125</v>
      </c>
      <c r="AF129">
        <v>95</v>
      </c>
      <c r="AM129" s="8"/>
      <c r="AO129" s="35" t="s">
        <v>136</v>
      </c>
      <c r="AP129" s="15">
        <v>22</v>
      </c>
      <c r="AQ129" s="15">
        <v>38500</v>
      </c>
      <c r="AR129" s="16">
        <v>49500</v>
      </c>
      <c r="AZ129"/>
      <c r="BA129" s="142" t="s">
        <v>33</v>
      </c>
      <c r="BB129" s="142">
        <v>391</v>
      </c>
      <c r="BC129" s="142">
        <v>3000</v>
      </c>
      <c r="BD129" s="142">
        <v>136</v>
      </c>
      <c r="BE129" s="142">
        <v>130</v>
      </c>
      <c r="BF129" s="142">
        <v>125</v>
      </c>
      <c r="BG129" s="142"/>
      <c r="BH129" s="142"/>
      <c r="BI129" s="142"/>
      <c r="BJ129" s="142"/>
      <c r="BK129" s="142"/>
      <c r="BL129" s="142"/>
      <c r="BM129" s="142"/>
      <c r="BN129" s="143">
        <v>3</v>
      </c>
      <c r="BO129" s="69">
        <v>40</v>
      </c>
      <c r="BP129" s="64">
        <v>1</v>
      </c>
      <c r="BQ129" s="57">
        <v>0</v>
      </c>
      <c r="BR129" s="60">
        <v>0</v>
      </c>
      <c r="BS129" s="60">
        <v>0</v>
      </c>
      <c r="BT129" s="60">
        <v>0</v>
      </c>
      <c r="BU129" s="60">
        <v>1</v>
      </c>
      <c r="BV129" s="60">
        <v>1</v>
      </c>
      <c r="BW129" s="60">
        <v>1</v>
      </c>
      <c r="BX129" s="60">
        <v>0</v>
      </c>
      <c r="BY129" s="60">
        <v>0</v>
      </c>
      <c r="BZ129"/>
      <c r="CA129" s="105" t="s">
        <v>75</v>
      </c>
      <c r="CB129" s="105">
        <v>2</v>
      </c>
      <c r="CC129" s="105">
        <v>500</v>
      </c>
      <c r="CD129" s="105">
        <v>450</v>
      </c>
      <c r="CE129" s="105">
        <v>408</v>
      </c>
      <c r="CF129" s="108">
        <v>0.90666666666666662</v>
      </c>
      <c r="CG129" s="151">
        <v>136</v>
      </c>
      <c r="CH129" s="151">
        <v>136</v>
      </c>
      <c r="CI129" s="151">
        <v>136</v>
      </c>
      <c r="CJ129" s="106"/>
      <c r="CK129" s="106"/>
      <c r="CL129" s="106"/>
      <c r="CM129" s="106"/>
      <c r="CN129" s="106"/>
      <c r="CO129" s="106"/>
      <c r="CP129" s="106"/>
      <c r="CQ129" s="107" t="s">
        <v>192</v>
      </c>
      <c r="CR129" s="107" t="s">
        <v>193</v>
      </c>
      <c r="CS129" s="183">
        <v>6</v>
      </c>
      <c r="CT129" s="184">
        <v>6</v>
      </c>
      <c r="CU129" s="65"/>
      <c r="CV129">
        <v>3</v>
      </c>
      <c r="CW129" t="s">
        <v>182</v>
      </c>
      <c r="CX129" s="186">
        <v>1</v>
      </c>
      <c r="CZ129" s="113">
        <v>130</v>
      </c>
      <c r="DA129" s="172">
        <v>210</v>
      </c>
      <c r="DB129" s="172">
        <v>136</v>
      </c>
      <c r="DC129" s="172">
        <v>95</v>
      </c>
      <c r="DD129" s="172"/>
      <c r="DE129" s="172"/>
      <c r="DF129" s="170"/>
      <c r="DG129" s="170"/>
      <c r="DH129" s="170"/>
      <c r="DI129" s="170"/>
      <c r="DJ129" s="170"/>
      <c r="DK129" s="174" t="s">
        <v>186</v>
      </c>
      <c r="DL129" s="174" t="s">
        <v>187</v>
      </c>
      <c r="DM129" s="176">
        <v>1</v>
      </c>
      <c r="DN129" s="176">
        <v>9</v>
      </c>
      <c r="DO129" s="176">
        <v>1</v>
      </c>
      <c r="DP129" s="177">
        <v>0</v>
      </c>
      <c r="DQ129" s="180">
        <v>0</v>
      </c>
      <c r="DR129" s="180">
        <v>1</v>
      </c>
      <c r="DS129" s="180">
        <v>0</v>
      </c>
      <c r="DT129" s="180">
        <v>1</v>
      </c>
      <c r="DU129" s="180">
        <v>0</v>
      </c>
      <c r="DV129" s="180">
        <v>0</v>
      </c>
      <c r="DW129" s="180">
        <v>0</v>
      </c>
      <c r="DX129" s="180">
        <v>1</v>
      </c>
      <c r="DZ129"/>
    </row>
    <row r="130" spans="1:130" ht="15.75" hidden="1" thickBot="1" x14ac:dyDescent="0.3">
      <c r="A130">
        <v>450</v>
      </c>
      <c r="B130">
        <v>116032</v>
      </c>
      <c r="C130">
        <v>125253</v>
      </c>
      <c r="D130">
        <v>250</v>
      </c>
      <c r="E130" t="s">
        <v>28</v>
      </c>
      <c r="F130">
        <v>500</v>
      </c>
      <c r="G130">
        <v>13750</v>
      </c>
      <c r="H130">
        <v>5500</v>
      </c>
      <c r="J130" s="7">
        <f t="shared" si="3"/>
        <v>0</v>
      </c>
      <c r="W130" s="33"/>
      <c r="X130" s="15"/>
      <c r="Y130" s="15"/>
      <c r="Z130" s="15"/>
      <c r="AA130" s="7" t="s">
        <v>39</v>
      </c>
      <c r="AB130">
        <f t="shared" si="2"/>
        <v>255</v>
      </c>
      <c r="AC130" s="13">
        <v>1000</v>
      </c>
      <c r="AD130">
        <v>130</v>
      </c>
      <c r="AE130">
        <v>125</v>
      </c>
      <c r="AM130" s="8"/>
      <c r="AO130" s="35" t="s">
        <v>137</v>
      </c>
      <c r="AP130" s="15">
        <v>2</v>
      </c>
      <c r="AQ130" s="15">
        <v>2550</v>
      </c>
      <c r="AR130" s="16">
        <v>4500</v>
      </c>
      <c r="AZ130"/>
      <c r="BA130" s="142" t="s">
        <v>34</v>
      </c>
      <c r="BB130" s="142">
        <v>369</v>
      </c>
      <c r="BC130" s="142">
        <v>9000</v>
      </c>
      <c r="BD130" s="142">
        <v>130</v>
      </c>
      <c r="BE130" s="142">
        <v>125</v>
      </c>
      <c r="BF130" s="142">
        <v>114</v>
      </c>
      <c r="BG130" s="142"/>
      <c r="BH130" s="142"/>
      <c r="BI130" s="142"/>
      <c r="BJ130" s="142"/>
      <c r="BK130" s="142"/>
      <c r="BL130" s="142"/>
      <c r="BM130" s="142"/>
      <c r="BN130" s="143">
        <v>3</v>
      </c>
      <c r="BO130" s="69">
        <v>18</v>
      </c>
      <c r="BP130" s="64">
        <v>1</v>
      </c>
      <c r="BQ130" s="57">
        <v>0</v>
      </c>
      <c r="BR130" s="60">
        <v>0</v>
      </c>
      <c r="BS130" s="60">
        <v>0</v>
      </c>
      <c r="BT130" s="60">
        <v>0</v>
      </c>
      <c r="BU130" s="60">
        <v>0</v>
      </c>
      <c r="BV130" s="60">
        <v>1</v>
      </c>
      <c r="BW130" s="60">
        <v>1</v>
      </c>
      <c r="BX130" s="60">
        <v>1</v>
      </c>
      <c r="BY130" s="60">
        <v>0</v>
      </c>
      <c r="BZ130"/>
      <c r="CA130" s="105" t="s">
        <v>74</v>
      </c>
      <c r="CB130" s="105">
        <v>1</v>
      </c>
      <c r="CC130" s="105">
        <v>500</v>
      </c>
      <c r="CD130" s="105">
        <v>450</v>
      </c>
      <c r="CE130" s="105">
        <v>402</v>
      </c>
      <c r="CF130" s="108">
        <v>0.89333333333333331</v>
      </c>
      <c r="CG130" s="151">
        <v>136</v>
      </c>
      <c r="CH130" s="151">
        <v>136</v>
      </c>
      <c r="CI130" s="152">
        <v>130</v>
      </c>
      <c r="CJ130" s="106"/>
      <c r="CK130" s="106"/>
      <c r="CL130" s="106"/>
      <c r="CM130" s="106"/>
      <c r="CN130" s="106"/>
      <c r="CO130" s="106"/>
      <c r="CP130" s="106"/>
      <c r="CQ130" s="107" t="s">
        <v>194</v>
      </c>
      <c r="CR130" s="107" t="s">
        <v>195</v>
      </c>
      <c r="CS130" s="183">
        <v>3</v>
      </c>
      <c r="CT130" s="184">
        <v>7</v>
      </c>
      <c r="CU130" s="65"/>
      <c r="CV130">
        <v>9</v>
      </c>
      <c r="CW130" t="s">
        <v>202</v>
      </c>
      <c r="CX130" s="186">
        <v>1</v>
      </c>
      <c r="CZ130" s="112">
        <v>130</v>
      </c>
      <c r="DA130" s="172">
        <v>136</v>
      </c>
      <c r="DB130" s="172">
        <v>136</v>
      </c>
      <c r="DC130" s="172">
        <v>136</v>
      </c>
      <c r="DD130" s="172"/>
      <c r="DE130" s="172"/>
      <c r="DF130" s="170"/>
      <c r="DG130" s="170"/>
      <c r="DH130" s="170"/>
      <c r="DI130" s="170"/>
      <c r="DJ130" s="170"/>
      <c r="DK130" s="174" t="s">
        <v>192</v>
      </c>
      <c r="DL130" s="174" t="s">
        <v>193</v>
      </c>
      <c r="DM130" s="176">
        <v>2</v>
      </c>
      <c r="DN130" s="176">
        <v>0</v>
      </c>
      <c r="DO130" s="176">
        <v>0</v>
      </c>
      <c r="DP130" s="177">
        <v>0</v>
      </c>
      <c r="DQ130" s="180">
        <v>0</v>
      </c>
      <c r="DR130" s="180">
        <v>0</v>
      </c>
      <c r="DS130" s="180">
        <v>0</v>
      </c>
      <c r="DT130" s="180">
        <v>3</v>
      </c>
      <c r="DU130" s="180">
        <v>0</v>
      </c>
      <c r="DV130" s="180">
        <v>0</v>
      </c>
      <c r="DW130" s="180">
        <v>0</v>
      </c>
      <c r="DX130" s="180">
        <v>0</v>
      </c>
      <c r="DZ130"/>
    </row>
    <row r="131" spans="1:130" ht="15.75" hidden="1" thickBot="1" x14ac:dyDescent="0.3">
      <c r="A131">
        <v>450</v>
      </c>
      <c r="B131">
        <v>116032</v>
      </c>
      <c r="C131">
        <v>133043</v>
      </c>
      <c r="D131">
        <v>250</v>
      </c>
      <c r="E131" t="s">
        <v>28</v>
      </c>
      <c r="F131">
        <v>500</v>
      </c>
      <c r="G131">
        <v>8750</v>
      </c>
      <c r="H131">
        <v>3500</v>
      </c>
      <c r="J131" s="9">
        <f t="shared" si="3"/>
        <v>0</v>
      </c>
      <c r="W131" s="33"/>
      <c r="X131" s="15"/>
      <c r="Y131" s="15"/>
      <c r="Z131" s="15"/>
      <c r="AA131" s="9" t="s">
        <v>40</v>
      </c>
      <c r="AB131" s="10">
        <f t="shared" si="2"/>
        <v>130</v>
      </c>
      <c r="AC131" s="14">
        <v>17500</v>
      </c>
      <c r="AD131" s="10">
        <v>130</v>
      </c>
      <c r="AE131" s="10"/>
      <c r="AF131" s="10"/>
      <c r="AG131" s="10"/>
      <c r="AH131" s="10"/>
      <c r="AI131" s="10"/>
      <c r="AJ131" s="10"/>
      <c r="AK131" s="10"/>
      <c r="AL131" s="10"/>
      <c r="AM131" s="11"/>
      <c r="AO131" s="35" t="s">
        <v>138</v>
      </c>
      <c r="AP131" s="15">
        <v>35</v>
      </c>
      <c r="AQ131" s="15">
        <v>22750</v>
      </c>
      <c r="AR131" s="16">
        <v>78750</v>
      </c>
      <c r="AZ131"/>
      <c r="BA131" s="142" t="s">
        <v>35</v>
      </c>
      <c r="BB131" s="142">
        <v>350</v>
      </c>
      <c r="BC131" s="142">
        <v>11000</v>
      </c>
      <c r="BD131" s="142">
        <v>130</v>
      </c>
      <c r="BE131" s="142">
        <v>125</v>
      </c>
      <c r="BF131" s="142">
        <v>95</v>
      </c>
      <c r="BG131" s="142"/>
      <c r="BH131" s="142"/>
      <c r="BI131" s="142"/>
      <c r="BJ131" s="142"/>
      <c r="BK131" s="142"/>
      <c r="BL131" s="142"/>
      <c r="BM131" s="142"/>
      <c r="BN131" s="143">
        <v>3</v>
      </c>
      <c r="BO131" s="69">
        <v>25</v>
      </c>
      <c r="BP131" s="64">
        <v>1</v>
      </c>
      <c r="BQ131" s="57">
        <v>0</v>
      </c>
      <c r="BR131" s="60">
        <v>0</v>
      </c>
      <c r="BS131" s="60">
        <v>0</v>
      </c>
      <c r="BT131" s="60">
        <v>0</v>
      </c>
      <c r="BU131" s="60">
        <v>0</v>
      </c>
      <c r="BV131" s="60">
        <v>1</v>
      </c>
      <c r="BW131" s="60">
        <v>1</v>
      </c>
      <c r="BX131" s="60">
        <v>0</v>
      </c>
      <c r="BY131" s="60">
        <v>1</v>
      </c>
      <c r="BZ131"/>
      <c r="CA131" s="105" t="s">
        <v>73</v>
      </c>
      <c r="CB131" s="105">
        <v>27</v>
      </c>
      <c r="CC131" s="105">
        <v>500</v>
      </c>
      <c r="CD131" s="105">
        <v>450</v>
      </c>
      <c r="CE131" s="105">
        <v>390</v>
      </c>
      <c r="CF131" s="108">
        <v>0.8666666666666667</v>
      </c>
      <c r="CG131" s="152">
        <v>130</v>
      </c>
      <c r="CH131" s="152">
        <v>130</v>
      </c>
      <c r="CI131" s="152">
        <v>130</v>
      </c>
      <c r="CJ131" s="106"/>
      <c r="CK131" s="106"/>
      <c r="CL131" s="106"/>
      <c r="CM131" s="106"/>
      <c r="CN131" s="106"/>
      <c r="CO131" s="106"/>
      <c r="CP131" s="106"/>
      <c r="CQ131" s="107" t="s">
        <v>196</v>
      </c>
      <c r="CR131" s="107" t="s">
        <v>197</v>
      </c>
      <c r="CS131" s="183">
        <v>81</v>
      </c>
      <c r="CT131" s="184">
        <v>8</v>
      </c>
      <c r="CU131" s="65"/>
      <c r="CV131">
        <v>4</v>
      </c>
      <c r="CW131" t="s">
        <v>190</v>
      </c>
      <c r="CX131" s="186">
        <v>1</v>
      </c>
      <c r="CZ131" s="111">
        <v>125</v>
      </c>
      <c r="DA131" s="172">
        <v>136</v>
      </c>
      <c r="DB131" s="172">
        <v>136</v>
      </c>
      <c r="DC131" s="172">
        <v>130</v>
      </c>
      <c r="DD131" s="172"/>
      <c r="DE131" s="172"/>
      <c r="DF131" s="170"/>
      <c r="DG131" s="170"/>
      <c r="DH131" s="170"/>
      <c r="DI131" s="170"/>
      <c r="DJ131" s="170"/>
      <c r="DK131" s="174" t="s">
        <v>194</v>
      </c>
      <c r="DL131" s="174" t="s">
        <v>195</v>
      </c>
      <c r="DM131" s="176">
        <v>1</v>
      </c>
      <c r="DN131" s="176">
        <v>0</v>
      </c>
      <c r="DO131" s="176">
        <v>0</v>
      </c>
      <c r="DP131" s="177">
        <v>0</v>
      </c>
      <c r="DQ131" s="180">
        <v>0</v>
      </c>
      <c r="DR131" s="180">
        <v>0</v>
      </c>
      <c r="DS131" s="180">
        <v>0</v>
      </c>
      <c r="DT131" s="180">
        <v>2</v>
      </c>
      <c r="DU131" s="180">
        <v>1</v>
      </c>
      <c r="DV131" s="180">
        <v>0</v>
      </c>
      <c r="DW131" s="180">
        <v>0</v>
      </c>
      <c r="DX131" s="180">
        <v>0</v>
      </c>
      <c r="DZ131"/>
    </row>
    <row r="132" spans="1:130" ht="15.75" hidden="1" thickBot="1" x14ac:dyDescent="0.3">
      <c r="J132"/>
      <c r="W132" s="136"/>
      <c r="X132" s="137"/>
      <c r="Y132" s="137"/>
      <c r="Z132" s="137"/>
      <c r="AA132"/>
      <c r="AO132" s="45" t="s">
        <v>139</v>
      </c>
      <c r="AP132" s="17">
        <f>SUM(AP122:AP131)</f>
        <v>116</v>
      </c>
      <c r="AQ132" s="17">
        <f>SUM(AQ122:AQ131)</f>
        <v>178555</v>
      </c>
      <c r="AR132" s="17">
        <f>SUM(AR122:AR131)</f>
        <v>261000</v>
      </c>
      <c r="AZ132"/>
      <c r="BA132" s="142" t="s">
        <v>39</v>
      </c>
      <c r="BB132" s="142">
        <v>255</v>
      </c>
      <c r="BC132" s="142">
        <v>1000</v>
      </c>
      <c r="BD132" s="142">
        <v>130</v>
      </c>
      <c r="BE132" s="142">
        <v>125</v>
      </c>
      <c r="BF132" s="142"/>
      <c r="BG132" s="142"/>
      <c r="BH132" s="142"/>
      <c r="BI132" s="142"/>
      <c r="BJ132" s="142"/>
      <c r="BK132" s="142"/>
      <c r="BL132" s="142"/>
      <c r="BM132" s="142"/>
      <c r="BN132" s="143">
        <v>2</v>
      </c>
      <c r="BO132" s="69">
        <v>0</v>
      </c>
      <c r="BP132" s="64">
        <v>0</v>
      </c>
      <c r="BQ132" s="57">
        <v>0</v>
      </c>
      <c r="BR132" s="60">
        <v>0</v>
      </c>
      <c r="BS132" s="60">
        <v>0</v>
      </c>
      <c r="BT132" s="60">
        <v>0</v>
      </c>
      <c r="BU132" s="60">
        <v>0</v>
      </c>
      <c r="BV132" s="60">
        <v>1</v>
      </c>
      <c r="BW132" s="60">
        <v>1</v>
      </c>
      <c r="BX132" s="60">
        <v>0</v>
      </c>
      <c r="BY132" s="60">
        <v>0</v>
      </c>
      <c r="BZ132"/>
      <c r="CA132" s="105" t="s">
        <v>69</v>
      </c>
      <c r="CB132" s="105">
        <v>16</v>
      </c>
      <c r="CC132" s="105">
        <v>500</v>
      </c>
      <c r="CD132" s="105">
        <v>450</v>
      </c>
      <c r="CE132" s="105">
        <v>375</v>
      </c>
      <c r="CF132" s="108">
        <v>0.83333333333333337</v>
      </c>
      <c r="CG132" s="189">
        <v>125</v>
      </c>
      <c r="CH132" s="189">
        <v>125</v>
      </c>
      <c r="CI132" s="189">
        <v>125</v>
      </c>
      <c r="CJ132" s="106"/>
      <c r="CK132" s="106"/>
      <c r="CL132" s="106"/>
      <c r="CM132" s="106"/>
      <c r="CN132" s="106"/>
      <c r="CO132" s="106"/>
      <c r="CP132" s="106"/>
      <c r="CQ132" s="107" t="s">
        <v>202</v>
      </c>
      <c r="CR132" s="107" t="s">
        <v>203</v>
      </c>
      <c r="CS132" s="183">
        <v>48</v>
      </c>
      <c r="CT132" s="184">
        <v>9</v>
      </c>
      <c r="CU132" s="65"/>
      <c r="CV132">
        <v>11</v>
      </c>
      <c r="CW132" t="s">
        <v>204</v>
      </c>
      <c r="CX132" s="186">
        <v>1</v>
      </c>
      <c r="CZ132">
        <v>114</v>
      </c>
      <c r="DA132" s="172">
        <v>130</v>
      </c>
      <c r="DB132" s="172">
        <v>130</v>
      </c>
      <c r="DC132" s="172">
        <v>130</v>
      </c>
      <c r="DD132" s="172"/>
      <c r="DE132" s="172"/>
      <c r="DF132" s="170"/>
      <c r="DG132" s="170"/>
      <c r="DH132" s="170"/>
      <c r="DI132" s="170"/>
      <c r="DJ132" s="170"/>
      <c r="DK132" s="174" t="s">
        <v>196</v>
      </c>
      <c r="DL132" s="174" t="s">
        <v>197</v>
      </c>
      <c r="DM132" s="176">
        <v>27</v>
      </c>
      <c r="DN132" s="176">
        <v>28</v>
      </c>
      <c r="DO132" s="176">
        <v>1</v>
      </c>
      <c r="DP132" s="177">
        <v>0</v>
      </c>
      <c r="DQ132" s="180">
        <v>0</v>
      </c>
      <c r="DR132" s="180">
        <v>0</v>
      </c>
      <c r="DS132" s="180">
        <v>0</v>
      </c>
      <c r="DT132" s="180">
        <v>0</v>
      </c>
      <c r="DU132" s="180">
        <v>3</v>
      </c>
      <c r="DV132" s="180">
        <v>0</v>
      </c>
      <c r="DW132" s="180">
        <v>0</v>
      </c>
      <c r="DX132" s="180">
        <v>0</v>
      </c>
      <c r="DZ132"/>
    </row>
    <row r="133" spans="1:130" ht="15.75" hidden="1" thickBot="1" x14ac:dyDescent="0.3">
      <c r="J133"/>
      <c r="W133" s="33"/>
      <c r="X133" s="15"/>
      <c r="Y133" s="15"/>
      <c r="Z133" s="15"/>
      <c r="AA133"/>
      <c r="AO133" s="33" t="s">
        <v>140</v>
      </c>
      <c r="AP133" s="15"/>
      <c r="AQ133" s="15" t="s">
        <v>36</v>
      </c>
      <c r="AR133" s="15">
        <v>82445</v>
      </c>
      <c r="AZ133"/>
      <c r="BA133" s="142" t="s">
        <v>40</v>
      </c>
      <c r="BB133" s="142">
        <v>130</v>
      </c>
      <c r="BC133" s="142">
        <v>17500</v>
      </c>
      <c r="BD133" s="142">
        <v>130</v>
      </c>
      <c r="BE133" s="142"/>
      <c r="BF133" s="142"/>
      <c r="BG133" s="142"/>
      <c r="BH133" s="142"/>
      <c r="BI133" s="142"/>
      <c r="BJ133" s="142"/>
      <c r="BK133" s="142"/>
      <c r="BL133" s="142"/>
      <c r="BM133" s="142"/>
      <c r="BN133" s="143">
        <v>1</v>
      </c>
      <c r="BO133" s="69">
        <v>0</v>
      </c>
      <c r="BP133" s="64">
        <v>0</v>
      </c>
      <c r="BQ133" s="57">
        <v>0</v>
      </c>
      <c r="BR133" s="60">
        <v>0</v>
      </c>
      <c r="BS133" s="60">
        <v>0</v>
      </c>
      <c r="BT133" s="60">
        <v>0</v>
      </c>
      <c r="BU133" s="60">
        <v>0</v>
      </c>
      <c r="BV133" s="60">
        <v>1</v>
      </c>
      <c r="BW133" s="60">
        <v>0</v>
      </c>
      <c r="BX133" s="60">
        <v>0</v>
      </c>
      <c r="BY133" s="60">
        <v>0</v>
      </c>
      <c r="BZ133"/>
      <c r="CA133" s="105" t="s">
        <v>77</v>
      </c>
      <c r="CB133" s="105">
        <v>6</v>
      </c>
      <c r="CC133" s="105">
        <v>500</v>
      </c>
      <c r="CD133" s="105">
        <v>450</v>
      </c>
      <c r="CE133" s="105">
        <v>437</v>
      </c>
      <c r="CF133" s="108">
        <v>0.97111111111111115</v>
      </c>
      <c r="CG133" s="190">
        <v>114</v>
      </c>
      <c r="CH133" s="190">
        <v>114</v>
      </c>
      <c r="CI133" s="190">
        <v>114</v>
      </c>
      <c r="CJ133" s="106">
        <v>95</v>
      </c>
      <c r="CK133" s="106"/>
      <c r="CL133" s="106"/>
      <c r="CM133" s="106"/>
      <c r="CN133" s="106"/>
      <c r="CO133" s="106"/>
      <c r="CP133" s="106"/>
      <c r="CQ133" s="107" t="s">
        <v>188</v>
      </c>
      <c r="CR133" s="107" t="s">
        <v>189</v>
      </c>
      <c r="CS133" s="183">
        <v>24</v>
      </c>
      <c r="CT133" s="184">
        <v>10</v>
      </c>
      <c r="CU133" s="65"/>
      <c r="CV133">
        <v>5</v>
      </c>
      <c r="CW133" t="s">
        <v>186</v>
      </c>
      <c r="CX133" s="186">
        <v>1</v>
      </c>
      <c r="CZ133">
        <v>95</v>
      </c>
      <c r="DA133" s="172">
        <v>125</v>
      </c>
      <c r="DB133" s="172">
        <v>125</v>
      </c>
      <c r="DC133" s="172">
        <v>125</v>
      </c>
      <c r="DD133" s="172"/>
      <c r="DE133" s="172"/>
      <c r="DF133" s="170"/>
      <c r="DG133" s="170"/>
      <c r="DH133" s="170"/>
      <c r="DI133" s="170"/>
      <c r="DJ133" s="170"/>
      <c r="DK133" s="174" t="s">
        <v>202</v>
      </c>
      <c r="DL133" s="174" t="s">
        <v>203</v>
      </c>
      <c r="DM133" s="176">
        <v>16</v>
      </c>
      <c r="DN133" s="176">
        <v>16</v>
      </c>
      <c r="DO133" s="176">
        <v>1</v>
      </c>
      <c r="DP133" s="177">
        <v>0</v>
      </c>
      <c r="DQ133" s="180">
        <v>0</v>
      </c>
      <c r="DR133" s="180">
        <v>0</v>
      </c>
      <c r="DS133" s="180">
        <v>0</v>
      </c>
      <c r="DT133" s="180">
        <v>0</v>
      </c>
      <c r="DU133" s="180">
        <v>0</v>
      </c>
      <c r="DV133" s="180">
        <v>3</v>
      </c>
      <c r="DW133" s="180">
        <v>0</v>
      </c>
      <c r="DX133" s="180">
        <v>0</v>
      </c>
      <c r="DZ133"/>
    </row>
    <row r="134" spans="1:130" ht="15.75" hidden="1" thickBo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AA134"/>
      <c r="AO134" s="33"/>
      <c r="AP134" s="15"/>
      <c r="AQ134" s="15" t="s">
        <v>41</v>
      </c>
      <c r="AR134" s="15" t="s">
        <v>141</v>
      </c>
      <c r="AU134">
        <f>+AT134*98/96</f>
        <v>0</v>
      </c>
      <c r="AZ134"/>
      <c r="BQ134" s="65"/>
      <c r="BR134" s="65"/>
      <c r="BS134" s="65"/>
      <c r="BT134" s="65"/>
      <c r="BU134" s="65"/>
      <c r="BV134" s="65"/>
      <c r="BW134" s="65"/>
      <c r="BX134" s="65"/>
      <c r="BY134" s="65"/>
      <c r="BZ134"/>
      <c r="CA134" s="105" t="s">
        <v>68</v>
      </c>
      <c r="CB134" s="105">
        <v>1</v>
      </c>
      <c r="CC134" s="105">
        <v>500</v>
      </c>
      <c r="CD134" s="105">
        <v>450</v>
      </c>
      <c r="CE134" s="105">
        <v>320</v>
      </c>
      <c r="CF134" s="108">
        <v>0.35399999999999998</v>
      </c>
      <c r="CG134" s="106">
        <v>95</v>
      </c>
      <c r="CH134" s="106">
        <v>95</v>
      </c>
      <c r="CI134" s="152">
        <v>130</v>
      </c>
      <c r="CJ134" s="106"/>
      <c r="CK134" s="106"/>
      <c r="CL134" s="106"/>
      <c r="CM134" s="106"/>
      <c r="CN134" s="106"/>
      <c r="CO134" s="106"/>
      <c r="CP134" s="106"/>
      <c r="CQ134" s="107" t="s">
        <v>204</v>
      </c>
      <c r="CR134" s="107" t="s">
        <v>205</v>
      </c>
      <c r="CS134" s="183">
        <v>3</v>
      </c>
      <c r="CT134" s="184">
        <v>11</v>
      </c>
      <c r="CU134" s="65"/>
      <c r="CV134">
        <v>1</v>
      </c>
      <c r="CW134" t="s">
        <v>184</v>
      </c>
      <c r="CX134" s="186">
        <v>1</v>
      </c>
      <c r="CZ134">
        <v>95</v>
      </c>
      <c r="DA134" s="172">
        <v>114</v>
      </c>
      <c r="DB134" s="172">
        <v>114</v>
      </c>
      <c r="DC134" s="172">
        <v>114</v>
      </c>
      <c r="DD134" s="172">
        <v>95</v>
      </c>
      <c r="DE134" s="172"/>
      <c r="DF134" s="170"/>
      <c r="DG134" s="170"/>
      <c r="DH134" s="170"/>
      <c r="DI134" s="170"/>
      <c r="DJ134" s="170"/>
      <c r="DK134" s="174" t="s">
        <v>188</v>
      </c>
      <c r="DL134" s="174" t="s">
        <v>189</v>
      </c>
      <c r="DM134" s="176">
        <v>6</v>
      </c>
      <c r="DN134" s="176">
        <v>6</v>
      </c>
      <c r="DO134" s="176">
        <v>1</v>
      </c>
      <c r="DP134" s="177">
        <v>0</v>
      </c>
      <c r="DQ134" s="180">
        <v>0</v>
      </c>
      <c r="DR134" s="180">
        <v>0</v>
      </c>
      <c r="DS134" s="180">
        <v>0</v>
      </c>
      <c r="DT134" s="180">
        <v>0</v>
      </c>
      <c r="DU134" s="180">
        <v>0</v>
      </c>
      <c r="DV134" s="180">
        <v>0</v>
      </c>
      <c r="DW134" s="180">
        <v>3</v>
      </c>
      <c r="DX134" s="180">
        <v>1</v>
      </c>
      <c r="DZ134"/>
    </row>
    <row r="135" spans="1:130" ht="15.75" hidden="1" thickBot="1" x14ac:dyDescent="0.3">
      <c r="J135"/>
      <c r="AA135"/>
      <c r="AO135" s="33"/>
      <c r="AZ135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60"/>
      <c r="BP135" s="60"/>
      <c r="BQ135" s="60"/>
      <c r="BR135" s="60"/>
      <c r="BS135" s="65"/>
      <c r="BT135" s="65"/>
      <c r="BU135" s="65"/>
      <c r="BV135" s="65"/>
      <c r="BW135" s="65"/>
      <c r="BX135" s="65"/>
      <c r="BY135" s="65"/>
      <c r="BZ135"/>
      <c r="CA135" s="105" t="s">
        <v>70</v>
      </c>
      <c r="CB135" s="105">
        <v>4</v>
      </c>
      <c r="CC135" s="105">
        <v>500</v>
      </c>
      <c r="CD135" s="105">
        <v>450</v>
      </c>
      <c r="CE135" s="105">
        <v>380</v>
      </c>
      <c r="CF135" s="108">
        <v>0.84444444444444444</v>
      </c>
      <c r="CG135" s="106">
        <v>95</v>
      </c>
      <c r="CH135" s="106">
        <v>95</v>
      </c>
      <c r="CI135" s="106">
        <v>95</v>
      </c>
      <c r="CJ135" s="106">
        <v>95</v>
      </c>
      <c r="CK135" s="106"/>
      <c r="CL135" s="106"/>
      <c r="CM135" s="106"/>
      <c r="CN135" s="106"/>
      <c r="CO135" s="106"/>
      <c r="CP135" s="106"/>
      <c r="CQ135" s="107" t="s">
        <v>200</v>
      </c>
      <c r="CR135" s="107" t="s">
        <v>201</v>
      </c>
      <c r="CS135" s="183">
        <v>16</v>
      </c>
      <c r="CT135" s="184">
        <v>12</v>
      </c>
      <c r="CU135" s="65"/>
      <c r="CV135">
        <v>6</v>
      </c>
      <c r="CW135" t="s">
        <v>192</v>
      </c>
      <c r="CX135" s="186">
        <v>1</v>
      </c>
      <c r="DA135" s="172">
        <v>95</v>
      </c>
      <c r="DB135" s="172">
        <v>95</v>
      </c>
      <c r="DC135" s="172">
        <v>130</v>
      </c>
      <c r="DD135" s="172"/>
      <c r="DE135" s="172"/>
      <c r="DF135" s="170"/>
      <c r="DG135" s="170"/>
      <c r="DH135" s="170"/>
      <c r="DI135" s="170"/>
      <c r="DJ135" s="170"/>
      <c r="DK135" s="174" t="s">
        <v>204</v>
      </c>
      <c r="DL135" s="174" t="s">
        <v>205</v>
      </c>
      <c r="DM135" s="176">
        <v>1</v>
      </c>
      <c r="DN135" s="176">
        <v>0</v>
      </c>
      <c r="DO135" s="176">
        <v>0</v>
      </c>
      <c r="DP135" s="177">
        <v>0</v>
      </c>
      <c r="DQ135" s="180">
        <v>0</v>
      </c>
      <c r="DR135" s="180">
        <v>0</v>
      </c>
      <c r="DS135" s="180">
        <v>0</v>
      </c>
      <c r="DT135" s="180">
        <v>0</v>
      </c>
      <c r="DU135" s="180">
        <v>1</v>
      </c>
      <c r="DV135" s="180">
        <v>0</v>
      </c>
      <c r="DW135" s="180">
        <v>0</v>
      </c>
      <c r="DX135" s="180">
        <v>2</v>
      </c>
      <c r="DZ135"/>
    </row>
    <row r="136" spans="1:130" ht="15" hidden="1" x14ac:dyDescent="0.25">
      <c r="J136"/>
      <c r="AA136"/>
      <c r="AO136" s="33"/>
      <c r="AZ136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60"/>
      <c r="BP136" s="60"/>
      <c r="BQ136" s="60"/>
      <c r="BR136" s="60"/>
      <c r="BS136" s="65"/>
      <c r="BT136" s="65"/>
      <c r="BU136" s="65"/>
      <c r="BV136" s="65"/>
      <c r="BW136" s="65"/>
      <c r="BX136" s="65"/>
      <c r="BY136" s="65"/>
      <c r="BZ136"/>
      <c r="CA136" s="65"/>
      <c r="CB136" s="65"/>
      <c r="CC136" s="65"/>
      <c r="CD136" s="65"/>
      <c r="CE136" s="65"/>
      <c r="CF136" s="73"/>
      <c r="CG136" s="65"/>
      <c r="CH136" s="65"/>
      <c r="CI136" s="65"/>
      <c r="CJ136" s="65"/>
      <c r="CK136" s="65"/>
      <c r="CL136" s="65"/>
      <c r="CM136" s="65"/>
      <c r="CN136" s="65"/>
      <c r="CO136" s="65"/>
      <c r="CP136" s="65"/>
      <c r="CQ136" s="72"/>
      <c r="CR136" s="72"/>
      <c r="CS136" s="65"/>
      <c r="CT136" s="65"/>
      <c r="CU136" s="65"/>
      <c r="CV136" t="s">
        <v>80</v>
      </c>
      <c r="CX136" s="186">
        <v>13</v>
      </c>
      <c r="DA136" s="172">
        <v>95</v>
      </c>
      <c r="DB136" s="172">
        <v>95</v>
      </c>
      <c r="DC136" s="172">
        <v>95</v>
      </c>
      <c r="DD136" s="172">
        <v>95</v>
      </c>
      <c r="DE136" s="172"/>
      <c r="DF136" s="170"/>
      <c r="DG136" s="170"/>
      <c r="DH136" s="170"/>
      <c r="DI136" s="170"/>
      <c r="DJ136" s="170"/>
      <c r="DK136" s="174" t="s">
        <v>200</v>
      </c>
      <c r="DL136" s="174" t="s">
        <v>201</v>
      </c>
      <c r="DM136" s="176">
        <v>4</v>
      </c>
      <c r="DN136" s="176">
        <v>3</v>
      </c>
      <c r="DO136" s="176">
        <v>1</v>
      </c>
      <c r="DP136" s="177">
        <v>0</v>
      </c>
      <c r="DQ136" s="180">
        <v>0</v>
      </c>
      <c r="DR136" s="180">
        <v>0</v>
      </c>
      <c r="DS136" s="180">
        <v>0</v>
      </c>
      <c r="DT136" s="180">
        <v>0</v>
      </c>
      <c r="DU136" s="180">
        <v>0</v>
      </c>
      <c r="DV136" s="180">
        <v>0</v>
      </c>
      <c r="DW136" s="180">
        <v>0</v>
      </c>
      <c r="DX136" s="180">
        <v>4</v>
      </c>
      <c r="DZ136"/>
    </row>
    <row r="137" spans="1:130" ht="15" hidden="1" x14ac:dyDescent="0.25">
      <c r="J137"/>
      <c r="AA137"/>
      <c r="AO137" s="33"/>
      <c r="AZ137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60"/>
      <c r="BP137" s="60"/>
      <c r="BQ137" s="60"/>
      <c r="BR137" s="60"/>
      <c r="BS137" s="65"/>
      <c r="BT137" s="65"/>
      <c r="BU137" s="65"/>
      <c r="BV137" s="65"/>
      <c r="BW137" s="65"/>
      <c r="BX137" s="65"/>
      <c r="BY137" s="65"/>
      <c r="BZ137"/>
      <c r="CA137" s="65"/>
      <c r="CB137" s="65"/>
      <c r="CC137" s="65"/>
      <c r="CD137" s="65"/>
      <c r="CE137" s="65"/>
      <c r="CF137" s="73"/>
      <c r="CG137" s="65"/>
      <c r="CH137" s="65"/>
      <c r="CI137" s="65"/>
      <c r="CJ137" s="65"/>
      <c r="CK137" s="65"/>
      <c r="CL137" s="65"/>
      <c r="CM137" s="65"/>
      <c r="CN137" s="65"/>
      <c r="CO137" s="65"/>
      <c r="CP137" s="65"/>
      <c r="CQ137" s="72"/>
      <c r="CR137" s="72"/>
      <c r="CS137" s="65"/>
      <c r="CT137" s="65"/>
      <c r="CU137" s="65"/>
      <c r="DA137"/>
      <c r="DP137" s="179"/>
      <c r="DQ137" s="179"/>
      <c r="DR137" s="179"/>
      <c r="DS137" s="179"/>
      <c r="DT137" s="179"/>
      <c r="DU137" s="179"/>
      <c r="DV137" s="179"/>
      <c r="DW137" s="179"/>
      <c r="DX137" s="179"/>
      <c r="DZ137"/>
    </row>
    <row r="138" spans="1:130" ht="15" hidden="1" x14ac:dyDescent="0.25">
      <c r="J138"/>
      <c r="AA138"/>
      <c r="AO138" s="33"/>
      <c r="AZ13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60"/>
      <c r="BP138" s="60"/>
      <c r="BQ138" s="60"/>
      <c r="BR138" s="60"/>
      <c r="BS138" s="65"/>
      <c r="BT138" s="65"/>
      <c r="BU138" s="65"/>
      <c r="BV138" s="65"/>
      <c r="BW138" s="65"/>
      <c r="BX138" s="65"/>
      <c r="BY138" s="65"/>
      <c r="BZ138"/>
      <c r="CA138" s="65"/>
      <c r="CB138" s="65"/>
      <c r="CC138" s="65"/>
      <c r="CD138" s="65"/>
      <c r="CE138" s="65"/>
      <c r="CF138" s="73"/>
      <c r="CG138" s="65"/>
      <c r="CH138" s="65"/>
      <c r="CI138" s="65"/>
      <c r="CJ138" s="65"/>
      <c r="CK138" s="65"/>
      <c r="CL138" s="65"/>
      <c r="CM138" s="65"/>
      <c r="CN138" s="65"/>
      <c r="CO138" s="65"/>
      <c r="CP138" s="65"/>
      <c r="CQ138" s="72"/>
      <c r="CR138" s="72"/>
      <c r="CS138" s="65"/>
      <c r="CT138" s="65"/>
      <c r="CU138" s="65"/>
      <c r="DA138"/>
      <c r="DM138" s="60"/>
      <c r="DN138" s="60"/>
      <c r="DO138" s="60"/>
      <c r="DP138" s="57"/>
      <c r="DQ138" s="178"/>
      <c r="DR138" s="178"/>
      <c r="DS138" s="178"/>
      <c r="DT138" s="178"/>
      <c r="DU138" s="178"/>
      <c r="DV138" s="178"/>
      <c r="DW138" s="178"/>
      <c r="DX138" s="179"/>
      <c r="DZ138"/>
    </row>
    <row r="139" spans="1:130" ht="15" hidden="1" x14ac:dyDescent="0.25">
      <c r="J139"/>
      <c r="AA139"/>
      <c r="AO139" s="33"/>
      <c r="AZ139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60"/>
      <c r="BP139" s="60"/>
      <c r="BQ139" s="60"/>
      <c r="BR139" s="60"/>
      <c r="BS139" s="65"/>
      <c r="BT139" s="65"/>
      <c r="BU139" s="65"/>
      <c r="BV139" s="65"/>
      <c r="BW139" s="65"/>
      <c r="BX139" s="65"/>
      <c r="BY139" s="65"/>
      <c r="BZ139"/>
      <c r="CA139" s="65"/>
      <c r="CB139" s="65"/>
      <c r="CC139" s="65"/>
      <c r="CD139" s="65"/>
      <c r="CE139" s="65"/>
      <c r="CF139" s="73"/>
      <c r="CG139" s="65"/>
      <c r="CH139" s="65"/>
      <c r="CI139" s="65"/>
      <c r="CJ139" s="65"/>
      <c r="CK139" s="65"/>
      <c r="CL139" s="65"/>
      <c r="CM139" s="65"/>
      <c r="CN139" s="65"/>
      <c r="CO139" s="65"/>
      <c r="CP139" s="65"/>
      <c r="CQ139" s="72"/>
      <c r="CR139" s="72"/>
      <c r="CS139" s="65"/>
      <c r="CT139" s="65"/>
      <c r="CU139" s="65"/>
      <c r="DA139"/>
      <c r="DM139" s="60"/>
      <c r="DN139" s="60"/>
      <c r="DO139" s="60"/>
      <c r="DP139" s="57"/>
      <c r="DQ139" s="178"/>
      <c r="DR139" s="178"/>
      <c r="DS139" s="178"/>
      <c r="DT139" s="178"/>
      <c r="DU139" s="178"/>
      <c r="DV139" s="178"/>
      <c r="DW139" s="178"/>
      <c r="DX139" s="179"/>
      <c r="DZ139"/>
    </row>
    <row r="140" spans="1:130" ht="15" hidden="1" x14ac:dyDescent="0.25">
      <c r="J140"/>
      <c r="AA140"/>
      <c r="AO140" s="33"/>
      <c r="AZ140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60"/>
      <c r="BP140" s="60"/>
      <c r="BQ140" s="60"/>
      <c r="BR140" s="60"/>
      <c r="BS140" s="65"/>
      <c r="BT140" s="65"/>
      <c r="BU140" s="65"/>
      <c r="BV140" s="65"/>
      <c r="BW140" s="65"/>
      <c r="BX140" s="65"/>
      <c r="BY140" s="65"/>
      <c r="BZ140"/>
      <c r="CA140" s="65"/>
      <c r="CB140" s="65"/>
      <c r="CC140" s="65"/>
      <c r="CD140" s="65"/>
      <c r="CE140" s="65"/>
      <c r="CF140" s="73"/>
      <c r="CG140" s="65"/>
      <c r="CH140" s="65"/>
      <c r="CI140" s="65"/>
      <c r="CJ140" s="65"/>
      <c r="CK140" s="65"/>
      <c r="CL140" s="65"/>
      <c r="CM140" s="65"/>
      <c r="CN140" s="65"/>
      <c r="CO140" s="65"/>
      <c r="CP140" s="65"/>
      <c r="CQ140" s="72"/>
      <c r="CR140" s="72"/>
      <c r="CS140" s="65"/>
      <c r="CT140" s="65"/>
      <c r="CU140" s="65"/>
      <c r="DA140"/>
      <c r="DM140" s="60"/>
      <c r="DN140" s="60"/>
      <c r="DO140" s="60"/>
      <c r="DP140" s="57"/>
      <c r="DQ140" s="178"/>
      <c r="DR140" s="178"/>
      <c r="DS140" s="178"/>
      <c r="DT140" s="178"/>
      <c r="DU140" s="178"/>
      <c r="DV140" s="178"/>
      <c r="DW140" s="178"/>
      <c r="DX140" s="179"/>
      <c r="DZ140"/>
    </row>
    <row r="141" spans="1:130" x14ac:dyDescent="0.3">
      <c r="A141" t="s">
        <v>0</v>
      </c>
      <c r="B141" t="s">
        <v>1</v>
      </c>
      <c r="C141" t="s">
        <v>2</v>
      </c>
      <c r="D141" t="s">
        <v>3</v>
      </c>
      <c r="E141" t="s">
        <v>4</v>
      </c>
      <c r="F141" t="s">
        <v>5</v>
      </c>
      <c r="G141" t="s">
        <v>6</v>
      </c>
      <c r="H141" t="s">
        <v>48</v>
      </c>
      <c r="I141" t="s">
        <v>9</v>
      </c>
      <c r="J141" s="27"/>
      <c r="AA141" s="2" t="s">
        <v>7</v>
      </c>
      <c r="AB141" s="3" t="s">
        <v>10</v>
      </c>
      <c r="AC141" s="3" t="s">
        <v>11</v>
      </c>
      <c r="AD141" s="3" t="s">
        <v>12</v>
      </c>
      <c r="AE141" s="3" t="s">
        <v>13</v>
      </c>
      <c r="AF141" s="3" t="s">
        <v>14</v>
      </c>
      <c r="AG141" s="3" t="s">
        <v>15</v>
      </c>
      <c r="AH141" s="3" t="s">
        <v>16</v>
      </c>
      <c r="AI141" s="3" t="s">
        <v>17</v>
      </c>
      <c r="AJ141" s="3" t="s">
        <v>19</v>
      </c>
      <c r="AK141" s="3" t="s">
        <v>18</v>
      </c>
      <c r="AL141" s="3" t="s">
        <v>20</v>
      </c>
      <c r="AM141" s="4" t="s">
        <v>21</v>
      </c>
      <c r="AO141" s="45" t="s">
        <v>43</v>
      </c>
      <c r="AP141" s="5" t="s">
        <v>26</v>
      </c>
      <c r="AQ141" s="5" t="s">
        <v>25</v>
      </c>
      <c r="AR141" s="5" t="s">
        <v>24</v>
      </c>
      <c r="AT141" s="5" t="s">
        <v>10</v>
      </c>
      <c r="AU141" s="6">
        <f>'Résultats Regroupés'!AA142/100</f>
        <v>0</v>
      </c>
      <c r="AV141" s="5" t="s">
        <v>27</v>
      </c>
      <c r="AW141" s="6">
        <f>'Résultats Regroupés'!AF142</f>
        <v>0</v>
      </c>
      <c r="AZ141"/>
      <c r="BA141" s="138" t="s">
        <v>221</v>
      </c>
      <c r="BB141" s="138"/>
      <c r="BC141" s="138"/>
      <c r="BD141" s="138"/>
      <c r="BE141" s="138"/>
      <c r="BF141" s="138"/>
      <c r="BG141" s="138"/>
      <c r="BH141" s="138"/>
      <c r="BI141" s="138"/>
      <c r="BJ141" s="138"/>
      <c r="BK141" s="138"/>
      <c r="BL141" s="138"/>
      <c r="BM141" s="138"/>
      <c r="BN141" s="58"/>
      <c r="BO141" s="61"/>
      <c r="BP141" s="62">
        <v>6</v>
      </c>
      <c r="BQ141" s="178">
        <v>160</v>
      </c>
      <c r="BR141" s="178">
        <v>240</v>
      </c>
      <c r="BS141" s="178">
        <v>30</v>
      </c>
      <c r="BT141" s="178">
        <v>23</v>
      </c>
      <c r="BU141" s="178">
        <v>240</v>
      </c>
      <c r="BV141" s="178">
        <v>460</v>
      </c>
      <c r="BZ141"/>
      <c r="CA141" s="126">
        <v>8</v>
      </c>
      <c r="CB141" s="126">
        <v>61</v>
      </c>
      <c r="CC141" s="65"/>
      <c r="CD141" s="125">
        <v>73667.95</v>
      </c>
      <c r="CE141" s="65"/>
      <c r="CF141" s="124">
        <v>0.89457134183363685</v>
      </c>
      <c r="CG141" s="140" t="s">
        <v>236</v>
      </c>
      <c r="CH141" s="139"/>
      <c r="CI141" s="139"/>
      <c r="CJ141" s="139"/>
      <c r="CK141" s="139"/>
      <c r="CL141" s="139"/>
      <c r="CM141" s="139"/>
      <c r="CN141" s="139"/>
      <c r="CO141" s="139"/>
      <c r="CP141" s="139"/>
      <c r="CQ141" s="139"/>
      <c r="CR141" s="139"/>
      <c r="CS141" s="123">
        <v>229</v>
      </c>
      <c r="CT141" s="123">
        <v>8</v>
      </c>
      <c r="CU141" s="65"/>
      <c r="CV141" s="65"/>
      <c r="CW141" s="65"/>
      <c r="CX141" s="65"/>
      <c r="CY141" s="65"/>
      <c r="CZ141" s="65"/>
      <c r="DA141" s="138" t="s">
        <v>237</v>
      </c>
      <c r="DB141" s="149"/>
      <c r="DC141" s="149"/>
      <c r="DD141" s="149"/>
      <c r="DE141" s="149"/>
      <c r="DF141" s="149"/>
      <c r="DG141" s="149"/>
      <c r="DH141" s="149"/>
      <c r="DI141" s="149"/>
      <c r="DJ141" s="149"/>
      <c r="DL141">
        <v>18</v>
      </c>
      <c r="DM141" s="60">
        <v>2</v>
      </c>
      <c r="DN141" s="60"/>
      <c r="DO141" s="60">
        <v>8</v>
      </c>
      <c r="DP141" s="178">
        <v>64</v>
      </c>
      <c r="DQ141" s="178">
        <v>96</v>
      </c>
      <c r="DR141" s="178">
        <v>12</v>
      </c>
      <c r="DS141" s="178">
        <v>6</v>
      </c>
      <c r="DT141" s="178">
        <v>96</v>
      </c>
      <c r="DU141" s="178">
        <v>184</v>
      </c>
      <c r="DZ141"/>
    </row>
    <row r="142" spans="1:130" hidden="1" x14ac:dyDescent="0.3">
      <c r="A142">
        <v>450</v>
      </c>
      <c r="B142">
        <v>128273</v>
      </c>
      <c r="C142">
        <v>148983</v>
      </c>
      <c r="D142">
        <v>77</v>
      </c>
      <c r="E142" t="s">
        <v>28</v>
      </c>
      <c r="F142">
        <v>300</v>
      </c>
      <c r="G142">
        <v>21047</v>
      </c>
      <c r="H142">
        <v>27335</v>
      </c>
      <c r="J142" s="2" t="s">
        <v>10</v>
      </c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6"/>
      <c r="X142" s="137"/>
      <c r="Y142" s="137"/>
      <c r="Z142" s="137"/>
      <c r="AA142" s="7" t="s">
        <v>8</v>
      </c>
      <c r="AB142" s="181">
        <f>SUM(AD142:AM142)</f>
        <v>430</v>
      </c>
      <c r="AC142" s="12">
        <v>1800</v>
      </c>
      <c r="AD142" s="181">
        <v>160</v>
      </c>
      <c r="AE142" s="181">
        <v>140</v>
      </c>
      <c r="AF142" s="181">
        <v>130</v>
      </c>
      <c r="AG142" s="181"/>
      <c r="AH142" s="181"/>
      <c r="AI142" s="181"/>
      <c r="AJ142" s="181"/>
      <c r="AK142" s="181"/>
      <c r="AL142" s="181"/>
      <c r="AM142" s="8"/>
      <c r="AO142" s="35" t="s">
        <v>208</v>
      </c>
      <c r="AP142" s="191">
        <v>6</v>
      </c>
      <c r="AQ142" s="191">
        <v>7740</v>
      </c>
      <c r="AR142" s="16">
        <v>8100</v>
      </c>
      <c r="AT142" s="40"/>
      <c r="AU142" s="51"/>
      <c r="AV142" s="52"/>
      <c r="AW142" s="50"/>
      <c r="AZ142"/>
      <c r="BA142" s="58"/>
      <c r="BB142" s="58"/>
      <c r="BC142" s="58"/>
      <c r="BD142" s="58"/>
      <c r="BE142" s="58"/>
      <c r="BF142" s="58"/>
      <c r="BG142" s="58"/>
      <c r="BH142" s="58"/>
      <c r="BI142" s="58"/>
      <c r="BJ142" s="58"/>
      <c r="BK142" s="58"/>
      <c r="BL142" s="58"/>
      <c r="BM142" s="58"/>
      <c r="BN142" s="58">
        <v>0</v>
      </c>
      <c r="BO142" s="67">
        <v>184</v>
      </c>
      <c r="BP142" s="62"/>
      <c r="BQ142" s="196">
        <v>32</v>
      </c>
      <c r="BR142" s="196">
        <v>48</v>
      </c>
      <c r="BS142" s="196">
        <v>6</v>
      </c>
      <c r="BT142" s="196">
        <v>3</v>
      </c>
      <c r="BU142" s="196">
        <v>48</v>
      </c>
      <c r="BV142" s="196">
        <v>92</v>
      </c>
      <c r="BZ142"/>
      <c r="CA142" s="65" t="s">
        <v>106</v>
      </c>
      <c r="CB142" s="65" t="s">
        <v>105</v>
      </c>
      <c r="CC142" s="65" t="s">
        <v>27</v>
      </c>
      <c r="CD142" s="65" t="s">
        <v>10</v>
      </c>
      <c r="CE142" s="65" t="s">
        <v>104</v>
      </c>
      <c r="CF142" s="73" t="s">
        <v>103</v>
      </c>
      <c r="CG142" s="122" t="s">
        <v>102</v>
      </c>
      <c r="CH142" s="122" t="s">
        <v>101</v>
      </c>
      <c r="CI142" s="122" t="s">
        <v>100</v>
      </c>
      <c r="CJ142" s="122" t="s">
        <v>99</v>
      </c>
      <c r="CK142" s="122" t="s">
        <v>98</v>
      </c>
      <c r="CL142" s="122" t="s">
        <v>97</v>
      </c>
      <c r="CM142" s="122" t="s">
        <v>96</v>
      </c>
      <c r="CN142" s="122" t="s">
        <v>95</v>
      </c>
      <c r="CO142" s="122" t="s">
        <v>94</v>
      </c>
      <c r="CP142" s="122" t="s">
        <v>93</v>
      </c>
      <c r="CQ142" s="121" t="s">
        <v>87</v>
      </c>
      <c r="CR142" s="121" t="s">
        <v>92</v>
      </c>
      <c r="CS142" s="65" t="s">
        <v>91</v>
      </c>
      <c r="CT142" s="65" t="s">
        <v>88</v>
      </c>
      <c r="CU142" s="65"/>
      <c r="CV142" t="s">
        <v>90</v>
      </c>
      <c r="CZ142" t="s">
        <v>27</v>
      </c>
      <c r="DA142"/>
      <c r="DM142" s="60">
        <v>0</v>
      </c>
      <c r="DN142" s="60">
        <v>120</v>
      </c>
      <c r="DO142" s="60"/>
      <c r="DP142" s="178">
        <v>32</v>
      </c>
      <c r="DQ142" s="178">
        <v>48</v>
      </c>
      <c r="DR142" s="178">
        <v>6</v>
      </c>
      <c r="DS142" s="178">
        <v>3</v>
      </c>
      <c r="DT142" s="178">
        <v>50</v>
      </c>
      <c r="DU142" s="178">
        <v>92</v>
      </c>
      <c r="DZ142"/>
    </row>
    <row r="143" spans="1:130" ht="15.75" hidden="1" thickBot="1" x14ac:dyDescent="0.3">
      <c r="A143">
        <v>450</v>
      </c>
      <c r="B143">
        <v>128273</v>
      </c>
      <c r="C143">
        <v>129268</v>
      </c>
      <c r="D143">
        <v>95</v>
      </c>
      <c r="E143" t="s">
        <v>28</v>
      </c>
      <c r="F143">
        <v>300</v>
      </c>
      <c r="G143">
        <v>13680</v>
      </c>
      <c r="H143">
        <v>14400</v>
      </c>
      <c r="J143" s="7">
        <f t="shared" ref="J143:J151" si="4">SUM(L143:U143)</f>
        <v>0</v>
      </c>
      <c r="W143" s="33"/>
      <c r="X143" s="15"/>
      <c r="Y143" s="15"/>
      <c r="Z143" s="15"/>
      <c r="AA143" s="7" t="s">
        <v>29</v>
      </c>
      <c r="AB143" s="181">
        <f>SUM(AD143:AM143)</f>
        <v>420</v>
      </c>
      <c r="AC143" s="13">
        <v>900</v>
      </c>
      <c r="AD143" s="181">
        <v>160</v>
      </c>
      <c r="AE143" s="181">
        <v>140</v>
      </c>
      <c r="AF143" s="181">
        <v>120</v>
      </c>
      <c r="AG143" s="181"/>
      <c r="AH143" s="181"/>
      <c r="AI143" s="181"/>
      <c r="AJ143" s="181"/>
      <c r="AK143" s="181"/>
      <c r="AL143" s="181"/>
      <c r="AM143" s="8"/>
      <c r="AO143" s="35" t="s">
        <v>209</v>
      </c>
      <c r="AP143" s="191">
        <v>3</v>
      </c>
      <c r="AQ143" s="191">
        <v>3780</v>
      </c>
      <c r="AR143" s="16">
        <v>4050</v>
      </c>
      <c r="AT143" s="56"/>
      <c r="AU143" s="55"/>
      <c r="AV143" s="54"/>
      <c r="AW143" s="53"/>
      <c r="AZ143"/>
      <c r="BA143" s="58"/>
      <c r="BB143" s="58"/>
      <c r="BC143" s="58"/>
      <c r="BD143" s="58"/>
      <c r="BE143" s="58"/>
      <c r="BF143" s="58"/>
      <c r="BG143" s="58"/>
      <c r="BH143" s="58"/>
      <c r="BI143" s="58"/>
      <c r="BJ143" s="58"/>
      <c r="BK143" s="58"/>
      <c r="BL143" s="58"/>
      <c r="BM143" s="58"/>
      <c r="BN143" s="65">
        <v>229</v>
      </c>
      <c r="BO143" s="63">
        <v>124</v>
      </c>
      <c r="BP143" s="64">
        <v>6</v>
      </c>
      <c r="BQ143" s="178">
        <v>32</v>
      </c>
      <c r="BR143" s="179">
        <v>48</v>
      </c>
      <c r="BS143" s="179">
        <v>6</v>
      </c>
      <c r="BT143" s="179">
        <v>3</v>
      </c>
      <c r="BU143" s="179">
        <v>48</v>
      </c>
      <c r="BV143" s="179">
        <v>92</v>
      </c>
      <c r="BZ143"/>
      <c r="CA143" s="105" t="s">
        <v>81</v>
      </c>
      <c r="CB143" s="105">
        <v>6</v>
      </c>
      <c r="CC143" s="105">
        <v>300</v>
      </c>
      <c r="CD143" s="105">
        <v>450</v>
      </c>
      <c r="CE143" s="105">
        <v>450</v>
      </c>
      <c r="CF143" s="108">
        <v>1</v>
      </c>
      <c r="CG143" s="114">
        <v>160</v>
      </c>
      <c r="CH143" s="114">
        <v>160</v>
      </c>
      <c r="CI143" s="188">
        <v>130</v>
      </c>
      <c r="CJ143" s="106"/>
      <c r="CK143" s="106"/>
      <c r="CL143" s="106"/>
      <c r="CM143" s="106"/>
      <c r="CN143" s="106"/>
      <c r="CO143" s="106"/>
      <c r="CP143" s="106"/>
      <c r="CQ143" s="107" t="s">
        <v>222</v>
      </c>
      <c r="CR143" s="107" t="s">
        <v>223</v>
      </c>
      <c r="CS143" s="183">
        <v>18</v>
      </c>
      <c r="CT143" s="184">
        <v>1</v>
      </c>
      <c r="CU143" s="65"/>
      <c r="CV143" t="s">
        <v>88</v>
      </c>
      <c r="CW143" t="s">
        <v>87</v>
      </c>
      <c r="CX143" t="s">
        <v>86</v>
      </c>
      <c r="CZ143" s="119">
        <v>160</v>
      </c>
      <c r="DA143"/>
      <c r="DM143" s="60">
        <v>61</v>
      </c>
      <c r="DN143" s="60">
        <v>60</v>
      </c>
      <c r="DO143" s="60">
        <v>6</v>
      </c>
      <c r="DP143" s="178">
        <v>32</v>
      </c>
      <c r="DQ143" s="178">
        <v>48</v>
      </c>
      <c r="DR143" s="178">
        <v>6</v>
      </c>
      <c r="DS143" s="178">
        <v>3</v>
      </c>
      <c r="DT143" s="178">
        <v>48</v>
      </c>
      <c r="DU143" s="179">
        <v>92</v>
      </c>
      <c r="DZ143"/>
    </row>
    <row r="144" spans="1:130" ht="15.75" hidden="1" thickBot="1" x14ac:dyDescent="0.3">
      <c r="A144">
        <v>450</v>
      </c>
      <c r="B144">
        <v>128273</v>
      </c>
      <c r="C144">
        <v>128597</v>
      </c>
      <c r="D144">
        <v>120</v>
      </c>
      <c r="E144" t="s">
        <v>28</v>
      </c>
      <c r="F144">
        <v>300</v>
      </c>
      <c r="G144">
        <v>1080</v>
      </c>
      <c r="H144">
        <v>900</v>
      </c>
      <c r="J144" s="7">
        <f t="shared" si="4"/>
        <v>0</v>
      </c>
      <c r="W144" s="33"/>
      <c r="X144" s="15"/>
      <c r="Y144" s="15"/>
      <c r="Z144" s="15"/>
      <c r="AA144" s="7" t="s">
        <v>30</v>
      </c>
      <c r="AB144" s="181">
        <f>SUM(AD144:AM144)</f>
        <v>395</v>
      </c>
      <c r="AC144" s="13">
        <v>6900</v>
      </c>
      <c r="AD144" s="181">
        <v>160</v>
      </c>
      <c r="AE144" s="181">
        <v>140</v>
      </c>
      <c r="AF144" s="181">
        <v>95</v>
      </c>
      <c r="AG144" s="181"/>
      <c r="AH144" s="181"/>
      <c r="AI144" s="181"/>
      <c r="AJ144" s="181"/>
      <c r="AK144" s="181"/>
      <c r="AL144" s="181"/>
      <c r="AM144" s="8"/>
      <c r="AO144" s="35" t="s">
        <v>210</v>
      </c>
      <c r="AP144" s="191">
        <v>23</v>
      </c>
      <c r="AQ144" s="191">
        <v>27255</v>
      </c>
      <c r="AR144" s="16">
        <v>31050</v>
      </c>
      <c r="AT144" s="36"/>
      <c r="AU144" s="38"/>
      <c r="AV144" s="37"/>
      <c r="AW144" s="39"/>
      <c r="AZ144"/>
      <c r="BA144" s="59" t="s">
        <v>7</v>
      </c>
      <c r="BB144" s="59" t="s">
        <v>10</v>
      </c>
      <c r="BC144" s="59" t="s">
        <v>11</v>
      </c>
      <c r="BD144" s="59" t="s">
        <v>12</v>
      </c>
      <c r="BE144" s="59" t="s">
        <v>13</v>
      </c>
      <c r="BF144" s="59" t="s">
        <v>14</v>
      </c>
      <c r="BG144" s="59" t="s">
        <v>15</v>
      </c>
      <c r="BH144" s="59" t="s">
        <v>16</v>
      </c>
      <c r="BI144" s="59" t="s">
        <v>17</v>
      </c>
      <c r="BJ144" s="59" t="s">
        <v>19</v>
      </c>
      <c r="BK144" s="59" t="s">
        <v>18</v>
      </c>
      <c r="BL144" s="59" t="s">
        <v>20</v>
      </c>
      <c r="BM144" s="59" t="s">
        <v>21</v>
      </c>
      <c r="BN144" s="59" t="s">
        <v>46</v>
      </c>
      <c r="BO144" s="63" t="s">
        <v>44</v>
      </c>
      <c r="BP144" s="64" t="s">
        <v>45</v>
      </c>
      <c r="BQ144" s="178" t="s">
        <v>217</v>
      </c>
      <c r="BR144" s="66" t="s">
        <v>218</v>
      </c>
      <c r="BS144" s="66" t="s">
        <v>147</v>
      </c>
      <c r="BT144" s="197" t="s">
        <v>219</v>
      </c>
      <c r="BU144" s="197" t="s">
        <v>150</v>
      </c>
      <c r="BV144" s="197" t="s">
        <v>220</v>
      </c>
      <c r="BZ144"/>
      <c r="CA144" s="105" t="s">
        <v>79</v>
      </c>
      <c r="CB144" s="105">
        <v>3</v>
      </c>
      <c r="CC144" s="105">
        <v>300</v>
      </c>
      <c r="CD144" s="105">
        <v>450</v>
      </c>
      <c r="CE144" s="105">
        <v>440</v>
      </c>
      <c r="CF144" s="108">
        <v>0.97777777777777775</v>
      </c>
      <c r="CG144" s="114">
        <v>160</v>
      </c>
      <c r="CH144" s="114">
        <v>160</v>
      </c>
      <c r="CI144" s="150">
        <v>120</v>
      </c>
      <c r="CJ144" s="106"/>
      <c r="CK144" s="106"/>
      <c r="CL144" s="106"/>
      <c r="CM144" s="106"/>
      <c r="CN144" s="106"/>
      <c r="CO144" s="106"/>
      <c r="CP144" s="106"/>
      <c r="CQ144" s="107" t="s">
        <v>224</v>
      </c>
      <c r="CR144" s="107" t="s">
        <v>225</v>
      </c>
      <c r="CS144" s="183">
        <v>9</v>
      </c>
      <c r="CT144" s="184">
        <v>2</v>
      </c>
      <c r="CU144" s="65"/>
      <c r="CV144">
        <v>8</v>
      </c>
      <c r="CW144" t="s">
        <v>234</v>
      </c>
      <c r="CX144" s="186">
        <v>1</v>
      </c>
      <c r="CZ144" s="71">
        <v>140</v>
      </c>
      <c r="DA144" s="65" t="s">
        <v>102</v>
      </c>
      <c r="DB144" s="65" t="s">
        <v>101</v>
      </c>
      <c r="DC144" s="65" t="s">
        <v>100</v>
      </c>
      <c r="DD144" s="65" t="s">
        <v>99</v>
      </c>
      <c r="DE144" s="65" t="s">
        <v>98</v>
      </c>
      <c r="DF144" s="65" t="s">
        <v>97</v>
      </c>
      <c r="DG144" s="65" t="s">
        <v>96</v>
      </c>
      <c r="DH144" s="65" t="s">
        <v>95</v>
      </c>
      <c r="DI144" s="65" t="s">
        <v>94</v>
      </c>
      <c r="DJ144" s="65" t="s">
        <v>93</v>
      </c>
      <c r="DK144" s="133" t="s">
        <v>87</v>
      </c>
      <c r="DL144" s="133" t="s">
        <v>92</v>
      </c>
      <c r="DM144" s="132" t="s">
        <v>114</v>
      </c>
      <c r="DN144" s="132" t="s">
        <v>44</v>
      </c>
      <c r="DO144" s="132" t="s">
        <v>45</v>
      </c>
      <c r="DP144" s="57" t="s">
        <v>217</v>
      </c>
      <c r="DQ144" s="178" t="s">
        <v>218</v>
      </c>
      <c r="DR144" s="178" t="s">
        <v>147</v>
      </c>
      <c r="DS144" s="178" t="s">
        <v>219</v>
      </c>
      <c r="DT144" s="178" t="s">
        <v>150</v>
      </c>
      <c r="DU144" s="66" t="s">
        <v>220</v>
      </c>
      <c r="DZ144"/>
    </row>
    <row r="145" spans="1:130" ht="15.75" hidden="1" thickBot="1" x14ac:dyDescent="0.3">
      <c r="A145">
        <v>450</v>
      </c>
      <c r="B145">
        <v>128273</v>
      </c>
      <c r="C145">
        <v>128279</v>
      </c>
      <c r="D145">
        <v>130</v>
      </c>
      <c r="E145" t="s">
        <v>28</v>
      </c>
      <c r="F145">
        <v>300</v>
      </c>
      <c r="G145">
        <v>2340</v>
      </c>
      <c r="H145">
        <v>1800</v>
      </c>
      <c r="J145" s="7">
        <f t="shared" si="4"/>
        <v>0</v>
      </c>
      <c r="W145" s="33"/>
      <c r="X145" s="15"/>
      <c r="Y145" s="15"/>
      <c r="Z145" s="15"/>
      <c r="AA145" s="7" t="s">
        <v>31</v>
      </c>
      <c r="AB145" s="181">
        <f>SUM(AD145:AM145)</f>
        <v>312</v>
      </c>
      <c r="AC145" s="13">
        <v>4800</v>
      </c>
      <c r="AD145" s="181">
        <v>140</v>
      </c>
      <c r="AE145" s="181">
        <v>95</v>
      </c>
      <c r="AF145" s="181">
        <v>77</v>
      </c>
      <c r="AG145" s="181"/>
      <c r="AH145" s="181"/>
      <c r="AI145" s="181"/>
      <c r="AJ145" s="181"/>
      <c r="AK145" s="181"/>
      <c r="AL145" s="181"/>
      <c r="AM145" s="8"/>
      <c r="AO145" s="35" t="s">
        <v>211</v>
      </c>
      <c r="AP145" s="191">
        <v>16</v>
      </c>
      <c r="AQ145" s="191">
        <v>14976</v>
      </c>
      <c r="AR145" s="16">
        <v>21600</v>
      </c>
      <c r="AT145" s="41"/>
      <c r="AU145" s="42"/>
      <c r="AV145" s="43"/>
      <c r="AW145" s="44"/>
      <c r="AZ145"/>
      <c r="BA145" s="192" t="s">
        <v>8</v>
      </c>
      <c r="BB145" s="192">
        <v>430</v>
      </c>
      <c r="BC145" s="192">
        <v>1800</v>
      </c>
      <c r="BD145" s="192">
        <v>160</v>
      </c>
      <c r="BE145" s="192">
        <v>140</v>
      </c>
      <c r="BF145" s="192">
        <v>130</v>
      </c>
      <c r="BG145" s="192"/>
      <c r="BH145" s="192"/>
      <c r="BI145" s="192"/>
      <c r="BJ145" s="192"/>
      <c r="BK145" s="192"/>
      <c r="BL145" s="192"/>
      <c r="BM145" s="192"/>
      <c r="BN145" s="193">
        <v>3</v>
      </c>
      <c r="BO145" s="68">
        <v>6</v>
      </c>
      <c r="BP145" s="194">
        <v>1</v>
      </c>
      <c r="BQ145" s="177">
        <v>1</v>
      </c>
      <c r="BR145" s="180">
        <v>1</v>
      </c>
      <c r="BS145" s="180">
        <v>1</v>
      </c>
      <c r="BT145" s="180">
        <v>0</v>
      </c>
      <c r="BU145" s="180">
        <v>0</v>
      </c>
      <c r="BV145" s="180">
        <v>0</v>
      </c>
      <c r="BZ145"/>
      <c r="CA145" s="105" t="s">
        <v>77</v>
      </c>
      <c r="CB145" s="105">
        <v>7</v>
      </c>
      <c r="CC145" s="105">
        <v>300</v>
      </c>
      <c r="CD145" s="105">
        <v>450</v>
      </c>
      <c r="CE145" s="105">
        <v>415</v>
      </c>
      <c r="CF145" s="108">
        <v>0.92222222222222228</v>
      </c>
      <c r="CG145" s="114">
        <v>160</v>
      </c>
      <c r="CH145" s="114">
        <v>160</v>
      </c>
      <c r="CI145" s="187">
        <v>95</v>
      </c>
      <c r="CJ145" s="106"/>
      <c r="CK145" s="106"/>
      <c r="CL145" s="106"/>
      <c r="CM145" s="106"/>
      <c r="CN145" s="106"/>
      <c r="CO145" s="106"/>
      <c r="CP145" s="106"/>
      <c r="CQ145" s="107" t="s">
        <v>228</v>
      </c>
      <c r="CR145" s="107" t="s">
        <v>229</v>
      </c>
      <c r="CS145" s="183">
        <v>21</v>
      </c>
      <c r="CT145" s="184">
        <v>3</v>
      </c>
      <c r="CU145" s="65"/>
      <c r="CV145">
        <v>6</v>
      </c>
      <c r="CW145" t="s">
        <v>230</v>
      </c>
      <c r="CX145" s="186">
        <v>1</v>
      </c>
      <c r="CZ145" s="118">
        <v>130</v>
      </c>
      <c r="DA145" s="172">
        <v>160</v>
      </c>
      <c r="DB145" s="172">
        <v>160</v>
      </c>
      <c r="DC145" s="172">
        <v>130</v>
      </c>
      <c r="DD145" s="172"/>
      <c r="DE145" s="172"/>
      <c r="DF145" s="170"/>
      <c r="DG145" s="170"/>
      <c r="DH145" s="170"/>
      <c r="DI145" s="170"/>
      <c r="DJ145" s="170"/>
      <c r="DK145" s="173" t="s">
        <v>222</v>
      </c>
      <c r="DL145" s="173" t="s">
        <v>223</v>
      </c>
      <c r="DM145" s="175">
        <v>6</v>
      </c>
      <c r="DN145" s="175">
        <v>6</v>
      </c>
      <c r="DO145" s="175">
        <v>1</v>
      </c>
      <c r="DP145" s="177">
        <v>2</v>
      </c>
      <c r="DQ145" s="180">
        <v>0</v>
      </c>
      <c r="DR145" s="180">
        <v>1</v>
      </c>
      <c r="DS145" s="180">
        <v>0</v>
      </c>
      <c r="DT145" s="180">
        <v>0</v>
      </c>
      <c r="DU145" s="180">
        <v>0</v>
      </c>
      <c r="DZ145"/>
    </row>
    <row r="146" spans="1:130" ht="15.75" hidden="1" thickBot="1" x14ac:dyDescent="0.3">
      <c r="A146">
        <v>450</v>
      </c>
      <c r="B146">
        <v>128273</v>
      </c>
      <c r="C146">
        <v>156329</v>
      </c>
      <c r="D146">
        <v>140</v>
      </c>
      <c r="E146" t="s">
        <v>28</v>
      </c>
      <c r="F146">
        <v>300</v>
      </c>
      <c r="G146">
        <v>20160</v>
      </c>
      <c r="H146">
        <v>14400</v>
      </c>
      <c r="J146" s="7">
        <f t="shared" si="4"/>
        <v>0</v>
      </c>
      <c r="W146" s="33"/>
      <c r="X146" s="15"/>
      <c r="Y146" s="15"/>
      <c r="Z146" s="15"/>
      <c r="AA146" s="7" t="s">
        <v>32</v>
      </c>
      <c r="AB146" s="181">
        <f>SUM(AD146:AM146)</f>
        <v>172</v>
      </c>
      <c r="AC146" s="13">
        <v>2700</v>
      </c>
      <c r="AD146" s="181">
        <v>95</v>
      </c>
      <c r="AE146" s="181">
        <v>77</v>
      </c>
      <c r="AF146" s="181"/>
      <c r="AG146" s="181"/>
      <c r="AH146" s="181"/>
      <c r="AI146" s="181"/>
      <c r="AJ146" s="181"/>
      <c r="AK146" s="181"/>
      <c r="AL146" s="181"/>
      <c r="AM146" s="8"/>
      <c r="AO146" s="35" t="s">
        <v>212</v>
      </c>
      <c r="AP146" s="191">
        <v>9</v>
      </c>
      <c r="AQ146" s="191">
        <v>4644</v>
      </c>
      <c r="AR146" s="16">
        <v>12150</v>
      </c>
      <c r="AT146" s="46"/>
      <c r="AU146" s="47"/>
      <c r="AV146" s="48"/>
      <c r="AW146" s="49"/>
      <c r="AZ146"/>
      <c r="BA146" s="192" t="s">
        <v>29</v>
      </c>
      <c r="BB146" s="192">
        <v>420</v>
      </c>
      <c r="BC146" s="192">
        <v>900</v>
      </c>
      <c r="BD146" s="192">
        <v>160</v>
      </c>
      <c r="BE146" s="192">
        <v>140</v>
      </c>
      <c r="BF146" s="192">
        <v>120</v>
      </c>
      <c r="BG146" s="192"/>
      <c r="BH146" s="192"/>
      <c r="BI146" s="192"/>
      <c r="BJ146" s="192"/>
      <c r="BK146" s="192"/>
      <c r="BL146" s="192"/>
      <c r="BM146" s="192"/>
      <c r="BN146" s="193">
        <v>3</v>
      </c>
      <c r="BO146" s="69">
        <v>3</v>
      </c>
      <c r="BP146" s="195">
        <v>1</v>
      </c>
      <c r="BQ146" s="177">
        <v>1</v>
      </c>
      <c r="BR146" s="180">
        <v>1</v>
      </c>
      <c r="BS146" s="180">
        <v>0</v>
      </c>
      <c r="BT146" s="180">
        <v>1</v>
      </c>
      <c r="BU146" s="180">
        <v>0</v>
      </c>
      <c r="BV146" s="180">
        <v>0</v>
      </c>
      <c r="BZ146"/>
      <c r="CA146" s="105" t="s">
        <v>78</v>
      </c>
      <c r="CB146" s="105">
        <v>16</v>
      </c>
      <c r="CC146" s="105">
        <v>300</v>
      </c>
      <c r="CD146" s="105">
        <v>450</v>
      </c>
      <c r="CE146" s="105">
        <v>420</v>
      </c>
      <c r="CF146" s="108">
        <v>0.93333333333333335</v>
      </c>
      <c r="CG146" s="109">
        <v>140</v>
      </c>
      <c r="CH146" s="109">
        <v>140</v>
      </c>
      <c r="CI146" s="109">
        <v>140</v>
      </c>
      <c r="CJ146" s="106"/>
      <c r="CK146" s="106"/>
      <c r="CL146" s="106"/>
      <c r="CM146" s="106"/>
      <c r="CN146" s="106"/>
      <c r="CO146" s="106"/>
      <c r="CP146" s="106"/>
      <c r="CQ146" s="107" t="s">
        <v>226</v>
      </c>
      <c r="CR146" s="107" t="s">
        <v>227</v>
      </c>
      <c r="CS146" s="183">
        <v>48</v>
      </c>
      <c r="CT146" s="184">
        <v>4</v>
      </c>
      <c r="CU146" s="65"/>
      <c r="CV146">
        <v>5</v>
      </c>
      <c r="CW146" t="s">
        <v>200</v>
      </c>
      <c r="CX146" s="186">
        <v>1</v>
      </c>
      <c r="CZ146" s="117">
        <v>120</v>
      </c>
      <c r="DA146" s="172">
        <v>160</v>
      </c>
      <c r="DB146" s="172">
        <v>160</v>
      </c>
      <c r="DC146" s="172">
        <v>120</v>
      </c>
      <c r="DD146" s="172"/>
      <c r="DE146" s="172"/>
      <c r="DF146" s="170"/>
      <c r="DG146" s="170"/>
      <c r="DH146" s="170"/>
      <c r="DI146" s="170"/>
      <c r="DJ146" s="170"/>
      <c r="DK146" s="174" t="s">
        <v>224</v>
      </c>
      <c r="DL146" s="174" t="s">
        <v>225</v>
      </c>
      <c r="DM146" s="176">
        <v>3</v>
      </c>
      <c r="DN146" s="176">
        <v>3</v>
      </c>
      <c r="DO146" s="176">
        <v>1</v>
      </c>
      <c r="DP146" s="177">
        <v>2</v>
      </c>
      <c r="DQ146" s="180">
        <v>0</v>
      </c>
      <c r="DR146" s="180">
        <v>0</v>
      </c>
      <c r="DS146" s="180">
        <v>1</v>
      </c>
      <c r="DT146" s="180">
        <v>0</v>
      </c>
      <c r="DU146" s="180">
        <v>0</v>
      </c>
      <c r="DZ146"/>
    </row>
    <row r="147" spans="1:130" ht="15.75" hidden="1" thickBot="1" x14ac:dyDescent="0.3">
      <c r="A147">
        <v>450</v>
      </c>
      <c r="B147">
        <v>128273</v>
      </c>
      <c r="C147">
        <v>156330</v>
      </c>
      <c r="D147">
        <v>160</v>
      </c>
      <c r="E147" t="s">
        <v>28</v>
      </c>
      <c r="F147">
        <v>300</v>
      </c>
      <c r="G147">
        <v>15360</v>
      </c>
      <c r="H147">
        <v>9600</v>
      </c>
      <c r="J147" s="7">
        <f t="shared" si="4"/>
        <v>0</v>
      </c>
      <c r="W147" s="33"/>
      <c r="X147" s="15"/>
      <c r="Y147" s="15"/>
      <c r="Z147" s="15"/>
      <c r="AA147" s="9" t="s">
        <v>33</v>
      </c>
      <c r="AB147" s="10">
        <f>SUM(AD147:AM147)</f>
        <v>77</v>
      </c>
      <c r="AC147" s="14">
        <v>20100</v>
      </c>
      <c r="AD147" s="10">
        <v>77</v>
      </c>
      <c r="AE147" s="10"/>
      <c r="AF147" s="10"/>
      <c r="AG147" s="10"/>
      <c r="AH147" s="10"/>
      <c r="AI147" s="10"/>
      <c r="AJ147" s="10"/>
      <c r="AK147" s="10"/>
      <c r="AL147" s="10"/>
      <c r="AM147" s="11"/>
      <c r="AO147" s="35" t="s">
        <v>213</v>
      </c>
      <c r="AP147" s="191">
        <v>67</v>
      </c>
      <c r="AQ147" s="191">
        <v>15477</v>
      </c>
      <c r="AR147" s="16">
        <v>90450</v>
      </c>
      <c r="AZ147"/>
      <c r="BA147" s="192" t="s">
        <v>30</v>
      </c>
      <c r="BB147" s="192">
        <v>395</v>
      </c>
      <c r="BC147" s="192">
        <v>6900</v>
      </c>
      <c r="BD147" s="192">
        <v>160</v>
      </c>
      <c r="BE147" s="192">
        <v>140</v>
      </c>
      <c r="BF147" s="192">
        <v>95</v>
      </c>
      <c r="BG147" s="192"/>
      <c r="BH147" s="192"/>
      <c r="BI147" s="192"/>
      <c r="BJ147" s="192"/>
      <c r="BK147" s="192"/>
      <c r="BL147" s="192"/>
      <c r="BM147" s="192"/>
      <c r="BN147" s="193">
        <v>3</v>
      </c>
      <c r="BO147" s="69">
        <v>23</v>
      </c>
      <c r="BP147" s="195">
        <v>1</v>
      </c>
      <c r="BQ147" s="177">
        <v>1</v>
      </c>
      <c r="BR147" s="180">
        <v>1</v>
      </c>
      <c r="BS147" s="180">
        <v>0</v>
      </c>
      <c r="BT147" s="180">
        <v>0</v>
      </c>
      <c r="BU147" s="180">
        <v>1</v>
      </c>
      <c r="BV147" s="180">
        <v>0</v>
      </c>
      <c r="BZ147"/>
      <c r="CA147" s="105" t="s">
        <v>74</v>
      </c>
      <c r="CB147" s="105">
        <v>10</v>
      </c>
      <c r="CC147" s="105">
        <v>300</v>
      </c>
      <c r="CD147" s="105">
        <v>450</v>
      </c>
      <c r="CE147" s="105">
        <v>380</v>
      </c>
      <c r="CF147" s="108">
        <v>0.84444444444444444</v>
      </c>
      <c r="CG147" s="187">
        <v>95</v>
      </c>
      <c r="CH147" s="187">
        <v>95</v>
      </c>
      <c r="CI147" s="187">
        <v>95</v>
      </c>
      <c r="CJ147" s="187">
        <v>95</v>
      </c>
      <c r="CK147" s="106"/>
      <c r="CL147" s="106"/>
      <c r="CM147" s="106"/>
      <c r="CN147" s="106"/>
      <c r="CO147" s="106"/>
      <c r="CP147" s="106"/>
      <c r="CQ147" s="107" t="s">
        <v>200</v>
      </c>
      <c r="CR147" s="107" t="s">
        <v>201</v>
      </c>
      <c r="CS147" s="183">
        <v>40</v>
      </c>
      <c r="CT147" s="184">
        <v>5</v>
      </c>
      <c r="CU147" s="65"/>
      <c r="CV147">
        <v>2</v>
      </c>
      <c r="CW147" t="s">
        <v>224</v>
      </c>
      <c r="CX147" s="186">
        <v>1</v>
      </c>
      <c r="CZ147" s="19">
        <v>95</v>
      </c>
      <c r="DA147" s="172">
        <v>160</v>
      </c>
      <c r="DB147" s="172">
        <v>160</v>
      </c>
      <c r="DC147" s="172">
        <v>95</v>
      </c>
      <c r="DD147" s="172"/>
      <c r="DE147" s="172"/>
      <c r="DF147" s="170"/>
      <c r="DG147" s="170"/>
      <c r="DH147" s="170"/>
      <c r="DI147" s="170"/>
      <c r="DJ147" s="170"/>
      <c r="DK147" s="174" t="s">
        <v>228</v>
      </c>
      <c r="DL147" s="174" t="s">
        <v>229</v>
      </c>
      <c r="DM147" s="176">
        <v>7</v>
      </c>
      <c r="DN147" s="176">
        <v>7</v>
      </c>
      <c r="DO147" s="176">
        <v>1</v>
      </c>
      <c r="DP147" s="177">
        <v>2</v>
      </c>
      <c r="DQ147" s="180">
        <v>0</v>
      </c>
      <c r="DR147" s="180">
        <v>0</v>
      </c>
      <c r="DS147" s="180">
        <v>0</v>
      </c>
      <c r="DT147" s="180">
        <v>1</v>
      </c>
      <c r="DU147" s="180">
        <v>0</v>
      </c>
      <c r="DZ147"/>
    </row>
    <row r="148" spans="1:130" ht="15.75" hidden="1" thickBot="1" x14ac:dyDescent="0.3">
      <c r="J148" s="7">
        <f t="shared" si="4"/>
        <v>0</v>
      </c>
      <c r="W148" s="33"/>
      <c r="X148" s="15"/>
      <c r="Y148" s="15"/>
      <c r="Z148" s="15"/>
      <c r="AA148"/>
      <c r="AO148" s="45" t="s">
        <v>214</v>
      </c>
      <c r="AP148" s="17">
        <f>SUM(AP142:AP147)</f>
        <v>124</v>
      </c>
      <c r="AQ148" s="17">
        <f>SUM(AQ142:AQ147)</f>
        <v>73872</v>
      </c>
      <c r="AR148" s="17">
        <f>SUM(AR142:AR147)</f>
        <v>167400</v>
      </c>
      <c r="AZ148"/>
      <c r="BA148" s="192" t="s">
        <v>31</v>
      </c>
      <c r="BB148" s="192">
        <v>312</v>
      </c>
      <c r="BC148" s="192">
        <v>4800</v>
      </c>
      <c r="BD148" s="192">
        <v>140</v>
      </c>
      <c r="BE148" s="192">
        <v>95</v>
      </c>
      <c r="BF148" s="192">
        <v>77</v>
      </c>
      <c r="BG148" s="192"/>
      <c r="BH148" s="192"/>
      <c r="BI148" s="192"/>
      <c r="BJ148" s="192"/>
      <c r="BK148" s="192"/>
      <c r="BL148" s="192"/>
      <c r="BM148" s="192"/>
      <c r="BN148" s="193">
        <v>3</v>
      </c>
      <c r="BO148" s="69">
        <v>16</v>
      </c>
      <c r="BP148" s="195">
        <v>1</v>
      </c>
      <c r="BQ148" s="177">
        <v>0</v>
      </c>
      <c r="BR148" s="180">
        <v>1</v>
      </c>
      <c r="BS148" s="180">
        <v>0</v>
      </c>
      <c r="BT148" s="180">
        <v>0</v>
      </c>
      <c r="BU148" s="180">
        <v>1</v>
      </c>
      <c r="BV148" s="180">
        <v>1</v>
      </c>
      <c r="BZ148"/>
      <c r="CA148" s="105" t="s">
        <v>76</v>
      </c>
      <c r="CB148" s="105">
        <v>1</v>
      </c>
      <c r="CC148" s="105">
        <v>300</v>
      </c>
      <c r="CD148" s="105">
        <v>450</v>
      </c>
      <c r="CE148" s="105">
        <v>403</v>
      </c>
      <c r="CF148" s="108">
        <v>0.89555555555555555</v>
      </c>
      <c r="CG148" s="187">
        <v>95</v>
      </c>
      <c r="CH148" s="151">
        <v>77</v>
      </c>
      <c r="CI148" s="151">
        <v>77</v>
      </c>
      <c r="CJ148" s="151">
        <v>77</v>
      </c>
      <c r="CK148" s="151">
        <v>77</v>
      </c>
      <c r="CL148" s="106"/>
      <c r="CM148" s="106"/>
      <c r="CN148" s="106"/>
      <c r="CO148" s="106"/>
      <c r="CP148" s="106"/>
      <c r="CQ148" s="107" t="s">
        <v>230</v>
      </c>
      <c r="CR148" s="107" t="s">
        <v>231</v>
      </c>
      <c r="CS148" s="183">
        <v>5</v>
      </c>
      <c r="CT148" s="184">
        <v>6</v>
      </c>
      <c r="CU148" s="65"/>
      <c r="CV148">
        <v>7</v>
      </c>
      <c r="CW148" t="s">
        <v>232</v>
      </c>
      <c r="CX148" s="186">
        <v>1</v>
      </c>
      <c r="CZ148" s="115">
        <v>77</v>
      </c>
      <c r="DA148" s="172">
        <v>140</v>
      </c>
      <c r="DB148" s="172">
        <v>140</v>
      </c>
      <c r="DC148" s="172">
        <v>140</v>
      </c>
      <c r="DD148" s="172"/>
      <c r="DE148" s="172"/>
      <c r="DF148" s="170"/>
      <c r="DG148" s="170"/>
      <c r="DH148" s="170"/>
      <c r="DI148" s="170"/>
      <c r="DJ148" s="170"/>
      <c r="DK148" s="174" t="s">
        <v>226</v>
      </c>
      <c r="DL148" s="174" t="s">
        <v>227</v>
      </c>
      <c r="DM148" s="176">
        <v>16</v>
      </c>
      <c r="DN148" s="176">
        <v>16</v>
      </c>
      <c r="DO148" s="176">
        <v>1</v>
      </c>
      <c r="DP148" s="177">
        <v>0</v>
      </c>
      <c r="DQ148" s="180">
        <v>3</v>
      </c>
      <c r="DR148" s="180">
        <v>0</v>
      </c>
      <c r="DS148" s="180">
        <v>0</v>
      </c>
      <c r="DT148" s="180">
        <v>0</v>
      </c>
      <c r="DU148" s="180">
        <v>0</v>
      </c>
      <c r="DZ148"/>
    </row>
    <row r="149" spans="1:130" ht="15.75" hidden="1" thickBot="1" x14ac:dyDescent="0.3">
      <c r="J149" s="7">
        <f t="shared" si="4"/>
        <v>0</v>
      </c>
      <c r="W149" s="33"/>
      <c r="X149" s="15"/>
      <c r="Y149" s="15"/>
      <c r="Z149" s="15"/>
      <c r="AA149"/>
      <c r="AO149" s="33" t="s">
        <v>215</v>
      </c>
      <c r="AP149" s="15"/>
      <c r="AQ149" s="15" t="s">
        <v>36</v>
      </c>
      <c r="AR149" s="15">
        <v>93528</v>
      </c>
      <c r="AZ149"/>
      <c r="BA149" s="192" t="s">
        <v>32</v>
      </c>
      <c r="BB149" s="192">
        <v>172</v>
      </c>
      <c r="BC149" s="192">
        <v>2700</v>
      </c>
      <c r="BD149" s="192">
        <v>95</v>
      </c>
      <c r="BE149" s="192">
        <v>77</v>
      </c>
      <c r="BF149" s="192"/>
      <c r="BG149" s="192"/>
      <c r="BH149" s="192"/>
      <c r="BI149" s="192"/>
      <c r="BJ149" s="192"/>
      <c r="BK149" s="192"/>
      <c r="BL149" s="192"/>
      <c r="BM149" s="192"/>
      <c r="BN149" s="193">
        <v>2</v>
      </c>
      <c r="BO149" s="69">
        <v>9</v>
      </c>
      <c r="BP149" s="195">
        <v>1</v>
      </c>
      <c r="BQ149" s="177">
        <v>0</v>
      </c>
      <c r="BR149" s="180">
        <v>0</v>
      </c>
      <c r="BS149" s="180">
        <v>0</v>
      </c>
      <c r="BT149" s="180">
        <v>0</v>
      </c>
      <c r="BU149" s="180">
        <v>1</v>
      </c>
      <c r="BV149" s="180">
        <v>1</v>
      </c>
      <c r="BZ149"/>
      <c r="CA149" s="105" t="s">
        <v>75</v>
      </c>
      <c r="CB149" s="105">
        <v>17</v>
      </c>
      <c r="CC149" s="105">
        <v>300</v>
      </c>
      <c r="CD149" s="105">
        <v>450</v>
      </c>
      <c r="CE149" s="105">
        <v>385</v>
      </c>
      <c r="CF149" s="108">
        <v>0.85555555555555551</v>
      </c>
      <c r="CG149" s="151">
        <v>77</v>
      </c>
      <c r="CH149" s="151">
        <v>77</v>
      </c>
      <c r="CI149" s="151">
        <v>77</v>
      </c>
      <c r="CJ149" s="151">
        <v>77</v>
      </c>
      <c r="CK149" s="151">
        <v>77</v>
      </c>
      <c r="CL149" s="106"/>
      <c r="CM149" s="106"/>
      <c r="CN149" s="106"/>
      <c r="CO149" s="106"/>
      <c r="CP149" s="106"/>
      <c r="CQ149" s="107" t="s">
        <v>232</v>
      </c>
      <c r="CR149" s="107" t="s">
        <v>233</v>
      </c>
      <c r="CS149" s="183">
        <v>85</v>
      </c>
      <c r="CT149" s="184">
        <v>7</v>
      </c>
      <c r="CU149" s="65"/>
      <c r="CV149">
        <v>3</v>
      </c>
      <c r="CW149" t="s">
        <v>228</v>
      </c>
      <c r="CX149" s="186">
        <v>1</v>
      </c>
      <c r="CZ149" s="113">
        <v>77</v>
      </c>
      <c r="DA149" s="172">
        <v>95</v>
      </c>
      <c r="DB149" s="172">
        <v>95</v>
      </c>
      <c r="DC149" s="172">
        <v>95</v>
      </c>
      <c r="DD149" s="172">
        <v>95</v>
      </c>
      <c r="DE149" s="172"/>
      <c r="DF149" s="170"/>
      <c r="DG149" s="170"/>
      <c r="DH149" s="170"/>
      <c r="DI149" s="170"/>
      <c r="DJ149" s="170"/>
      <c r="DK149" s="174" t="s">
        <v>200</v>
      </c>
      <c r="DL149" s="174" t="s">
        <v>201</v>
      </c>
      <c r="DM149" s="176">
        <v>10</v>
      </c>
      <c r="DN149" s="176">
        <v>5</v>
      </c>
      <c r="DO149" s="176">
        <v>1</v>
      </c>
      <c r="DP149" s="177">
        <v>0</v>
      </c>
      <c r="DQ149" s="180">
        <v>0</v>
      </c>
      <c r="DR149" s="180">
        <v>0</v>
      </c>
      <c r="DS149" s="180">
        <v>0</v>
      </c>
      <c r="DT149" s="180">
        <v>4</v>
      </c>
      <c r="DU149" s="180">
        <v>0</v>
      </c>
      <c r="DZ149"/>
    </row>
    <row r="150" spans="1:130" ht="15.75" hidden="1" thickBot="1" x14ac:dyDescent="0.3">
      <c r="J150" s="7">
        <f t="shared" si="4"/>
        <v>0</v>
      </c>
      <c r="W150" s="33"/>
      <c r="X150" s="15"/>
      <c r="Y150" s="15"/>
      <c r="Z150" s="15"/>
      <c r="AA150"/>
      <c r="AO150" s="33"/>
      <c r="AP150" s="15"/>
      <c r="AQ150" s="15" t="s">
        <v>41</v>
      </c>
      <c r="AR150" s="15" t="s">
        <v>216</v>
      </c>
      <c r="AZ150"/>
      <c r="BA150" s="192" t="s">
        <v>33</v>
      </c>
      <c r="BB150" s="192">
        <v>77</v>
      </c>
      <c r="BC150" s="192">
        <v>20100</v>
      </c>
      <c r="BD150" s="192">
        <v>77</v>
      </c>
      <c r="BE150" s="192"/>
      <c r="BF150" s="192"/>
      <c r="BG150" s="192"/>
      <c r="BH150" s="192"/>
      <c r="BI150" s="192"/>
      <c r="BJ150" s="192"/>
      <c r="BK150" s="192"/>
      <c r="BL150" s="192"/>
      <c r="BM150" s="192"/>
      <c r="BN150" s="193">
        <v>1</v>
      </c>
      <c r="BO150" s="69">
        <v>67</v>
      </c>
      <c r="BP150" s="195">
        <v>1</v>
      </c>
      <c r="BQ150" s="177">
        <v>0</v>
      </c>
      <c r="BR150" s="180">
        <v>0</v>
      </c>
      <c r="BS150" s="180">
        <v>0</v>
      </c>
      <c r="BT150" s="180">
        <v>0</v>
      </c>
      <c r="BU150" s="180">
        <v>0</v>
      </c>
      <c r="BV150" s="180">
        <v>1</v>
      </c>
      <c r="BZ150"/>
      <c r="CA150" s="105" t="s">
        <v>73</v>
      </c>
      <c r="CB150" s="105">
        <v>1</v>
      </c>
      <c r="CC150" s="105">
        <v>300</v>
      </c>
      <c r="CD150" s="105">
        <v>450</v>
      </c>
      <c r="CE150" s="105">
        <v>231</v>
      </c>
      <c r="CF150" s="108">
        <v>0.36218518518518517</v>
      </c>
      <c r="CG150" s="151">
        <v>77</v>
      </c>
      <c r="CH150" s="151">
        <v>77</v>
      </c>
      <c r="CI150" s="151">
        <v>77</v>
      </c>
      <c r="CJ150" s="106"/>
      <c r="CK150" s="106"/>
      <c r="CL150" s="106"/>
      <c r="CM150" s="106"/>
      <c r="CN150" s="106"/>
      <c r="CO150" s="106"/>
      <c r="CP150" s="106"/>
      <c r="CQ150" s="107" t="s">
        <v>234</v>
      </c>
      <c r="CR150" s="107" t="s">
        <v>235</v>
      </c>
      <c r="CS150" s="183">
        <v>3</v>
      </c>
      <c r="CT150" s="184">
        <v>8</v>
      </c>
      <c r="CU150" s="65"/>
      <c r="CV150">
        <v>1</v>
      </c>
      <c r="CW150" t="s">
        <v>222</v>
      </c>
      <c r="CX150" s="186">
        <v>1</v>
      </c>
      <c r="CZ150" s="112"/>
      <c r="DA150" s="172">
        <v>95</v>
      </c>
      <c r="DB150" s="172">
        <v>77</v>
      </c>
      <c r="DC150" s="172">
        <v>77</v>
      </c>
      <c r="DD150" s="172">
        <v>77</v>
      </c>
      <c r="DE150" s="172">
        <v>77</v>
      </c>
      <c r="DF150" s="170"/>
      <c r="DG150" s="170"/>
      <c r="DH150" s="170"/>
      <c r="DI150" s="170"/>
      <c r="DJ150" s="170"/>
      <c r="DK150" s="174" t="s">
        <v>230</v>
      </c>
      <c r="DL150" s="174" t="s">
        <v>231</v>
      </c>
      <c r="DM150" s="176">
        <v>1</v>
      </c>
      <c r="DN150" s="176">
        <v>23</v>
      </c>
      <c r="DO150" s="176">
        <v>1</v>
      </c>
      <c r="DP150" s="177">
        <v>0</v>
      </c>
      <c r="DQ150" s="180">
        <v>0</v>
      </c>
      <c r="DR150" s="180">
        <v>0</v>
      </c>
      <c r="DS150" s="180">
        <v>0</v>
      </c>
      <c r="DT150" s="180">
        <v>1</v>
      </c>
      <c r="DU150" s="180">
        <v>4</v>
      </c>
      <c r="DZ150"/>
    </row>
    <row r="151" spans="1:130" ht="15" hidden="1" x14ac:dyDescent="0.25">
      <c r="J151" s="9">
        <f t="shared" si="4"/>
        <v>0</v>
      </c>
      <c r="W151" s="33"/>
      <c r="X151" s="15"/>
      <c r="Y151" s="15"/>
      <c r="Z151" s="15"/>
      <c r="AA151"/>
      <c r="AO151" s="33"/>
      <c r="AZ151"/>
      <c r="BA151" s="58"/>
      <c r="BB151" s="58"/>
      <c r="BC151" s="58"/>
      <c r="BD151" s="58"/>
      <c r="BE151" s="58"/>
      <c r="BF151" s="58"/>
      <c r="BG151" s="58"/>
      <c r="BH151" s="58"/>
      <c r="BI151" s="58"/>
      <c r="BJ151" s="58"/>
      <c r="BK151" s="58"/>
      <c r="BL151" s="58"/>
      <c r="BM151" s="58"/>
      <c r="BN151" s="58"/>
      <c r="BO151" s="60"/>
      <c r="BP151" s="60"/>
      <c r="BQ151" s="178"/>
      <c r="BR151" s="179"/>
      <c r="BS151" s="179"/>
      <c r="BT151" s="179"/>
      <c r="BU151" s="179"/>
      <c r="BV151" s="179"/>
      <c r="BZ151"/>
      <c r="CA151" s="65"/>
      <c r="CB151" s="65"/>
      <c r="CC151" s="65"/>
      <c r="CD151" s="65"/>
      <c r="CE151" s="65"/>
      <c r="CF151" s="73"/>
      <c r="CG151" s="65"/>
      <c r="CH151" s="65"/>
      <c r="CI151" s="65"/>
      <c r="CJ151" s="65"/>
      <c r="CK151" s="65"/>
      <c r="CL151" s="65"/>
      <c r="CM151" s="65"/>
      <c r="CN151" s="65"/>
      <c r="CO151" s="65"/>
      <c r="CP151" s="65"/>
      <c r="CQ151" s="72"/>
      <c r="CR151" s="72"/>
      <c r="CS151" s="65"/>
      <c r="CT151" s="65"/>
      <c r="CU151" s="65"/>
      <c r="CV151">
        <v>4</v>
      </c>
      <c r="CW151" t="s">
        <v>226</v>
      </c>
      <c r="CX151" s="186">
        <v>1</v>
      </c>
      <c r="CZ151" s="111"/>
      <c r="DA151" s="172">
        <v>77</v>
      </c>
      <c r="DB151" s="172">
        <v>77</v>
      </c>
      <c r="DC151" s="172">
        <v>77</v>
      </c>
      <c r="DD151" s="172">
        <v>77</v>
      </c>
      <c r="DE151" s="172">
        <v>77</v>
      </c>
      <c r="DF151" s="170"/>
      <c r="DG151" s="170"/>
      <c r="DH151" s="170"/>
      <c r="DI151" s="170"/>
      <c r="DJ151" s="170"/>
      <c r="DK151" s="174" t="s">
        <v>232</v>
      </c>
      <c r="DL151" s="174" t="s">
        <v>233</v>
      </c>
      <c r="DM151" s="176">
        <v>17</v>
      </c>
      <c r="DN151" s="176">
        <v>0</v>
      </c>
      <c r="DO151" s="176">
        <v>0</v>
      </c>
      <c r="DP151" s="177">
        <v>0</v>
      </c>
      <c r="DQ151" s="180">
        <v>0</v>
      </c>
      <c r="DR151" s="180">
        <v>0</v>
      </c>
      <c r="DS151" s="180">
        <v>0</v>
      </c>
      <c r="DT151" s="180">
        <v>0</v>
      </c>
      <c r="DU151" s="180">
        <v>5</v>
      </c>
      <c r="DZ151"/>
    </row>
    <row r="152" spans="1:130" ht="15" hidden="1" x14ac:dyDescent="0.25">
      <c r="J152"/>
      <c r="W152" s="136"/>
      <c r="X152" s="137"/>
      <c r="Y152" s="137"/>
      <c r="Z152" s="137"/>
      <c r="AA152"/>
      <c r="AO152" s="33"/>
      <c r="AZ152"/>
      <c r="BA152" s="58"/>
      <c r="BB152" s="58"/>
      <c r="BC152" s="58"/>
      <c r="BD152" s="58"/>
      <c r="BE152" s="58"/>
      <c r="BF152" s="58"/>
      <c r="BG152" s="58"/>
      <c r="BH152" s="58"/>
      <c r="BI152" s="58"/>
      <c r="BJ152" s="58"/>
      <c r="BK152" s="58"/>
      <c r="BL152" s="58"/>
      <c r="BM152" s="58"/>
      <c r="BN152" s="58"/>
      <c r="BO152" s="60"/>
      <c r="BP152" s="60"/>
      <c r="BQ152" s="178"/>
      <c r="BR152" s="179"/>
      <c r="BS152" s="179"/>
      <c r="BT152" s="179"/>
      <c r="BU152" s="179"/>
      <c r="BV152" s="179"/>
      <c r="BZ152"/>
      <c r="CA152" s="65"/>
      <c r="CB152" s="65"/>
      <c r="CC152" s="65"/>
      <c r="CD152" s="65"/>
      <c r="CE152" s="65"/>
      <c r="CF152" s="73"/>
      <c r="CG152" s="65"/>
      <c r="CH152" s="65"/>
      <c r="CI152" s="65"/>
      <c r="CJ152" s="65"/>
      <c r="CK152" s="65"/>
      <c r="CL152" s="65"/>
      <c r="CM152" s="65"/>
      <c r="CN152" s="65"/>
      <c r="CO152" s="65"/>
      <c r="CP152" s="65"/>
      <c r="CQ152" s="72"/>
      <c r="CR152" s="72"/>
      <c r="CS152" s="65"/>
      <c r="CT152" s="65"/>
      <c r="CU152" s="65"/>
      <c r="CV152" t="s">
        <v>80</v>
      </c>
      <c r="CX152" s="186">
        <v>8</v>
      </c>
      <c r="DA152" s="172">
        <v>77</v>
      </c>
      <c r="DB152" s="172">
        <v>77</v>
      </c>
      <c r="DC152" s="172">
        <v>77</v>
      </c>
      <c r="DD152" s="172"/>
      <c r="DE152" s="172"/>
      <c r="DF152" s="170"/>
      <c r="DG152" s="170"/>
      <c r="DH152" s="170"/>
      <c r="DI152" s="170"/>
      <c r="DJ152" s="170"/>
      <c r="DK152" s="174" t="s">
        <v>234</v>
      </c>
      <c r="DL152" s="174" t="s">
        <v>235</v>
      </c>
      <c r="DM152" s="176">
        <v>1</v>
      </c>
      <c r="DN152" s="176">
        <v>0</v>
      </c>
      <c r="DO152" s="176">
        <v>0</v>
      </c>
      <c r="DP152" s="177">
        <v>0</v>
      </c>
      <c r="DQ152" s="180">
        <v>0</v>
      </c>
      <c r="DR152" s="180">
        <v>0</v>
      </c>
      <c r="DS152" s="180">
        <v>0</v>
      </c>
      <c r="DT152" s="180">
        <v>0</v>
      </c>
      <c r="DU152" s="180">
        <v>3</v>
      </c>
      <c r="DZ152"/>
    </row>
    <row r="153" spans="1:130" ht="15" hidden="1" x14ac:dyDescent="0.25">
      <c r="J153"/>
      <c r="W153" s="33"/>
      <c r="X153" s="15"/>
      <c r="Y153" s="15"/>
      <c r="Z153" s="15"/>
      <c r="AA153"/>
      <c r="AO153" s="33"/>
      <c r="AZ153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60"/>
      <c r="BP153" s="60"/>
      <c r="BQ153" s="178"/>
      <c r="BR153" s="179"/>
      <c r="BS153" s="179"/>
      <c r="BT153" s="179"/>
      <c r="BU153" s="179"/>
      <c r="BV153" s="179"/>
      <c r="BZ153"/>
      <c r="CA153" s="65"/>
      <c r="CB153" s="65"/>
      <c r="CC153" s="65"/>
      <c r="CD153" s="65"/>
      <c r="CE153" s="65"/>
      <c r="CF153" s="73"/>
      <c r="CG153" s="65"/>
      <c r="CH153" s="65"/>
      <c r="CI153" s="65"/>
      <c r="CJ153" s="65"/>
      <c r="CK153" s="65"/>
      <c r="CL153" s="65"/>
      <c r="CM153" s="65"/>
      <c r="CN153" s="65"/>
      <c r="CO153" s="65"/>
      <c r="CP153" s="65"/>
      <c r="CQ153" s="72"/>
      <c r="CR153" s="72"/>
      <c r="CS153" s="65"/>
      <c r="CT153" s="65"/>
      <c r="CU153" s="65"/>
      <c r="DA153"/>
      <c r="DM153" s="60"/>
      <c r="DN153" s="60"/>
      <c r="DO153" s="60"/>
      <c r="DP153" s="57"/>
      <c r="DQ153" s="178"/>
      <c r="DR153" s="178"/>
      <c r="DS153" s="178"/>
      <c r="DT153" s="178"/>
      <c r="DU153" s="179"/>
      <c r="DZ153"/>
    </row>
    <row r="154" spans="1:130" ht="15.75" hidden="1" thickBo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AA154"/>
      <c r="AO154" s="33"/>
      <c r="AU154">
        <f>+AT154*98/96</f>
        <v>0</v>
      </c>
      <c r="AZ154"/>
      <c r="BA154" s="58"/>
      <c r="BB154" s="58"/>
      <c r="BC154" s="58"/>
      <c r="BD154" s="58"/>
      <c r="BE154" s="58"/>
      <c r="BF154" s="58"/>
      <c r="BG154" s="58"/>
      <c r="BH154" s="58"/>
      <c r="BI154" s="58"/>
      <c r="BJ154" s="58"/>
      <c r="BK154" s="58"/>
      <c r="BL154" s="58"/>
      <c r="BM154" s="58"/>
      <c r="BN154" s="58"/>
      <c r="BO154" s="60"/>
      <c r="BP154" s="60"/>
      <c r="BQ154" s="178"/>
      <c r="BR154" s="179"/>
      <c r="BS154" s="179"/>
      <c r="BT154" s="179"/>
      <c r="BU154" s="179"/>
      <c r="BV154" s="179"/>
      <c r="BZ154"/>
      <c r="CA154" s="65"/>
      <c r="CB154" s="65"/>
      <c r="CC154" s="65"/>
      <c r="CD154" s="65"/>
      <c r="CE154" s="65"/>
      <c r="CF154" s="73"/>
      <c r="CG154" s="65"/>
      <c r="CH154" s="65"/>
      <c r="CI154" s="65"/>
      <c r="CJ154" s="65"/>
      <c r="CK154" s="65"/>
      <c r="CL154" s="65"/>
      <c r="CM154" s="65"/>
      <c r="CN154" s="65"/>
      <c r="CO154" s="65"/>
      <c r="CP154" s="65"/>
      <c r="CQ154" s="72"/>
      <c r="CR154" s="72"/>
      <c r="CS154" s="65"/>
      <c r="CT154" s="65"/>
      <c r="CU154" s="65"/>
      <c r="DA154"/>
      <c r="DM154" s="60"/>
      <c r="DN154" s="60"/>
      <c r="DO154" s="60"/>
      <c r="DP154" s="57"/>
      <c r="DQ154" s="178"/>
      <c r="DR154" s="178"/>
      <c r="DS154" s="178"/>
      <c r="DT154" s="178"/>
      <c r="DU154" s="179"/>
      <c r="DZ154"/>
    </row>
    <row r="155" spans="1:130" ht="15" hidden="1" x14ac:dyDescent="0.25">
      <c r="J155"/>
      <c r="AA155"/>
      <c r="AO155" s="33"/>
      <c r="AZ155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60"/>
      <c r="BP155" s="60"/>
      <c r="BQ155" s="178"/>
      <c r="BR155" s="179"/>
      <c r="BS155" s="179"/>
      <c r="BT155" s="179"/>
      <c r="BU155" s="179"/>
      <c r="BV155" s="179"/>
      <c r="BZ155"/>
      <c r="CA155" s="65"/>
      <c r="CB155" s="65"/>
      <c r="CC155" s="65"/>
      <c r="CD155" s="65"/>
      <c r="CE155" s="65"/>
      <c r="CF155" s="73"/>
      <c r="CG155" s="65"/>
      <c r="CH155" s="65"/>
      <c r="CI155" s="65"/>
      <c r="CJ155" s="65"/>
      <c r="CK155" s="65"/>
      <c r="CL155" s="65"/>
      <c r="CM155" s="65"/>
      <c r="CN155" s="65"/>
      <c r="CO155" s="65"/>
      <c r="CP155" s="65"/>
      <c r="CQ155" s="72"/>
      <c r="CR155" s="72"/>
      <c r="CS155" s="65"/>
      <c r="CT155" s="65"/>
      <c r="CU155" s="65"/>
      <c r="DA155"/>
      <c r="DM155" s="60"/>
      <c r="DN155" s="60"/>
      <c r="DO155" s="60"/>
      <c r="DP155" s="57"/>
      <c r="DQ155" s="178"/>
      <c r="DR155" s="178"/>
      <c r="DS155" s="178"/>
      <c r="DT155" s="178"/>
      <c r="DU155" s="179"/>
      <c r="DZ155"/>
    </row>
    <row r="156" spans="1:130" ht="15" hidden="1" x14ac:dyDescent="0.25">
      <c r="J156"/>
      <c r="AA156"/>
      <c r="AO156" s="33"/>
      <c r="AZ156"/>
      <c r="BA156" s="58"/>
      <c r="BB156" s="58"/>
      <c r="BC156" s="58"/>
      <c r="BD156" s="58"/>
      <c r="BE156" s="58"/>
      <c r="BF156" s="58"/>
      <c r="BG156" s="58"/>
      <c r="BH156" s="58"/>
      <c r="BI156" s="58"/>
      <c r="BJ156" s="58"/>
      <c r="BK156" s="58"/>
      <c r="BL156" s="58"/>
      <c r="BM156" s="58"/>
      <c r="BN156" s="58"/>
      <c r="BO156" s="60"/>
      <c r="BP156" s="60"/>
      <c r="BQ156" s="178"/>
      <c r="BR156" s="179"/>
      <c r="BS156" s="179"/>
      <c r="BT156" s="179"/>
      <c r="BU156" s="179"/>
      <c r="BV156" s="179"/>
      <c r="BZ156"/>
      <c r="CA156" s="65"/>
      <c r="CB156" s="65"/>
      <c r="CC156" s="65"/>
      <c r="CD156" s="65"/>
      <c r="CE156" s="65"/>
      <c r="CF156" s="73"/>
      <c r="CG156" s="65"/>
      <c r="CH156" s="65"/>
      <c r="CI156" s="65"/>
      <c r="CJ156" s="65"/>
      <c r="CK156" s="65"/>
      <c r="CL156" s="65"/>
      <c r="CM156" s="65"/>
      <c r="CN156" s="65"/>
      <c r="CO156" s="65"/>
      <c r="CP156" s="65"/>
      <c r="CQ156" s="72"/>
      <c r="CR156" s="72"/>
      <c r="CS156" s="65"/>
      <c r="CT156" s="65"/>
      <c r="CU156" s="65"/>
      <c r="DA156"/>
      <c r="DM156" s="60"/>
      <c r="DN156" s="60"/>
      <c r="DO156" s="60"/>
      <c r="DP156" s="57"/>
      <c r="DQ156" s="178"/>
      <c r="DR156" s="178"/>
      <c r="DS156" s="178"/>
      <c r="DT156" s="178"/>
      <c r="DU156" s="179"/>
      <c r="DZ156"/>
    </row>
    <row r="157" spans="1:130" ht="15" hidden="1" x14ac:dyDescent="0.25">
      <c r="J157"/>
      <c r="AA157"/>
      <c r="AO157" s="33"/>
      <c r="AZ157"/>
      <c r="BA157" s="58"/>
      <c r="BB157" s="58"/>
      <c r="BC157" s="58"/>
      <c r="BD157" s="58"/>
      <c r="BE157" s="58"/>
      <c r="BF157" s="58"/>
      <c r="BG157" s="58"/>
      <c r="BH157" s="58"/>
      <c r="BI157" s="58"/>
      <c r="BJ157" s="58"/>
      <c r="BK157" s="58"/>
      <c r="BL157" s="58"/>
      <c r="BM157" s="58"/>
      <c r="BN157" s="58"/>
      <c r="BO157" s="60"/>
      <c r="BP157" s="60"/>
      <c r="BQ157" s="178"/>
      <c r="BR157" s="179"/>
      <c r="BS157" s="179"/>
      <c r="BT157" s="179"/>
      <c r="BU157" s="179"/>
      <c r="BV157" s="179"/>
      <c r="BZ157"/>
      <c r="CA157" s="65"/>
      <c r="CB157" s="65"/>
      <c r="CC157" s="65"/>
      <c r="CD157" s="65"/>
      <c r="CE157" s="65"/>
      <c r="CF157" s="73"/>
      <c r="CG157" s="65"/>
      <c r="CH157" s="65"/>
      <c r="CI157" s="65"/>
      <c r="CJ157" s="65"/>
      <c r="CK157" s="65"/>
      <c r="CL157" s="65"/>
      <c r="CM157" s="65"/>
      <c r="CN157" s="65"/>
      <c r="CO157" s="65"/>
      <c r="CP157" s="65"/>
      <c r="CQ157" s="72"/>
      <c r="CR157" s="72"/>
      <c r="CS157" s="65"/>
      <c r="CT157" s="65"/>
      <c r="CU157" s="65"/>
      <c r="DA157"/>
      <c r="DM157" s="60"/>
      <c r="DN157" s="60"/>
      <c r="DO157" s="60"/>
      <c r="DP157" s="57"/>
      <c r="DQ157" s="178"/>
      <c r="DR157" s="178"/>
      <c r="DS157" s="178"/>
      <c r="DT157" s="178"/>
      <c r="DU157" s="179"/>
      <c r="DZ157"/>
    </row>
    <row r="158" spans="1:130" ht="15" hidden="1" x14ac:dyDescent="0.25">
      <c r="J158"/>
      <c r="AA158"/>
      <c r="AO158" s="33"/>
      <c r="AZ158"/>
      <c r="BA158" s="58"/>
      <c r="BB158" s="58"/>
      <c r="BC158" s="58"/>
      <c r="BD158" s="58"/>
      <c r="BE158" s="58"/>
      <c r="BF158" s="58"/>
      <c r="BG158" s="58"/>
      <c r="BH158" s="58"/>
      <c r="BI158" s="58"/>
      <c r="BJ158" s="58"/>
      <c r="BK158" s="58"/>
      <c r="BL158" s="58"/>
      <c r="BM158" s="58"/>
      <c r="BN158" s="58"/>
      <c r="BO158" s="60"/>
      <c r="BP158" s="60"/>
      <c r="BQ158" s="178"/>
      <c r="BR158" s="179"/>
      <c r="BS158" s="179"/>
      <c r="BT158" s="179"/>
      <c r="BU158" s="179"/>
      <c r="BV158" s="179"/>
      <c r="BZ158"/>
      <c r="CA158" s="65"/>
      <c r="CB158" s="65"/>
      <c r="CC158" s="65"/>
      <c r="CD158" s="65"/>
      <c r="CE158" s="65"/>
      <c r="CF158" s="73"/>
      <c r="CG158" s="65"/>
      <c r="CH158" s="65"/>
      <c r="CI158" s="65"/>
      <c r="CJ158" s="65"/>
      <c r="CK158" s="65"/>
      <c r="CL158" s="65"/>
      <c r="CM158" s="65"/>
      <c r="CN158" s="65"/>
      <c r="CO158" s="65"/>
      <c r="CP158" s="65"/>
      <c r="CQ158" s="72"/>
      <c r="CR158" s="72"/>
      <c r="CS158" s="65"/>
      <c r="CT158" s="65"/>
      <c r="CU158" s="65"/>
      <c r="DA158"/>
      <c r="DM158" s="60"/>
      <c r="DN158" s="60"/>
      <c r="DO158" s="60"/>
      <c r="DP158" s="57"/>
      <c r="DQ158" s="178"/>
      <c r="DR158" s="178"/>
      <c r="DS158" s="178"/>
      <c r="DT158" s="178"/>
      <c r="DU158" s="179"/>
      <c r="DZ158"/>
    </row>
    <row r="159" spans="1:130" ht="15" hidden="1" x14ac:dyDescent="0.25">
      <c r="J159"/>
      <c r="AA159"/>
      <c r="AO159" s="33"/>
      <c r="AZ159"/>
      <c r="BA159" s="58"/>
      <c r="BB159" s="58"/>
      <c r="BC159" s="58"/>
      <c r="BD159" s="58"/>
      <c r="BE159" s="58"/>
      <c r="BF159" s="58"/>
      <c r="BG159" s="58"/>
      <c r="BH159" s="58"/>
      <c r="BI159" s="58"/>
      <c r="BJ159" s="58"/>
      <c r="BK159" s="58"/>
      <c r="BL159" s="58"/>
      <c r="BM159" s="58"/>
      <c r="BN159" s="58"/>
      <c r="BO159" s="60"/>
      <c r="BP159" s="60"/>
      <c r="BQ159" s="178"/>
      <c r="BR159" s="179"/>
      <c r="BS159" s="179"/>
      <c r="BT159" s="179"/>
      <c r="BU159" s="179"/>
      <c r="BV159" s="179"/>
      <c r="BZ159"/>
      <c r="CA159" s="65"/>
      <c r="CB159" s="65"/>
      <c r="CC159" s="65"/>
      <c r="CD159" s="65"/>
      <c r="CE159" s="65"/>
      <c r="CF159" s="73"/>
      <c r="CG159" s="65"/>
      <c r="CH159" s="65"/>
      <c r="CI159" s="65"/>
      <c r="CJ159" s="65"/>
      <c r="CK159" s="65"/>
      <c r="CL159" s="65"/>
      <c r="CM159" s="65"/>
      <c r="CN159" s="65"/>
      <c r="CO159" s="65"/>
      <c r="CP159" s="65"/>
      <c r="CQ159" s="72"/>
      <c r="CR159" s="72"/>
      <c r="CS159" s="65"/>
      <c r="CT159" s="65"/>
      <c r="CU159" s="65"/>
      <c r="DA159"/>
      <c r="DM159" s="60"/>
      <c r="DN159" s="60"/>
      <c r="DO159" s="60"/>
      <c r="DP159" s="57"/>
      <c r="DQ159" s="178"/>
      <c r="DR159" s="178"/>
      <c r="DS159" s="178"/>
      <c r="DT159" s="178"/>
      <c r="DU159" s="179"/>
      <c r="DZ159"/>
    </row>
    <row r="160" spans="1:130" ht="15" hidden="1" x14ac:dyDescent="0.25">
      <c r="J160"/>
      <c r="AA160"/>
      <c r="AO160" s="33"/>
      <c r="AZ160"/>
      <c r="BA160" s="58"/>
      <c r="BB160" s="58"/>
      <c r="BC160" s="58"/>
      <c r="BD160" s="58"/>
      <c r="BE160" s="58"/>
      <c r="BF160" s="58"/>
      <c r="BG160" s="58"/>
      <c r="BH160" s="58"/>
      <c r="BI160" s="58"/>
      <c r="BJ160" s="58"/>
      <c r="BK160" s="58"/>
      <c r="BL160" s="58"/>
      <c r="BM160" s="58"/>
      <c r="BN160" s="58"/>
      <c r="BO160" s="60"/>
      <c r="BP160" s="60"/>
      <c r="BQ160" s="178"/>
      <c r="BR160" s="179"/>
      <c r="BS160" s="179"/>
      <c r="BT160" s="179"/>
      <c r="BU160" s="179"/>
      <c r="BV160" s="179"/>
      <c r="BZ160"/>
      <c r="CA160" s="65"/>
      <c r="CB160" s="65"/>
      <c r="CC160" s="65"/>
      <c r="CD160" s="65"/>
      <c r="CE160" s="65"/>
      <c r="CF160" s="73"/>
      <c r="CG160" s="65"/>
      <c r="CH160" s="65"/>
      <c r="CI160" s="65"/>
      <c r="CJ160" s="65"/>
      <c r="CK160" s="65"/>
      <c r="CL160" s="65"/>
      <c r="CM160" s="65"/>
      <c r="CN160" s="65"/>
      <c r="CO160" s="65"/>
      <c r="CP160" s="65"/>
      <c r="CQ160" s="72"/>
      <c r="CR160" s="72"/>
      <c r="CS160" s="65"/>
      <c r="CT160" s="65"/>
      <c r="CU160" s="65"/>
      <c r="DA160"/>
      <c r="DM160" s="60"/>
      <c r="DN160" s="60"/>
      <c r="DO160" s="60"/>
      <c r="DP160" s="57"/>
      <c r="DQ160" s="178"/>
      <c r="DR160" s="178"/>
      <c r="DS160" s="178"/>
      <c r="DT160" s="178"/>
      <c r="DU160" s="179"/>
      <c r="DZ160"/>
    </row>
    <row r="161" spans="1:130" x14ac:dyDescent="0.3">
      <c r="A161" t="s">
        <v>0</v>
      </c>
      <c r="B161" t="s">
        <v>1</v>
      </c>
      <c r="C161" t="s">
        <v>2</v>
      </c>
      <c r="D161" t="s">
        <v>3</v>
      </c>
      <c r="E161" t="s">
        <v>4</v>
      </c>
      <c r="F161" t="s">
        <v>5</v>
      </c>
      <c r="G161" t="s">
        <v>6</v>
      </c>
      <c r="H161" t="s">
        <v>48</v>
      </c>
      <c r="I161" t="s">
        <v>9</v>
      </c>
      <c r="J161" s="27"/>
      <c r="AA161" s="2" t="s">
        <v>7</v>
      </c>
      <c r="AB161" s="3" t="s">
        <v>10</v>
      </c>
      <c r="AC161" s="3" t="s">
        <v>11</v>
      </c>
      <c r="AD161" s="3" t="s">
        <v>12</v>
      </c>
      <c r="AE161" s="3" t="s">
        <v>13</v>
      </c>
      <c r="AF161" s="3" t="s">
        <v>14</v>
      </c>
      <c r="AG161" s="3" t="s">
        <v>15</v>
      </c>
      <c r="AH161" s="3" t="s">
        <v>16</v>
      </c>
      <c r="AI161" s="3" t="s">
        <v>17</v>
      </c>
      <c r="AJ161" s="3" t="s">
        <v>19</v>
      </c>
      <c r="AK161" s="3" t="s">
        <v>18</v>
      </c>
      <c r="AL161" s="3" t="s">
        <v>20</v>
      </c>
      <c r="AM161" s="4" t="s">
        <v>21</v>
      </c>
      <c r="AO161" s="45" t="s">
        <v>43</v>
      </c>
      <c r="AP161" s="5" t="s">
        <v>26</v>
      </c>
      <c r="AQ161" s="5" t="s">
        <v>25</v>
      </c>
      <c r="AR161" s="5" t="s">
        <v>24</v>
      </c>
      <c r="AT161" s="5" t="s">
        <v>10</v>
      </c>
      <c r="AU161" s="6">
        <f>'Résultats Regroupés'!AA162/100</f>
        <v>0</v>
      </c>
      <c r="AV161" s="5" t="s">
        <v>27</v>
      </c>
      <c r="AW161" s="6">
        <f>'Résultats Regroupés'!AF162</f>
        <v>0</v>
      </c>
      <c r="AZ161"/>
      <c r="BA161" s="138" t="s">
        <v>245</v>
      </c>
      <c r="BB161" s="138"/>
      <c r="BC161" s="138"/>
      <c r="BD161" s="138"/>
      <c r="BE161" s="138"/>
      <c r="BF161" s="138"/>
      <c r="BG161" s="138"/>
      <c r="BH161" s="138"/>
      <c r="BI161" s="138"/>
      <c r="BJ161" s="138"/>
      <c r="BK161" s="138"/>
      <c r="BL161" s="138"/>
      <c r="BM161" s="138"/>
      <c r="BN161" s="58"/>
      <c r="BO161" s="61"/>
      <c r="BP161" s="62">
        <v>3</v>
      </c>
      <c r="BQ161" s="178">
        <v>24</v>
      </c>
      <c r="BR161" s="178">
        <v>30</v>
      </c>
      <c r="BS161" s="178">
        <v>275</v>
      </c>
      <c r="BZ161"/>
      <c r="CA161" s="126">
        <v>6</v>
      </c>
      <c r="CB161" s="126">
        <v>18</v>
      </c>
      <c r="CC161" s="65"/>
      <c r="CD161" s="125">
        <v>29811.5</v>
      </c>
      <c r="CE161" s="65"/>
      <c r="CF161" s="124">
        <v>0.90010567632850247</v>
      </c>
      <c r="CG161" s="140" t="s">
        <v>254</v>
      </c>
      <c r="CH161" s="139"/>
      <c r="CI161" s="139"/>
      <c r="CJ161" s="139"/>
      <c r="CK161" s="139"/>
      <c r="CL161" s="139"/>
      <c r="CM161" s="139"/>
      <c r="CN161" s="139"/>
      <c r="CO161" s="139"/>
      <c r="CP161" s="139"/>
      <c r="CQ161" s="139"/>
      <c r="CR161" s="139"/>
      <c r="CS161" s="123">
        <v>65</v>
      </c>
      <c r="CT161" s="123">
        <v>6</v>
      </c>
      <c r="CU161" s="65"/>
      <c r="CV161" s="65"/>
      <c r="CW161" s="65"/>
      <c r="CX161" s="65"/>
      <c r="CY161" s="65"/>
      <c r="CZ161" s="65"/>
      <c r="DA161" s="138" t="s">
        <v>255</v>
      </c>
      <c r="DB161" s="149"/>
      <c r="DC161" s="149"/>
      <c r="DD161" s="149"/>
      <c r="DE161" s="149"/>
      <c r="DF161" s="149"/>
      <c r="DG161" s="149"/>
      <c r="DH161" s="149"/>
      <c r="DI161" s="149"/>
      <c r="DJ161" s="149"/>
      <c r="DL161">
        <v>18</v>
      </c>
      <c r="DM161" s="60">
        <v>4</v>
      </c>
      <c r="DN161" s="60"/>
      <c r="DO161" s="60">
        <v>6</v>
      </c>
      <c r="DP161" s="178">
        <v>8</v>
      </c>
      <c r="DQ161" s="178">
        <v>12</v>
      </c>
      <c r="DR161" s="178">
        <v>110</v>
      </c>
      <c r="DZ161"/>
    </row>
    <row r="162" spans="1:130" hidden="1" x14ac:dyDescent="0.3">
      <c r="A162">
        <v>460</v>
      </c>
      <c r="B162">
        <v>114851</v>
      </c>
      <c r="C162">
        <v>143168</v>
      </c>
      <c r="D162">
        <v>115</v>
      </c>
      <c r="E162" t="s">
        <v>28</v>
      </c>
      <c r="F162">
        <v>400</v>
      </c>
      <c r="G162">
        <v>24851</v>
      </c>
      <c r="H162">
        <v>21610</v>
      </c>
      <c r="J162" s="2" t="s">
        <v>10</v>
      </c>
      <c r="K162" s="135"/>
      <c r="L162" s="135"/>
      <c r="M162" s="135"/>
      <c r="N162" s="135"/>
      <c r="O162" s="135"/>
      <c r="P162" s="135"/>
      <c r="Q162" s="135"/>
      <c r="R162" s="135"/>
      <c r="S162" s="135"/>
      <c r="T162" s="135"/>
      <c r="U162" s="135"/>
      <c r="V162" s="135"/>
      <c r="W162" s="136"/>
      <c r="X162" s="137"/>
      <c r="Y162" s="137"/>
      <c r="Z162" s="137"/>
      <c r="AA162" s="7" t="s">
        <v>8</v>
      </c>
      <c r="AB162" s="181">
        <f>SUM(AD162:AM162)</f>
        <v>364</v>
      </c>
      <c r="AC162" s="12">
        <v>1600</v>
      </c>
      <c r="AD162" s="181">
        <v>127</v>
      </c>
      <c r="AE162" s="181">
        <v>122</v>
      </c>
      <c r="AF162" s="181">
        <v>115</v>
      </c>
      <c r="AG162" s="181"/>
      <c r="AH162" s="181"/>
      <c r="AI162" s="181"/>
      <c r="AJ162" s="181"/>
      <c r="AK162" s="181"/>
      <c r="AL162" s="181"/>
      <c r="AM162" s="8"/>
      <c r="AO162" s="35" t="s">
        <v>238</v>
      </c>
      <c r="AP162" s="191">
        <v>4</v>
      </c>
      <c r="AQ162" s="191">
        <v>5824</v>
      </c>
      <c r="AR162" s="16">
        <v>7359.9999999999991</v>
      </c>
      <c r="AT162" s="40"/>
      <c r="AU162" s="51"/>
      <c r="AV162" s="52"/>
      <c r="AW162" s="50"/>
      <c r="AZ162"/>
      <c r="BA162" s="58"/>
      <c r="BB162" s="58"/>
      <c r="BC162" s="58"/>
      <c r="BD162" s="58"/>
      <c r="BE162" s="58"/>
      <c r="BF162" s="58"/>
      <c r="BG162" s="58"/>
      <c r="BH162" s="58"/>
      <c r="BI162" s="58"/>
      <c r="BJ162" s="58"/>
      <c r="BK162" s="58"/>
      <c r="BL162" s="58"/>
      <c r="BM162" s="58"/>
      <c r="BN162" s="58">
        <v>0</v>
      </c>
      <c r="BO162" s="67">
        <v>85</v>
      </c>
      <c r="BP162" s="62"/>
      <c r="BQ162" s="196">
        <v>4</v>
      </c>
      <c r="BR162" s="196">
        <v>6</v>
      </c>
      <c r="BS162" s="196">
        <v>55</v>
      </c>
      <c r="BZ162"/>
      <c r="CA162" s="65" t="s">
        <v>106</v>
      </c>
      <c r="CB162" s="65" t="s">
        <v>105</v>
      </c>
      <c r="CC162" s="65" t="s">
        <v>27</v>
      </c>
      <c r="CD162" s="65" t="s">
        <v>10</v>
      </c>
      <c r="CE162" s="65" t="s">
        <v>104</v>
      </c>
      <c r="CF162" s="73" t="s">
        <v>103</v>
      </c>
      <c r="CG162" s="122" t="s">
        <v>102</v>
      </c>
      <c r="CH162" s="122" t="s">
        <v>101</v>
      </c>
      <c r="CI162" s="122" t="s">
        <v>100</v>
      </c>
      <c r="CJ162" s="122" t="s">
        <v>99</v>
      </c>
      <c r="CK162" s="122" t="s">
        <v>98</v>
      </c>
      <c r="CL162" s="122" t="s">
        <v>97</v>
      </c>
      <c r="CM162" s="122" t="s">
        <v>96</v>
      </c>
      <c r="CN162" s="122" t="s">
        <v>95</v>
      </c>
      <c r="CO162" s="122" t="s">
        <v>94</v>
      </c>
      <c r="CP162" s="122" t="s">
        <v>93</v>
      </c>
      <c r="CQ162" s="121" t="s">
        <v>87</v>
      </c>
      <c r="CR162" s="121" t="s">
        <v>92</v>
      </c>
      <c r="CS162" s="65" t="s">
        <v>91</v>
      </c>
      <c r="CT162" s="65" t="s">
        <v>88</v>
      </c>
      <c r="CU162" s="65"/>
      <c r="CV162" t="s">
        <v>90</v>
      </c>
      <c r="CZ162" t="s">
        <v>27</v>
      </c>
      <c r="DA162"/>
      <c r="DM162" s="60">
        <v>0</v>
      </c>
      <c r="DN162" s="60">
        <v>48</v>
      </c>
      <c r="DO162" s="60"/>
      <c r="DP162" s="178">
        <v>6</v>
      </c>
      <c r="DQ162" s="178">
        <v>6</v>
      </c>
      <c r="DR162" s="178">
        <v>56</v>
      </c>
      <c r="DZ162"/>
    </row>
    <row r="163" spans="1:130" ht="15.75" hidden="1" thickBot="1" x14ac:dyDescent="0.3">
      <c r="A163">
        <v>460</v>
      </c>
      <c r="B163">
        <v>114851</v>
      </c>
      <c r="C163">
        <v>118460</v>
      </c>
      <c r="D163">
        <v>122</v>
      </c>
      <c r="E163" t="s">
        <v>28</v>
      </c>
      <c r="F163">
        <v>400</v>
      </c>
      <c r="G163">
        <v>2928</v>
      </c>
      <c r="H163">
        <v>2400</v>
      </c>
      <c r="J163" s="7">
        <f t="shared" ref="J163:J165" si="5">SUM(L163:U163)</f>
        <v>0</v>
      </c>
      <c r="W163" s="33"/>
      <c r="X163" s="15"/>
      <c r="Y163" s="15"/>
      <c r="Z163" s="15"/>
      <c r="AA163" s="7" t="s">
        <v>29</v>
      </c>
      <c r="AB163" s="181">
        <f>SUM(AD163:AM163)</f>
        <v>237</v>
      </c>
      <c r="AC163" s="13">
        <v>800</v>
      </c>
      <c r="AD163" s="181">
        <v>122</v>
      </c>
      <c r="AE163" s="181">
        <v>115</v>
      </c>
      <c r="AF163" s="181"/>
      <c r="AG163" s="181"/>
      <c r="AH163" s="181"/>
      <c r="AI163" s="181"/>
      <c r="AJ163" s="181"/>
      <c r="AK163" s="181"/>
      <c r="AL163" s="181"/>
      <c r="AM163" s="8"/>
      <c r="AO163" s="35" t="s">
        <v>239</v>
      </c>
      <c r="AP163" s="191">
        <v>2</v>
      </c>
      <c r="AQ163" s="191">
        <v>1896</v>
      </c>
      <c r="AR163" s="16">
        <v>3679.9999999999995</v>
      </c>
      <c r="AT163" s="56"/>
      <c r="AU163" s="55"/>
      <c r="AV163" s="54"/>
      <c r="AW163" s="53"/>
      <c r="AZ163"/>
      <c r="BA163" s="58"/>
      <c r="BB163" s="58"/>
      <c r="BC163" s="58"/>
      <c r="BD163" s="58"/>
      <c r="BE163" s="58"/>
      <c r="BF163" s="58"/>
      <c r="BG163" s="58"/>
      <c r="BH163" s="58"/>
      <c r="BI163" s="58"/>
      <c r="BJ163" s="58"/>
      <c r="BK163" s="58"/>
      <c r="BL163" s="58"/>
      <c r="BM163" s="58"/>
      <c r="BN163" s="65">
        <v>65</v>
      </c>
      <c r="BO163" s="63">
        <v>55</v>
      </c>
      <c r="BP163" s="64">
        <v>3</v>
      </c>
      <c r="BQ163" s="178">
        <v>4</v>
      </c>
      <c r="BR163" s="179">
        <v>6</v>
      </c>
      <c r="BS163" s="179">
        <v>55</v>
      </c>
      <c r="BZ163"/>
      <c r="CA163" s="105" t="s">
        <v>79</v>
      </c>
      <c r="CB163" s="105">
        <v>1</v>
      </c>
      <c r="CC163" s="105">
        <v>400</v>
      </c>
      <c r="CD163" s="105">
        <v>460</v>
      </c>
      <c r="CE163" s="105">
        <v>381</v>
      </c>
      <c r="CF163" s="108">
        <v>0.82826086956521738</v>
      </c>
      <c r="CG163" s="114">
        <v>127</v>
      </c>
      <c r="CH163" s="114">
        <v>127</v>
      </c>
      <c r="CI163" s="114">
        <v>127</v>
      </c>
      <c r="CJ163" s="106"/>
      <c r="CK163" s="106"/>
      <c r="CL163" s="106"/>
      <c r="CM163" s="106"/>
      <c r="CN163" s="106"/>
      <c r="CO163" s="106"/>
      <c r="CP163" s="106"/>
      <c r="CQ163" s="107" t="s">
        <v>248</v>
      </c>
      <c r="CR163" s="107" t="s">
        <v>249</v>
      </c>
      <c r="CS163" s="183">
        <v>3</v>
      </c>
      <c r="CT163" s="184">
        <v>1</v>
      </c>
      <c r="CU163" s="65"/>
      <c r="CV163" t="s">
        <v>88</v>
      </c>
      <c r="CW163" t="s">
        <v>87</v>
      </c>
      <c r="CX163" t="s">
        <v>86</v>
      </c>
      <c r="CZ163" s="119">
        <v>127</v>
      </c>
      <c r="DA163"/>
      <c r="DM163" s="60">
        <v>17</v>
      </c>
      <c r="DN163" s="60">
        <v>18</v>
      </c>
      <c r="DO163" s="60">
        <v>3</v>
      </c>
      <c r="DP163" s="178">
        <v>4</v>
      </c>
      <c r="DQ163" s="178">
        <v>6</v>
      </c>
      <c r="DR163" s="179">
        <v>55</v>
      </c>
      <c r="DZ163"/>
    </row>
    <row r="164" spans="1:130" ht="15.75" hidden="1" thickBot="1" x14ac:dyDescent="0.3">
      <c r="A164">
        <v>460</v>
      </c>
      <c r="B164">
        <v>114851</v>
      </c>
      <c r="C164">
        <v>113963</v>
      </c>
      <c r="D164">
        <v>127</v>
      </c>
      <c r="E164" t="s">
        <v>28</v>
      </c>
      <c r="F164">
        <v>400</v>
      </c>
      <c r="G164">
        <v>2032</v>
      </c>
      <c r="H164">
        <v>1600</v>
      </c>
      <c r="J164" s="7">
        <f t="shared" si="5"/>
        <v>0</v>
      </c>
      <c r="W164" s="33"/>
      <c r="X164" s="15"/>
      <c r="Y164" s="15"/>
      <c r="Z164" s="15"/>
      <c r="AA164" s="9" t="s">
        <v>30</v>
      </c>
      <c r="AB164" s="10">
        <f>SUM(AD164:AM164)</f>
        <v>115</v>
      </c>
      <c r="AC164" s="14">
        <v>19600</v>
      </c>
      <c r="AD164" s="10">
        <v>115</v>
      </c>
      <c r="AE164" s="10"/>
      <c r="AF164" s="10"/>
      <c r="AG164" s="10"/>
      <c r="AH164" s="10"/>
      <c r="AI164" s="10"/>
      <c r="AJ164" s="10"/>
      <c r="AK164" s="10"/>
      <c r="AL164" s="10"/>
      <c r="AM164" s="11"/>
      <c r="AO164" s="35" t="s">
        <v>240</v>
      </c>
      <c r="AP164" s="191">
        <v>49</v>
      </c>
      <c r="AQ164" s="191">
        <v>22539.999999999996</v>
      </c>
      <c r="AR164" s="16">
        <v>90159.999999999985</v>
      </c>
      <c r="AT164" s="36"/>
      <c r="AU164" s="38"/>
      <c r="AV164" s="37"/>
      <c r="AW164" s="39"/>
      <c r="AZ164"/>
      <c r="BA164" s="59" t="s">
        <v>7</v>
      </c>
      <c r="BB164" s="59" t="s">
        <v>10</v>
      </c>
      <c r="BC164" s="59" t="s">
        <v>11</v>
      </c>
      <c r="BD164" s="59" t="s">
        <v>12</v>
      </c>
      <c r="BE164" s="59" t="s">
        <v>13</v>
      </c>
      <c r="BF164" s="59" t="s">
        <v>14</v>
      </c>
      <c r="BG164" s="59" t="s">
        <v>15</v>
      </c>
      <c r="BH164" s="59" t="s">
        <v>16</v>
      </c>
      <c r="BI164" s="59" t="s">
        <v>17</v>
      </c>
      <c r="BJ164" s="59" t="s">
        <v>19</v>
      </c>
      <c r="BK164" s="59" t="s">
        <v>18</v>
      </c>
      <c r="BL164" s="59" t="s">
        <v>20</v>
      </c>
      <c r="BM164" s="59" t="s">
        <v>21</v>
      </c>
      <c r="BN164" s="59" t="s">
        <v>46</v>
      </c>
      <c r="BO164" s="63" t="s">
        <v>44</v>
      </c>
      <c r="BP164" s="64" t="s">
        <v>45</v>
      </c>
      <c r="BQ164" s="178" t="s">
        <v>126</v>
      </c>
      <c r="BR164" s="197" t="s">
        <v>127</v>
      </c>
      <c r="BS164" s="197" t="s">
        <v>244</v>
      </c>
      <c r="BZ164"/>
      <c r="CA164" s="105" t="s">
        <v>78</v>
      </c>
      <c r="CB164" s="105">
        <v>1</v>
      </c>
      <c r="CC164" s="105">
        <v>400</v>
      </c>
      <c r="CD164" s="105">
        <v>460</v>
      </c>
      <c r="CE164" s="105">
        <v>371</v>
      </c>
      <c r="CF164" s="108">
        <v>0.80652173913043479</v>
      </c>
      <c r="CG164" s="114">
        <v>127</v>
      </c>
      <c r="CH164" s="109">
        <v>122</v>
      </c>
      <c r="CI164" s="109">
        <v>122</v>
      </c>
      <c r="CJ164" s="106"/>
      <c r="CK164" s="106"/>
      <c r="CL164" s="106"/>
      <c r="CM164" s="106"/>
      <c r="CN164" s="106"/>
      <c r="CO164" s="106"/>
      <c r="CP164" s="106"/>
      <c r="CQ164" s="107" t="s">
        <v>168</v>
      </c>
      <c r="CR164" s="107" t="s">
        <v>169</v>
      </c>
      <c r="CS164" s="183">
        <v>3</v>
      </c>
      <c r="CT164" s="184">
        <v>2</v>
      </c>
      <c r="CU164" s="65"/>
      <c r="CV164">
        <v>4</v>
      </c>
      <c r="CW164" t="s">
        <v>250</v>
      </c>
      <c r="CX164" s="186">
        <v>1</v>
      </c>
      <c r="CZ164" s="71">
        <v>122</v>
      </c>
      <c r="DA164" s="65" t="s">
        <v>102</v>
      </c>
      <c r="DB164" s="65" t="s">
        <v>101</v>
      </c>
      <c r="DC164" s="65" t="s">
        <v>100</v>
      </c>
      <c r="DD164" s="65" t="s">
        <v>99</v>
      </c>
      <c r="DE164" s="65" t="s">
        <v>98</v>
      </c>
      <c r="DF164" s="65" t="s">
        <v>97</v>
      </c>
      <c r="DG164" s="65" t="s">
        <v>96</v>
      </c>
      <c r="DH164" s="65" t="s">
        <v>95</v>
      </c>
      <c r="DI164" s="65" t="s">
        <v>94</v>
      </c>
      <c r="DJ164" s="65" t="s">
        <v>93</v>
      </c>
      <c r="DK164" s="133" t="s">
        <v>87</v>
      </c>
      <c r="DL164" s="133" t="s">
        <v>92</v>
      </c>
      <c r="DM164" s="132" t="s">
        <v>114</v>
      </c>
      <c r="DN164" s="132" t="s">
        <v>44</v>
      </c>
      <c r="DO164" s="132" t="s">
        <v>45</v>
      </c>
      <c r="DP164" s="57" t="s">
        <v>126</v>
      </c>
      <c r="DQ164" s="178" t="s">
        <v>127</v>
      </c>
      <c r="DR164" s="66" t="s">
        <v>244</v>
      </c>
      <c r="DZ164"/>
    </row>
    <row r="165" spans="1:130" ht="15.75" hidden="1" thickBot="1" x14ac:dyDescent="0.3">
      <c r="J165" s="9">
        <f t="shared" si="5"/>
        <v>0</v>
      </c>
      <c r="W165" s="33"/>
      <c r="X165" s="15"/>
      <c r="Y165" s="15"/>
      <c r="Z165" s="15"/>
      <c r="AA165"/>
      <c r="AO165" s="45" t="s">
        <v>241</v>
      </c>
      <c r="AP165" s="17">
        <f>SUM(AP162:AP164)</f>
        <v>55</v>
      </c>
      <c r="AQ165" s="17">
        <f>SUM(AQ162:AQ164)</f>
        <v>30259.999999999996</v>
      </c>
      <c r="AR165" s="17">
        <f>SUM(AR162:AR164)</f>
        <v>101199.99999999999</v>
      </c>
      <c r="AT165" s="41"/>
      <c r="AU165" s="42"/>
      <c r="AV165" s="43"/>
      <c r="AW165" s="44"/>
      <c r="AZ165"/>
      <c r="BA165" s="192" t="s">
        <v>8</v>
      </c>
      <c r="BB165" s="192">
        <v>364</v>
      </c>
      <c r="BC165" s="192">
        <v>1600</v>
      </c>
      <c r="BD165" s="192">
        <v>127</v>
      </c>
      <c r="BE165" s="192">
        <v>122</v>
      </c>
      <c r="BF165" s="192">
        <v>115</v>
      </c>
      <c r="BG165" s="192"/>
      <c r="BH165" s="192"/>
      <c r="BI165" s="192"/>
      <c r="BJ165" s="192"/>
      <c r="BK165" s="192"/>
      <c r="BL165" s="192"/>
      <c r="BM165" s="192"/>
      <c r="BN165" s="193">
        <v>3</v>
      </c>
      <c r="BO165" s="68">
        <v>4</v>
      </c>
      <c r="BP165" s="194">
        <v>1</v>
      </c>
      <c r="BQ165" s="177">
        <v>1</v>
      </c>
      <c r="BR165" s="180">
        <v>1</v>
      </c>
      <c r="BS165" s="180">
        <v>1</v>
      </c>
      <c r="BZ165"/>
      <c r="CA165" s="105" t="s">
        <v>77</v>
      </c>
      <c r="CB165" s="105">
        <v>1</v>
      </c>
      <c r="CC165" s="105">
        <v>400</v>
      </c>
      <c r="CD165" s="105">
        <v>460</v>
      </c>
      <c r="CE165" s="105">
        <v>366</v>
      </c>
      <c r="CF165" s="108">
        <v>0.79565217391304344</v>
      </c>
      <c r="CG165" s="109">
        <v>122</v>
      </c>
      <c r="CH165" s="109">
        <v>122</v>
      </c>
      <c r="CI165" s="109">
        <v>122</v>
      </c>
      <c r="CJ165" s="106"/>
      <c r="CK165" s="106"/>
      <c r="CL165" s="106"/>
      <c r="CM165" s="106"/>
      <c r="CN165" s="106"/>
      <c r="CO165" s="106"/>
      <c r="CP165" s="106"/>
      <c r="CQ165" s="107" t="s">
        <v>170</v>
      </c>
      <c r="CR165" s="107" t="s">
        <v>171</v>
      </c>
      <c r="CS165" s="183">
        <v>3</v>
      </c>
      <c r="CT165" s="184">
        <v>3</v>
      </c>
      <c r="CU165" s="65"/>
      <c r="CV165">
        <v>6</v>
      </c>
      <c r="CW165" t="s">
        <v>252</v>
      </c>
      <c r="CX165" s="186">
        <v>1</v>
      </c>
      <c r="CZ165" s="118">
        <v>115</v>
      </c>
      <c r="DA165" s="172">
        <v>127</v>
      </c>
      <c r="DB165" s="172">
        <v>127</v>
      </c>
      <c r="DC165" s="172">
        <v>127</v>
      </c>
      <c r="DD165" s="172"/>
      <c r="DE165" s="172"/>
      <c r="DF165" s="170"/>
      <c r="DG165" s="170"/>
      <c r="DH165" s="170"/>
      <c r="DI165" s="170"/>
      <c r="DJ165" s="170"/>
      <c r="DK165" s="173" t="s">
        <v>248</v>
      </c>
      <c r="DL165" s="173" t="s">
        <v>249</v>
      </c>
      <c r="DM165" s="175">
        <v>1</v>
      </c>
      <c r="DN165" s="175">
        <v>2</v>
      </c>
      <c r="DO165" s="175">
        <v>1</v>
      </c>
      <c r="DP165" s="177">
        <v>3</v>
      </c>
      <c r="DQ165" s="180">
        <v>0</v>
      </c>
      <c r="DR165" s="180">
        <v>0</v>
      </c>
      <c r="DZ165"/>
    </row>
    <row r="166" spans="1:130" ht="15.75" hidden="1" thickBot="1" x14ac:dyDescent="0.3">
      <c r="J166"/>
      <c r="W166" s="136"/>
      <c r="X166" s="137"/>
      <c r="Y166" s="137"/>
      <c r="Z166" s="137"/>
      <c r="AA166"/>
      <c r="AO166" s="33" t="s">
        <v>242</v>
      </c>
      <c r="AP166" s="15"/>
      <c r="AQ166" s="15" t="s">
        <v>36</v>
      </c>
      <c r="AR166" s="15">
        <v>70939.999999999985</v>
      </c>
      <c r="AT166" s="46"/>
      <c r="AU166" s="47"/>
      <c r="AV166" s="48"/>
      <c r="AW166" s="49"/>
      <c r="AZ166"/>
      <c r="BA166" s="192" t="s">
        <v>29</v>
      </c>
      <c r="BB166" s="192">
        <v>237</v>
      </c>
      <c r="BC166" s="192">
        <v>800</v>
      </c>
      <c r="BD166" s="192">
        <v>122</v>
      </c>
      <c r="BE166" s="192">
        <v>115</v>
      </c>
      <c r="BF166" s="192"/>
      <c r="BG166" s="192"/>
      <c r="BH166" s="192"/>
      <c r="BI166" s="192"/>
      <c r="BJ166" s="192"/>
      <c r="BK166" s="192"/>
      <c r="BL166" s="192"/>
      <c r="BM166" s="192"/>
      <c r="BN166" s="193">
        <v>2</v>
      </c>
      <c r="BO166" s="69">
        <v>2</v>
      </c>
      <c r="BP166" s="195">
        <v>1</v>
      </c>
      <c r="BQ166" s="177">
        <v>0</v>
      </c>
      <c r="BR166" s="180">
        <v>1</v>
      </c>
      <c r="BS166" s="180">
        <v>1</v>
      </c>
      <c r="BZ166"/>
      <c r="CA166" s="105" t="s">
        <v>76</v>
      </c>
      <c r="CB166" s="105">
        <v>1</v>
      </c>
      <c r="CC166" s="105">
        <v>400</v>
      </c>
      <c r="CD166" s="105">
        <v>460</v>
      </c>
      <c r="CE166" s="105">
        <v>352</v>
      </c>
      <c r="CF166" s="108">
        <v>0.76521739130434785</v>
      </c>
      <c r="CG166" s="109">
        <v>122</v>
      </c>
      <c r="CH166" s="188">
        <v>115</v>
      </c>
      <c r="CI166" s="188">
        <v>115</v>
      </c>
      <c r="CJ166" s="106"/>
      <c r="CK166" s="106"/>
      <c r="CL166" s="106"/>
      <c r="CM166" s="106"/>
      <c r="CN166" s="106"/>
      <c r="CO166" s="106"/>
      <c r="CP166" s="106"/>
      <c r="CQ166" s="107" t="s">
        <v>250</v>
      </c>
      <c r="CR166" s="107" t="s">
        <v>251</v>
      </c>
      <c r="CS166" s="183">
        <v>3</v>
      </c>
      <c r="CT166" s="184">
        <v>4</v>
      </c>
      <c r="CU166" s="65"/>
      <c r="CV166">
        <v>5</v>
      </c>
      <c r="CW166" t="s">
        <v>246</v>
      </c>
      <c r="CX166" s="186">
        <v>1</v>
      </c>
      <c r="CZ166" s="117">
        <v>115</v>
      </c>
      <c r="DA166" s="172">
        <v>127</v>
      </c>
      <c r="DB166" s="172">
        <v>122</v>
      </c>
      <c r="DC166" s="172">
        <v>122</v>
      </c>
      <c r="DD166" s="172"/>
      <c r="DE166" s="172"/>
      <c r="DF166" s="170"/>
      <c r="DG166" s="170"/>
      <c r="DH166" s="170"/>
      <c r="DI166" s="170"/>
      <c r="DJ166" s="170"/>
      <c r="DK166" s="174" t="s">
        <v>168</v>
      </c>
      <c r="DL166" s="174" t="s">
        <v>169</v>
      </c>
      <c r="DM166" s="176">
        <v>1</v>
      </c>
      <c r="DN166" s="176">
        <v>0</v>
      </c>
      <c r="DO166" s="176">
        <v>0</v>
      </c>
      <c r="DP166" s="177">
        <v>1</v>
      </c>
      <c r="DQ166" s="180">
        <v>2</v>
      </c>
      <c r="DR166" s="180">
        <v>0</v>
      </c>
      <c r="DZ166"/>
    </row>
    <row r="167" spans="1:130" ht="15.75" hidden="1" thickBot="1" x14ac:dyDescent="0.3">
      <c r="J167"/>
      <c r="W167" s="33"/>
      <c r="X167" s="15"/>
      <c r="Y167" s="15"/>
      <c r="Z167" s="15"/>
      <c r="AA167"/>
      <c r="AO167" s="33"/>
      <c r="AP167" s="15"/>
      <c r="AQ167" s="15" t="s">
        <v>41</v>
      </c>
      <c r="AR167" s="15" t="s">
        <v>243</v>
      </c>
      <c r="AZ167"/>
      <c r="BA167" s="192" t="s">
        <v>30</v>
      </c>
      <c r="BB167" s="192">
        <v>115</v>
      </c>
      <c r="BC167" s="192">
        <v>19600</v>
      </c>
      <c r="BD167" s="192">
        <v>115</v>
      </c>
      <c r="BE167" s="192"/>
      <c r="BF167" s="192"/>
      <c r="BG167" s="192"/>
      <c r="BH167" s="192"/>
      <c r="BI167" s="192"/>
      <c r="BJ167" s="192"/>
      <c r="BK167" s="192"/>
      <c r="BL167" s="192"/>
      <c r="BM167" s="192"/>
      <c r="BN167" s="193">
        <v>1</v>
      </c>
      <c r="BO167" s="69">
        <v>49</v>
      </c>
      <c r="BP167" s="195">
        <v>1</v>
      </c>
      <c r="BQ167" s="177">
        <v>0</v>
      </c>
      <c r="BR167" s="180">
        <v>0</v>
      </c>
      <c r="BS167" s="180">
        <v>1</v>
      </c>
      <c r="BZ167"/>
      <c r="CA167" s="105" t="s">
        <v>81</v>
      </c>
      <c r="CB167" s="105">
        <v>13</v>
      </c>
      <c r="CC167" s="105">
        <v>400</v>
      </c>
      <c r="CD167" s="105">
        <v>460</v>
      </c>
      <c r="CE167" s="105">
        <v>460</v>
      </c>
      <c r="CF167" s="108">
        <v>1</v>
      </c>
      <c r="CG167" s="188">
        <v>115</v>
      </c>
      <c r="CH167" s="188">
        <v>115</v>
      </c>
      <c r="CI167" s="188">
        <v>115</v>
      </c>
      <c r="CJ167" s="188">
        <v>115</v>
      </c>
      <c r="CK167" s="106"/>
      <c r="CL167" s="106"/>
      <c r="CM167" s="106"/>
      <c r="CN167" s="106"/>
      <c r="CO167" s="106"/>
      <c r="CP167" s="106"/>
      <c r="CQ167" s="107" t="s">
        <v>246</v>
      </c>
      <c r="CR167" s="107" t="s">
        <v>247</v>
      </c>
      <c r="CS167" s="183">
        <v>52</v>
      </c>
      <c r="CT167" s="184">
        <v>5</v>
      </c>
      <c r="CU167" s="65"/>
      <c r="CV167">
        <v>2</v>
      </c>
      <c r="CW167" t="s">
        <v>168</v>
      </c>
      <c r="CX167" s="186">
        <v>1</v>
      </c>
      <c r="CZ167" s="19"/>
      <c r="DA167" s="172">
        <v>122</v>
      </c>
      <c r="DB167" s="172">
        <v>122</v>
      </c>
      <c r="DC167" s="172">
        <v>122</v>
      </c>
      <c r="DD167" s="172"/>
      <c r="DE167" s="172"/>
      <c r="DF167" s="170"/>
      <c r="DG167" s="170"/>
      <c r="DH167" s="170"/>
      <c r="DI167" s="170"/>
      <c r="DJ167" s="170"/>
      <c r="DK167" s="174" t="s">
        <v>170</v>
      </c>
      <c r="DL167" s="174" t="s">
        <v>171</v>
      </c>
      <c r="DM167" s="176">
        <v>1</v>
      </c>
      <c r="DN167" s="176">
        <v>2</v>
      </c>
      <c r="DO167" s="176">
        <v>1</v>
      </c>
      <c r="DP167" s="177">
        <v>0</v>
      </c>
      <c r="DQ167" s="180">
        <v>3</v>
      </c>
      <c r="DR167" s="180">
        <v>0</v>
      </c>
      <c r="DZ167"/>
    </row>
    <row r="168" spans="1:130" ht="15.75" hidden="1" thickBo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AA168"/>
      <c r="AO168" s="33"/>
      <c r="AZ168"/>
      <c r="BA168" s="58"/>
      <c r="BB168" s="58"/>
      <c r="BC168" s="58"/>
      <c r="BD168" s="58"/>
      <c r="BE168" s="58"/>
      <c r="BF168" s="58"/>
      <c r="BG168" s="58"/>
      <c r="BH168" s="58"/>
      <c r="BI168" s="58"/>
      <c r="BJ168" s="58"/>
      <c r="BK168" s="58"/>
      <c r="BL168" s="58"/>
      <c r="BM168" s="58"/>
      <c r="BN168" s="58"/>
      <c r="BO168" s="60"/>
      <c r="BP168" s="60"/>
      <c r="BQ168" s="178"/>
      <c r="BR168" s="179"/>
      <c r="BS168" s="179"/>
      <c r="BZ168"/>
      <c r="CA168" s="105" t="s">
        <v>75</v>
      </c>
      <c r="CB168" s="105">
        <v>1</v>
      </c>
      <c r="CC168" s="105">
        <v>400</v>
      </c>
      <c r="CD168" s="105">
        <v>460</v>
      </c>
      <c r="CE168" s="105">
        <v>115</v>
      </c>
      <c r="CF168" s="108">
        <v>6.2500000000000003E-3</v>
      </c>
      <c r="CG168" s="188">
        <v>115</v>
      </c>
      <c r="CH168" s="106"/>
      <c r="CI168" s="106"/>
      <c r="CJ168" s="106"/>
      <c r="CK168" s="106"/>
      <c r="CL168" s="106"/>
      <c r="CM168" s="106"/>
      <c r="CN168" s="106"/>
      <c r="CO168" s="106"/>
      <c r="CP168" s="106"/>
      <c r="CQ168" s="107" t="s">
        <v>252</v>
      </c>
      <c r="CR168" s="107" t="s">
        <v>253</v>
      </c>
      <c r="CS168" s="183">
        <v>1</v>
      </c>
      <c r="CT168" s="184">
        <v>6</v>
      </c>
      <c r="CU168" s="65"/>
      <c r="CV168">
        <v>1</v>
      </c>
      <c r="CW168" t="s">
        <v>248</v>
      </c>
      <c r="CX168" s="186">
        <v>1</v>
      </c>
      <c r="CZ168" s="115"/>
      <c r="DA168" s="172">
        <v>122</v>
      </c>
      <c r="DB168" s="172">
        <v>115</v>
      </c>
      <c r="DC168" s="172">
        <v>115</v>
      </c>
      <c r="DD168" s="172"/>
      <c r="DE168" s="172"/>
      <c r="DF168" s="170"/>
      <c r="DG168" s="170"/>
      <c r="DH168" s="170"/>
      <c r="DI168" s="170"/>
      <c r="DJ168" s="170"/>
      <c r="DK168" s="174" t="s">
        <v>250</v>
      </c>
      <c r="DL168" s="174" t="s">
        <v>251</v>
      </c>
      <c r="DM168" s="176">
        <v>1</v>
      </c>
      <c r="DN168" s="176">
        <v>0</v>
      </c>
      <c r="DO168" s="176">
        <v>0</v>
      </c>
      <c r="DP168" s="177">
        <v>0</v>
      </c>
      <c r="DQ168" s="180">
        <v>1</v>
      </c>
      <c r="DR168" s="180">
        <v>2</v>
      </c>
      <c r="DZ168"/>
    </row>
    <row r="169" spans="1:130" ht="15" hidden="1" x14ac:dyDescent="0.25">
      <c r="J169"/>
      <c r="AA169"/>
      <c r="AO169" s="33"/>
      <c r="AZ169"/>
      <c r="BA169" s="58"/>
      <c r="BB169" s="58"/>
      <c r="BC169" s="58"/>
      <c r="BD169" s="58"/>
      <c r="BE169" s="58"/>
      <c r="BF169" s="58"/>
      <c r="BG169" s="58"/>
      <c r="BH169" s="58"/>
      <c r="BI169" s="58"/>
      <c r="BJ169" s="58"/>
      <c r="BK169" s="58"/>
      <c r="BL169" s="58"/>
      <c r="BM169" s="58"/>
      <c r="BN169" s="58"/>
      <c r="BO169" s="60"/>
      <c r="BP169" s="60"/>
      <c r="BQ169" s="178"/>
      <c r="BR169" s="179"/>
      <c r="BS169" s="179"/>
      <c r="BZ169"/>
      <c r="CA169" s="65"/>
      <c r="CB169" s="65"/>
      <c r="CC169" s="65"/>
      <c r="CD169" s="65"/>
      <c r="CE169" s="65"/>
      <c r="CF169" s="73"/>
      <c r="CG169" s="65"/>
      <c r="CH169" s="65"/>
      <c r="CI169" s="65"/>
      <c r="CJ169" s="65"/>
      <c r="CK169" s="65"/>
      <c r="CL169" s="65"/>
      <c r="CM169" s="65"/>
      <c r="CN169" s="65"/>
      <c r="CO169" s="65"/>
      <c r="CP169" s="65"/>
      <c r="CQ169" s="72"/>
      <c r="CR169" s="72"/>
      <c r="CS169" s="65"/>
      <c r="CT169" s="65"/>
      <c r="CU169" s="65"/>
      <c r="CV169">
        <v>3</v>
      </c>
      <c r="CW169" t="s">
        <v>170</v>
      </c>
      <c r="CX169" s="186">
        <v>1</v>
      </c>
      <c r="CZ169" s="113"/>
      <c r="DA169" s="172">
        <v>115</v>
      </c>
      <c r="DB169" s="172">
        <v>115</v>
      </c>
      <c r="DC169" s="172">
        <v>115</v>
      </c>
      <c r="DD169" s="172">
        <v>115</v>
      </c>
      <c r="DE169" s="172"/>
      <c r="DF169" s="170"/>
      <c r="DG169" s="170"/>
      <c r="DH169" s="170"/>
      <c r="DI169" s="170"/>
      <c r="DJ169" s="170"/>
      <c r="DK169" s="174" t="s">
        <v>246</v>
      </c>
      <c r="DL169" s="174" t="s">
        <v>247</v>
      </c>
      <c r="DM169" s="176">
        <v>13</v>
      </c>
      <c r="DN169" s="176">
        <v>14</v>
      </c>
      <c r="DO169" s="176">
        <v>1</v>
      </c>
      <c r="DP169" s="177">
        <v>0</v>
      </c>
      <c r="DQ169" s="180">
        <v>0</v>
      </c>
      <c r="DR169" s="180">
        <v>4</v>
      </c>
      <c r="DZ169"/>
    </row>
    <row r="170" spans="1:130" ht="15" hidden="1" x14ac:dyDescent="0.25">
      <c r="J170"/>
      <c r="AA170"/>
      <c r="AO170" s="33"/>
      <c r="AZ170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/>
      <c r="BL170" s="58"/>
      <c r="BM170" s="58"/>
      <c r="BN170" s="58"/>
      <c r="BO170" s="60"/>
      <c r="BP170" s="60"/>
      <c r="BQ170" s="178"/>
      <c r="BR170" s="179"/>
      <c r="BS170" s="179"/>
      <c r="BZ170"/>
      <c r="CA170" s="65"/>
      <c r="CB170" s="65"/>
      <c r="CC170" s="65"/>
      <c r="CD170" s="65"/>
      <c r="CE170" s="65"/>
      <c r="CF170" s="73"/>
      <c r="CG170" s="65"/>
      <c r="CH170" s="65"/>
      <c r="CI170" s="65"/>
      <c r="CJ170" s="65"/>
      <c r="CK170" s="65"/>
      <c r="CL170" s="65"/>
      <c r="CM170" s="65"/>
      <c r="CN170" s="65"/>
      <c r="CO170" s="65"/>
      <c r="CP170" s="65"/>
      <c r="CQ170" s="72"/>
      <c r="CR170" s="72"/>
      <c r="CS170" s="65"/>
      <c r="CT170" s="65"/>
      <c r="CU170" s="65"/>
      <c r="CV170" t="s">
        <v>80</v>
      </c>
      <c r="CX170" s="186">
        <v>6</v>
      </c>
      <c r="CZ170" s="112"/>
      <c r="DA170" s="172">
        <v>115</v>
      </c>
      <c r="DB170" s="172"/>
      <c r="DC170" s="172"/>
      <c r="DD170" s="172"/>
      <c r="DE170" s="172"/>
      <c r="DF170" s="170"/>
      <c r="DG170" s="170"/>
      <c r="DH170" s="170"/>
      <c r="DI170" s="170"/>
      <c r="DJ170" s="170"/>
      <c r="DK170" s="174">
        <v>0.115</v>
      </c>
      <c r="DL170" s="174">
        <v>115</v>
      </c>
      <c r="DM170" s="176">
        <v>0</v>
      </c>
      <c r="DN170" s="176">
        <v>0</v>
      </c>
      <c r="DO170" s="176">
        <v>0</v>
      </c>
      <c r="DP170" s="177">
        <v>0</v>
      </c>
      <c r="DQ170" s="180">
        <v>0</v>
      </c>
      <c r="DR170" s="180">
        <v>1</v>
      </c>
      <c r="DZ170"/>
    </row>
    <row r="171" spans="1:130" ht="15" hidden="1" x14ac:dyDescent="0.25">
      <c r="J171"/>
      <c r="AA171"/>
      <c r="AO171" s="33"/>
      <c r="AZ171"/>
      <c r="BA171" s="58"/>
      <c r="BB171" s="58"/>
      <c r="BC171" s="58"/>
      <c r="BD171" s="58"/>
      <c r="BE171" s="58"/>
      <c r="BF171" s="58"/>
      <c r="BG171" s="58"/>
      <c r="BH171" s="58"/>
      <c r="BI171" s="58"/>
      <c r="BJ171" s="58"/>
      <c r="BK171" s="58"/>
      <c r="BL171" s="58"/>
      <c r="BM171" s="58"/>
      <c r="BN171" s="58"/>
      <c r="BO171" s="60"/>
      <c r="BP171" s="60"/>
      <c r="BQ171" s="178"/>
      <c r="BR171" s="179"/>
      <c r="BS171" s="179"/>
      <c r="BZ171"/>
      <c r="CA171" s="65"/>
      <c r="CB171" s="65"/>
      <c r="CC171" s="65"/>
      <c r="CD171" s="65"/>
      <c r="CE171" s="65"/>
      <c r="CF171" s="73"/>
      <c r="CG171" s="65"/>
      <c r="CH171" s="65"/>
      <c r="CI171" s="65"/>
      <c r="CJ171" s="65"/>
      <c r="CK171" s="65"/>
      <c r="CL171" s="65"/>
      <c r="CM171" s="65"/>
      <c r="CN171" s="65"/>
      <c r="CO171" s="65"/>
      <c r="CP171" s="65"/>
      <c r="CQ171" s="72"/>
      <c r="CR171" s="72"/>
      <c r="CS171" s="65"/>
      <c r="CT171" s="65"/>
      <c r="CU171" s="65"/>
      <c r="CZ171" s="111"/>
      <c r="DA171"/>
      <c r="DM171" s="60"/>
      <c r="DN171" s="60"/>
      <c r="DO171" s="60"/>
      <c r="DP171" s="57"/>
      <c r="DQ171" s="178"/>
      <c r="DR171" s="179"/>
      <c r="DZ171"/>
    </row>
    <row r="172" spans="1:130" ht="15" hidden="1" x14ac:dyDescent="0.25">
      <c r="J172"/>
      <c r="AA172"/>
      <c r="AO172" s="33"/>
      <c r="AZ172"/>
      <c r="BA172" s="58"/>
      <c r="BB172" s="58"/>
      <c r="BC172" s="58"/>
      <c r="BD172" s="58"/>
      <c r="BE172" s="58"/>
      <c r="BF172" s="58"/>
      <c r="BG172" s="58"/>
      <c r="BH172" s="58"/>
      <c r="BI172" s="58"/>
      <c r="BJ172" s="58"/>
      <c r="BK172" s="58"/>
      <c r="BL172" s="58"/>
      <c r="BM172" s="58"/>
      <c r="BN172" s="58"/>
      <c r="BO172" s="60"/>
      <c r="BP172" s="60"/>
      <c r="BQ172" s="178"/>
      <c r="BR172" s="179"/>
      <c r="BS172" s="179"/>
      <c r="BZ172"/>
      <c r="CA172" s="65"/>
      <c r="CB172" s="65"/>
      <c r="CC172" s="65"/>
      <c r="CD172" s="65"/>
      <c r="CE172" s="65"/>
      <c r="CF172" s="73"/>
      <c r="CG172" s="65"/>
      <c r="CH172" s="65"/>
      <c r="CI172" s="65"/>
      <c r="CJ172" s="65"/>
      <c r="CK172" s="65"/>
      <c r="CL172" s="65"/>
      <c r="CM172" s="65"/>
      <c r="CN172" s="65"/>
      <c r="CO172" s="65"/>
      <c r="CP172" s="65"/>
      <c r="CQ172" s="72"/>
      <c r="CR172" s="72"/>
      <c r="CS172" s="65"/>
      <c r="CT172" s="65"/>
      <c r="CU172" s="65"/>
      <c r="DA172"/>
      <c r="DM172" s="60"/>
      <c r="DN172" s="60"/>
      <c r="DO172" s="60"/>
      <c r="DP172" s="57"/>
      <c r="DQ172" s="178"/>
      <c r="DR172" s="179"/>
      <c r="DZ172"/>
    </row>
    <row r="173" spans="1:130" ht="15" hidden="1" x14ac:dyDescent="0.25">
      <c r="J173"/>
      <c r="AA173"/>
      <c r="AO173" s="33"/>
      <c r="AZ173"/>
      <c r="BA173" s="58"/>
      <c r="BB173" s="58"/>
      <c r="BC173" s="58"/>
      <c r="BD173" s="58"/>
      <c r="BE173" s="58"/>
      <c r="BF173" s="58"/>
      <c r="BG173" s="58"/>
      <c r="BH173" s="58"/>
      <c r="BI173" s="58"/>
      <c r="BJ173" s="58"/>
      <c r="BK173" s="58"/>
      <c r="BL173" s="58"/>
      <c r="BM173" s="58"/>
      <c r="BN173" s="58"/>
      <c r="BO173" s="60"/>
      <c r="BP173" s="60"/>
      <c r="BQ173" s="178"/>
      <c r="BR173" s="179"/>
      <c r="BS173" s="179"/>
      <c r="BZ173"/>
      <c r="CA173" s="65"/>
      <c r="CB173" s="65"/>
      <c r="CC173" s="65"/>
      <c r="CD173" s="65"/>
      <c r="CE173" s="65"/>
      <c r="CF173" s="73"/>
      <c r="CG173" s="65"/>
      <c r="CH173" s="65"/>
      <c r="CI173" s="65"/>
      <c r="CJ173" s="65"/>
      <c r="CK173" s="65"/>
      <c r="CL173" s="65"/>
      <c r="CM173" s="65"/>
      <c r="CN173" s="65"/>
      <c r="CO173" s="65"/>
      <c r="CP173" s="65"/>
      <c r="CQ173" s="72"/>
      <c r="CR173" s="72"/>
      <c r="CS173" s="65"/>
      <c r="CT173" s="65"/>
      <c r="CU173" s="65"/>
      <c r="DA173"/>
      <c r="DM173" s="60"/>
      <c r="DN173" s="60"/>
      <c r="DO173" s="60"/>
      <c r="DP173" s="57"/>
      <c r="DQ173" s="178"/>
      <c r="DR173" s="179"/>
      <c r="DZ173"/>
    </row>
    <row r="174" spans="1:130" ht="15" hidden="1" x14ac:dyDescent="0.25">
      <c r="J174"/>
      <c r="AA174"/>
      <c r="AO174" s="33"/>
      <c r="AU174">
        <f>+AT174*98/96</f>
        <v>0</v>
      </c>
      <c r="AZ174"/>
      <c r="BA174" s="58"/>
      <c r="BB174" s="58"/>
      <c r="BC174" s="58"/>
      <c r="BD174" s="58"/>
      <c r="BE174" s="58"/>
      <c r="BF174" s="58"/>
      <c r="BG174" s="58"/>
      <c r="BH174" s="58"/>
      <c r="BI174" s="58"/>
      <c r="BJ174" s="58"/>
      <c r="BK174" s="58"/>
      <c r="BL174" s="58"/>
      <c r="BM174" s="58"/>
      <c r="BN174" s="58"/>
      <c r="BO174" s="60"/>
      <c r="BP174" s="60"/>
      <c r="BQ174" s="178"/>
      <c r="BR174" s="179"/>
      <c r="BS174" s="179"/>
      <c r="BZ174"/>
      <c r="CA174" s="65"/>
      <c r="CB174" s="65"/>
      <c r="CC174" s="65"/>
      <c r="CD174" s="65"/>
      <c r="CE174" s="65"/>
      <c r="CF174" s="73"/>
      <c r="CG174" s="65"/>
      <c r="CH174" s="65"/>
      <c r="CI174" s="65"/>
      <c r="CJ174" s="65"/>
      <c r="CK174" s="65"/>
      <c r="CL174" s="65"/>
      <c r="CM174" s="65"/>
      <c r="CN174" s="65"/>
      <c r="CO174" s="65"/>
      <c r="CP174" s="65"/>
      <c r="CQ174" s="72"/>
      <c r="CR174" s="72"/>
      <c r="CS174" s="65"/>
      <c r="CT174" s="65"/>
      <c r="CU174" s="65"/>
      <c r="DA174"/>
      <c r="DM174" s="60"/>
      <c r="DN174" s="60"/>
      <c r="DO174" s="60"/>
      <c r="DP174" s="57"/>
      <c r="DQ174" s="178"/>
      <c r="DR174" s="179"/>
      <c r="DZ174"/>
    </row>
    <row r="175" spans="1:130" ht="15" hidden="1" x14ac:dyDescent="0.25">
      <c r="J175"/>
      <c r="AA175"/>
      <c r="AO175" s="33"/>
      <c r="AZ175"/>
      <c r="BA175" s="58"/>
      <c r="BB175" s="58"/>
      <c r="BC175" s="58"/>
      <c r="BD175" s="58"/>
      <c r="BE175" s="58"/>
      <c r="BF175" s="58"/>
      <c r="BG175" s="58"/>
      <c r="BH175" s="58"/>
      <c r="BI175" s="58"/>
      <c r="BJ175" s="58"/>
      <c r="BK175" s="58"/>
      <c r="BL175" s="58"/>
      <c r="BM175" s="58"/>
      <c r="BN175" s="58"/>
      <c r="BO175" s="60"/>
      <c r="BP175" s="60"/>
      <c r="BQ175" s="178"/>
      <c r="BR175" s="179"/>
      <c r="BS175" s="179"/>
      <c r="BZ175"/>
      <c r="CA175" s="65"/>
      <c r="CB175" s="65"/>
      <c r="CC175" s="65"/>
      <c r="CD175" s="65"/>
      <c r="CE175" s="65"/>
      <c r="CF175" s="73"/>
      <c r="CG175" s="65"/>
      <c r="CH175" s="65"/>
      <c r="CI175" s="65"/>
      <c r="CJ175" s="65"/>
      <c r="CK175" s="65"/>
      <c r="CL175" s="65"/>
      <c r="CM175" s="65"/>
      <c r="CN175" s="65"/>
      <c r="CO175" s="65"/>
      <c r="CP175" s="65"/>
      <c r="CQ175" s="72"/>
      <c r="CR175" s="72"/>
      <c r="CS175" s="65"/>
      <c r="CT175" s="65"/>
      <c r="CU175" s="65"/>
      <c r="DA175"/>
      <c r="DM175" s="60"/>
      <c r="DN175" s="60"/>
      <c r="DO175" s="60"/>
      <c r="DP175" s="57"/>
      <c r="DQ175" s="178"/>
      <c r="DR175" s="179"/>
      <c r="DZ175"/>
    </row>
    <row r="176" spans="1:130" ht="15" hidden="1" x14ac:dyDescent="0.25">
      <c r="J176"/>
      <c r="AA176"/>
      <c r="AO176" s="33"/>
      <c r="AZ176"/>
      <c r="BA176" s="58"/>
      <c r="BB176" s="58"/>
      <c r="BC176" s="58"/>
      <c r="BD176" s="58"/>
      <c r="BE176" s="58"/>
      <c r="BF176" s="58"/>
      <c r="BG176" s="58"/>
      <c r="BH176" s="58"/>
      <c r="BI176" s="58"/>
      <c r="BJ176" s="58"/>
      <c r="BK176" s="58"/>
      <c r="BL176" s="58"/>
      <c r="BM176" s="58"/>
      <c r="BN176" s="58"/>
      <c r="BO176" s="60"/>
      <c r="BP176" s="60"/>
      <c r="BQ176" s="178"/>
      <c r="BR176" s="179"/>
      <c r="BS176" s="179"/>
      <c r="BZ176"/>
      <c r="CA176" s="65"/>
      <c r="CB176" s="65"/>
      <c r="CC176" s="65"/>
      <c r="CD176" s="65"/>
      <c r="CE176" s="65"/>
      <c r="CF176" s="73"/>
      <c r="CG176" s="65"/>
      <c r="CH176" s="65"/>
      <c r="CI176" s="65"/>
      <c r="CJ176" s="65"/>
      <c r="CK176" s="65"/>
      <c r="CL176" s="65"/>
      <c r="CM176" s="65"/>
      <c r="CN176" s="65"/>
      <c r="CO176" s="65"/>
      <c r="CP176" s="65"/>
      <c r="CQ176" s="72"/>
      <c r="CR176" s="72"/>
      <c r="CS176" s="65"/>
      <c r="CT176" s="65"/>
      <c r="CU176" s="65"/>
      <c r="DA176"/>
      <c r="DM176" s="60"/>
      <c r="DN176" s="60"/>
      <c r="DO176" s="60"/>
      <c r="DP176" s="57"/>
      <c r="DQ176" s="178"/>
      <c r="DR176" s="179"/>
      <c r="DZ176"/>
    </row>
    <row r="177" spans="1:130" ht="15" hidden="1" x14ac:dyDescent="0.25">
      <c r="J177"/>
      <c r="AA177"/>
      <c r="AO177" s="33"/>
      <c r="AZ177"/>
      <c r="BA177" s="58"/>
      <c r="BB177" s="58"/>
      <c r="BC177" s="58"/>
      <c r="BD177" s="58"/>
      <c r="BE177" s="58"/>
      <c r="BF177" s="58"/>
      <c r="BG177" s="58"/>
      <c r="BH177" s="58"/>
      <c r="BI177" s="58"/>
      <c r="BJ177" s="58"/>
      <c r="BK177" s="58"/>
      <c r="BL177" s="58"/>
      <c r="BM177" s="58"/>
      <c r="BN177" s="58"/>
      <c r="BO177" s="60"/>
      <c r="BP177" s="60"/>
      <c r="BQ177" s="178"/>
      <c r="BR177" s="179"/>
      <c r="BS177" s="179"/>
      <c r="BZ177"/>
      <c r="CA177" s="65"/>
      <c r="CB177" s="65"/>
      <c r="CC177" s="65"/>
      <c r="CD177" s="65"/>
      <c r="CE177" s="65"/>
      <c r="CF177" s="73"/>
      <c r="CG177" s="65"/>
      <c r="CH177" s="65"/>
      <c r="CI177" s="65"/>
      <c r="CJ177" s="65"/>
      <c r="CK177" s="65"/>
      <c r="CL177" s="65"/>
      <c r="CM177" s="65"/>
      <c r="CN177" s="65"/>
      <c r="CO177" s="65"/>
      <c r="CP177" s="65"/>
      <c r="CQ177" s="72"/>
      <c r="CR177" s="72"/>
      <c r="CS177" s="65"/>
      <c r="CT177" s="65"/>
      <c r="CU177" s="65"/>
      <c r="DA177"/>
      <c r="DM177" s="60"/>
      <c r="DN177" s="60"/>
      <c r="DO177" s="60"/>
      <c r="DP177" s="57"/>
      <c r="DQ177" s="178"/>
      <c r="DR177" s="179"/>
      <c r="DZ177"/>
    </row>
    <row r="178" spans="1:130" ht="15" hidden="1" x14ac:dyDescent="0.25">
      <c r="J178"/>
      <c r="AA178"/>
      <c r="AO178" s="33"/>
      <c r="AZ178"/>
      <c r="BA178" s="58"/>
      <c r="BB178" s="58"/>
      <c r="BC178" s="58"/>
      <c r="BD178" s="58"/>
      <c r="BE178" s="58"/>
      <c r="BF178" s="58"/>
      <c r="BG178" s="58"/>
      <c r="BH178" s="58"/>
      <c r="BI178" s="58"/>
      <c r="BJ178" s="58"/>
      <c r="BK178" s="58"/>
      <c r="BL178" s="58"/>
      <c r="BM178" s="58"/>
      <c r="BN178" s="58"/>
      <c r="BO178" s="60"/>
      <c r="BP178" s="60"/>
      <c r="BQ178" s="178"/>
      <c r="BR178" s="179"/>
      <c r="BS178" s="179"/>
      <c r="BZ178"/>
      <c r="CA178" s="65"/>
      <c r="CB178" s="65"/>
      <c r="CC178" s="65"/>
      <c r="CD178" s="65"/>
      <c r="CE178" s="65"/>
      <c r="CF178" s="73"/>
      <c r="CG178" s="65"/>
      <c r="CH178" s="65"/>
      <c r="CI178" s="65"/>
      <c r="CJ178" s="65"/>
      <c r="CK178" s="65"/>
      <c r="CL178" s="65"/>
      <c r="CM178" s="65"/>
      <c r="CN178" s="65"/>
      <c r="CO178" s="65"/>
      <c r="CP178" s="65"/>
      <c r="CQ178" s="72"/>
      <c r="CR178" s="72"/>
      <c r="CS178" s="65"/>
      <c r="CT178" s="65"/>
      <c r="CU178" s="65"/>
      <c r="DA178"/>
      <c r="DM178" s="60"/>
      <c r="DN178" s="60"/>
      <c r="DO178" s="60"/>
      <c r="DP178" s="57"/>
      <c r="DQ178" s="178"/>
      <c r="DR178" s="179"/>
      <c r="DZ178"/>
    </row>
    <row r="179" spans="1:130" ht="15" hidden="1" x14ac:dyDescent="0.25">
      <c r="J179"/>
      <c r="AA179"/>
      <c r="AO179" s="33"/>
      <c r="AZ179"/>
      <c r="BA179" s="58"/>
      <c r="BB179" s="58"/>
      <c r="BC179" s="58"/>
      <c r="BD179" s="58"/>
      <c r="BE179" s="58"/>
      <c r="BF179" s="58"/>
      <c r="BG179" s="58"/>
      <c r="BH179" s="58"/>
      <c r="BI179" s="58"/>
      <c r="BJ179" s="58"/>
      <c r="BK179" s="58"/>
      <c r="BL179" s="58"/>
      <c r="BM179" s="58"/>
      <c r="BN179" s="58"/>
      <c r="BO179" s="60"/>
      <c r="BP179" s="60"/>
      <c r="BQ179" s="178"/>
      <c r="BR179" s="179"/>
      <c r="BS179" s="179"/>
      <c r="BZ179"/>
      <c r="CA179" s="65"/>
      <c r="CB179" s="65"/>
      <c r="CC179" s="65"/>
      <c r="CD179" s="65"/>
      <c r="CE179" s="65"/>
      <c r="CF179" s="73"/>
      <c r="CG179" s="65"/>
      <c r="CH179" s="65"/>
      <c r="CI179" s="65"/>
      <c r="CJ179" s="65"/>
      <c r="CK179" s="65"/>
      <c r="CL179" s="65"/>
      <c r="CM179" s="65"/>
      <c r="CN179" s="65"/>
      <c r="CO179" s="65"/>
      <c r="CP179" s="65"/>
      <c r="CQ179" s="72"/>
      <c r="CR179" s="72"/>
      <c r="CS179" s="65"/>
      <c r="CT179" s="65"/>
      <c r="CU179" s="65"/>
      <c r="DA179"/>
      <c r="DM179" s="60"/>
      <c r="DN179" s="60"/>
      <c r="DO179" s="60"/>
      <c r="DP179" s="57"/>
      <c r="DQ179" s="178"/>
      <c r="DR179" s="179"/>
      <c r="DZ179"/>
    </row>
    <row r="180" spans="1:130" ht="15" hidden="1" x14ac:dyDescent="0.25">
      <c r="J180"/>
      <c r="AA180"/>
      <c r="AO180" s="33"/>
      <c r="AZ180"/>
      <c r="BA180" s="58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60"/>
      <c r="BP180" s="60"/>
      <c r="BQ180" s="178"/>
      <c r="BR180" s="179"/>
      <c r="BS180" s="179"/>
      <c r="BZ180"/>
      <c r="CA180" s="65"/>
      <c r="CB180" s="65"/>
      <c r="CC180" s="65"/>
      <c r="CD180" s="65"/>
      <c r="CE180" s="65"/>
      <c r="CF180" s="73"/>
      <c r="CG180" s="65"/>
      <c r="CH180" s="65"/>
      <c r="CI180" s="65"/>
      <c r="CJ180" s="65"/>
      <c r="CK180" s="65"/>
      <c r="CL180" s="65"/>
      <c r="CM180" s="65"/>
      <c r="CN180" s="65"/>
      <c r="CO180" s="65"/>
      <c r="CP180" s="65"/>
      <c r="CQ180" s="72"/>
      <c r="CR180" s="72"/>
      <c r="CS180" s="65"/>
      <c r="CT180" s="65"/>
      <c r="CU180" s="65"/>
      <c r="DA180"/>
      <c r="DM180" s="60"/>
      <c r="DN180" s="60"/>
      <c r="DO180" s="60"/>
      <c r="DP180" s="57"/>
      <c r="DQ180" s="178"/>
      <c r="DR180" s="179"/>
      <c r="DZ180"/>
    </row>
    <row r="181" spans="1:130" x14ac:dyDescent="0.3">
      <c r="A181" t="s">
        <v>0</v>
      </c>
      <c r="B181" t="s">
        <v>1</v>
      </c>
      <c r="C181" t="s">
        <v>2</v>
      </c>
      <c r="D181" t="s">
        <v>3</v>
      </c>
      <c r="E181" t="s">
        <v>4</v>
      </c>
      <c r="F181" t="s">
        <v>5</v>
      </c>
      <c r="G181" t="s">
        <v>6</v>
      </c>
      <c r="H181" t="s">
        <v>48</v>
      </c>
      <c r="I181" t="s">
        <v>9</v>
      </c>
      <c r="J181" s="27"/>
      <c r="AA181" s="2" t="s">
        <v>7</v>
      </c>
      <c r="AB181" s="3" t="s">
        <v>10</v>
      </c>
      <c r="AC181" s="3" t="s">
        <v>11</v>
      </c>
      <c r="AD181" s="3" t="s">
        <v>12</v>
      </c>
      <c r="AE181" s="3" t="s">
        <v>13</v>
      </c>
      <c r="AF181" s="3" t="s">
        <v>14</v>
      </c>
      <c r="AG181" s="3" t="s">
        <v>15</v>
      </c>
      <c r="AH181" s="3" t="s">
        <v>16</v>
      </c>
      <c r="AI181" s="3" t="s">
        <v>17</v>
      </c>
      <c r="AJ181" s="3" t="s">
        <v>19</v>
      </c>
      <c r="AK181" s="3" t="s">
        <v>18</v>
      </c>
      <c r="AL181" s="3" t="s">
        <v>20</v>
      </c>
      <c r="AM181" s="4" t="s">
        <v>21</v>
      </c>
      <c r="AO181" s="45" t="s">
        <v>43</v>
      </c>
      <c r="AP181" s="5" t="s">
        <v>26</v>
      </c>
      <c r="AQ181" s="5" t="s">
        <v>25</v>
      </c>
      <c r="AR181" s="5" t="s">
        <v>24</v>
      </c>
      <c r="AT181" s="5" t="s">
        <v>10</v>
      </c>
      <c r="AU181" s="6">
        <f>'Résultats Regroupés'!AA182/100</f>
        <v>0</v>
      </c>
      <c r="AV181" s="5" t="s">
        <v>27</v>
      </c>
      <c r="AW181" s="6">
        <f>'Résultats Regroupés'!AF182</f>
        <v>0</v>
      </c>
      <c r="AZ181"/>
      <c r="BA181" s="138" t="s">
        <v>266</v>
      </c>
      <c r="BB181" s="138"/>
      <c r="BC181" s="138"/>
      <c r="BD181" s="138"/>
      <c r="BE181" s="138"/>
      <c r="BF181" s="138"/>
      <c r="BG181" s="138"/>
      <c r="BH181" s="138"/>
      <c r="BI181" s="138"/>
      <c r="BJ181" s="138"/>
      <c r="BK181" s="138"/>
      <c r="BL181" s="138"/>
      <c r="BM181" s="138"/>
      <c r="BN181" s="58"/>
      <c r="BO181" s="61"/>
      <c r="BP181" s="62">
        <v>4</v>
      </c>
      <c r="BQ181" s="178">
        <v>120</v>
      </c>
      <c r="BR181" s="178">
        <v>260</v>
      </c>
      <c r="BS181" s="178">
        <v>22</v>
      </c>
      <c r="BT181" s="178">
        <v>195</v>
      </c>
      <c r="BZ181"/>
      <c r="CA181" s="126">
        <v>7</v>
      </c>
      <c r="CB181" s="126">
        <v>52</v>
      </c>
      <c r="CC181" s="65"/>
      <c r="CD181" s="125">
        <v>152116.80000000002</v>
      </c>
      <c r="CE181" s="65"/>
      <c r="CF181" s="124">
        <v>0.86676239316239334</v>
      </c>
      <c r="CG181" s="140" t="s">
        <v>279</v>
      </c>
      <c r="CH181" s="139"/>
      <c r="CI181" s="139"/>
      <c r="CJ181" s="139"/>
      <c r="CK181" s="139"/>
      <c r="CL181" s="139"/>
      <c r="CM181" s="139"/>
      <c r="CN181" s="139"/>
      <c r="CO181" s="139"/>
      <c r="CP181" s="139"/>
      <c r="CQ181" s="139"/>
      <c r="CR181" s="139"/>
      <c r="CS181" s="123">
        <v>117</v>
      </c>
      <c r="CT181" s="123">
        <v>6</v>
      </c>
      <c r="CU181" s="65"/>
      <c r="CV181" s="65"/>
      <c r="CW181" s="65"/>
      <c r="CX181" s="65"/>
      <c r="CY181" s="65"/>
      <c r="CZ181" s="65"/>
      <c r="DA181" s="138" t="s">
        <v>280</v>
      </c>
      <c r="DB181" s="149"/>
      <c r="DC181" s="149"/>
      <c r="DD181" s="149"/>
      <c r="DE181" s="149"/>
      <c r="DF181" s="149"/>
      <c r="DG181" s="149"/>
      <c r="DH181" s="149"/>
      <c r="DI181" s="149"/>
      <c r="DJ181" s="149"/>
      <c r="DL181">
        <v>18</v>
      </c>
      <c r="DM181" s="60">
        <v>2</v>
      </c>
      <c r="DN181" s="60"/>
      <c r="DO181" s="60">
        <v>6</v>
      </c>
      <c r="DP181" s="178">
        <v>48</v>
      </c>
      <c r="DQ181" s="178">
        <v>104</v>
      </c>
      <c r="DR181" s="178">
        <v>4</v>
      </c>
      <c r="DS181" s="178">
        <v>78</v>
      </c>
      <c r="DZ181"/>
    </row>
    <row r="182" spans="1:130" hidden="1" x14ac:dyDescent="0.3">
      <c r="A182">
        <v>450</v>
      </c>
      <c r="B182">
        <v>136416</v>
      </c>
      <c r="C182">
        <v>146356</v>
      </c>
      <c r="D182">
        <v>150</v>
      </c>
      <c r="E182" t="s">
        <v>115</v>
      </c>
      <c r="F182">
        <v>750</v>
      </c>
      <c r="G182">
        <v>43722</v>
      </c>
      <c r="H182">
        <v>29148</v>
      </c>
      <c r="J182" s="2" t="s">
        <v>10</v>
      </c>
      <c r="K182" s="135"/>
      <c r="L182" s="135"/>
      <c r="M182" s="135"/>
      <c r="N182" s="135"/>
      <c r="O182" s="135"/>
      <c r="P182" s="135"/>
      <c r="Q182" s="135"/>
      <c r="R182" s="135"/>
      <c r="S182" s="135"/>
      <c r="T182" s="135"/>
      <c r="U182" s="135"/>
      <c r="V182" s="135"/>
      <c r="W182" s="136"/>
      <c r="X182" s="137"/>
      <c r="Y182" s="137"/>
      <c r="Z182" s="137"/>
      <c r="AA182" s="7" t="s">
        <v>8</v>
      </c>
      <c r="AB182" s="181">
        <f>SUM(AD182:AM182)</f>
        <v>385</v>
      </c>
      <c r="AC182" s="12">
        <v>18000</v>
      </c>
      <c r="AD182" s="181">
        <v>205</v>
      </c>
      <c r="AE182" s="181">
        <v>180</v>
      </c>
      <c r="AF182" s="181"/>
      <c r="AG182" s="181"/>
      <c r="AH182" s="181"/>
      <c r="AI182" s="181"/>
      <c r="AJ182" s="181"/>
      <c r="AK182" s="181"/>
      <c r="AL182" s="181"/>
      <c r="AM182" s="8"/>
      <c r="AO182" s="35" t="s">
        <v>256</v>
      </c>
      <c r="AP182" s="191">
        <v>24</v>
      </c>
      <c r="AQ182" s="191">
        <v>69300</v>
      </c>
      <c r="AR182" s="16">
        <v>81000</v>
      </c>
      <c r="AT182" s="40"/>
      <c r="AU182" s="51"/>
      <c r="AV182" s="52"/>
      <c r="AW182" s="50"/>
      <c r="AZ182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>
        <v>0</v>
      </c>
      <c r="BO182" s="67">
        <v>105</v>
      </c>
      <c r="BP182" s="62"/>
      <c r="BQ182" s="196">
        <v>24</v>
      </c>
      <c r="BR182" s="196">
        <v>52</v>
      </c>
      <c r="BS182" s="196">
        <v>2</v>
      </c>
      <c r="BT182" s="196">
        <v>39</v>
      </c>
      <c r="BZ182"/>
      <c r="CA182" s="65" t="s">
        <v>106</v>
      </c>
      <c r="CB182" s="65" t="s">
        <v>105</v>
      </c>
      <c r="CC182" s="65" t="s">
        <v>27</v>
      </c>
      <c r="CD182" s="65" t="s">
        <v>10</v>
      </c>
      <c r="CE182" s="65" t="s">
        <v>104</v>
      </c>
      <c r="CF182" s="73" t="s">
        <v>103</v>
      </c>
      <c r="CG182" s="122" t="s">
        <v>102</v>
      </c>
      <c r="CH182" s="122" t="s">
        <v>101</v>
      </c>
      <c r="CI182" s="122" t="s">
        <v>100</v>
      </c>
      <c r="CJ182" s="122" t="s">
        <v>99</v>
      </c>
      <c r="CK182" s="122" t="s">
        <v>98</v>
      </c>
      <c r="CL182" s="122" t="s">
        <v>97</v>
      </c>
      <c r="CM182" s="122" t="s">
        <v>96</v>
      </c>
      <c r="CN182" s="122" t="s">
        <v>95</v>
      </c>
      <c r="CO182" s="122" t="s">
        <v>94</v>
      </c>
      <c r="CP182" s="122" t="s">
        <v>93</v>
      </c>
      <c r="CQ182" s="121" t="s">
        <v>87</v>
      </c>
      <c r="CR182" s="121" t="s">
        <v>92</v>
      </c>
      <c r="CS182" s="65" t="s">
        <v>91</v>
      </c>
      <c r="CT182" s="65" t="s">
        <v>88</v>
      </c>
      <c r="CU182" s="65"/>
      <c r="CV182" t="s">
        <v>90</v>
      </c>
      <c r="CZ182" t="s">
        <v>27</v>
      </c>
      <c r="DA182"/>
      <c r="DM182" s="60">
        <v>1</v>
      </c>
      <c r="DN182" s="60">
        <v>92</v>
      </c>
      <c r="DO182" s="60"/>
      <c r="DP182" s="178">
        <v>24</v>
      </c>
      <c r="DQ182" s="178">
        <v>52</v>
      </c>
      <c r="DR182" s="178">
        <v>2</v>
      </c>
      <c r="DS182" s="178">
        <v>39</v>
      </c>
      <c r="DZ182"/>
    </row>
    <row r="183" spans="1:130" ht="15.75" hidden="1" thickBot="1" x14ac:dyDescent="0.3">
      <c r="A183">
        <v>450</v>
      </c>
      <c r="B183">
        <v>136416</v>
      </c>
      <c r="C183">
        <v>154941</v>
      </c>
      <c r="D183">
        <v>160</v>
      </c>
      <c r="E183" t="s">
        <v>115</v>
      </c>
      <c r="F183">
        <v>750</v>
      </c>
      <c r="G183">
        <v>2400</v>
      </c>
      <c r="H183">
        <v>1500</v>
      </c>
      <c r="J183" s="7">
        <f t="shared" ref="J183:J188" si="6">SUM(L183:U183)</f>
        <v>0</v>
      </c>
      <c r="W183" s="33"/>
      <c r="X183" s="15"/>
      <c r="Y183" s="15"/>
      <c r="Z183" s="15"/>
      <c r="AA183" s="7" t="s">
        <v>29</v>
      </c>
      <c r="AB183" s="181">
        <f>SUM(AD183:AM183)</f>
        <v>340</v>
      </c>
      <c r="AC183" s="13">
        <v>1500</v>
      </c>
      <c r="AD183" s="181">
        <v>180</v>
      </c>
      <c r="AE183" s="181">
        <v>160</v>
      </c>
      <c r="AF183" s="181"/>
      <c r="AG183" s="181"/>
      <c r="AH183" s="181"/>
      <c r="AI183" s="181"/>
      <c r="AJ183" s="181"/>
      <c r="AK183" s="181"/>
      <c r="AL183" s="181"/>
      <c r="AM183" s="8"/>
      <c r="AO183" s="35" t="s">
        <v>257</v>
      </c>
      <c r="AP183" s="191">
        <v>2</v>
      </c>
      <c r="AQ183" s="191">
        <v>5100</v>
      </c>
      <c r="AR183" s="16">
        <v>6750</v>
      </c>
      <c r="AT183" s="56"/>
      <c r="AU183" s="55"/>
      <c r="AV183" s="54"/>
      <c r="AW183" s="53"/>
      <c r="AZ183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65">
        <v>117</v>
      </c>
      <c r="BO183" s="63">
        <v>65</v>
      </c>
      <c r="BP183" s="64">
        <v>4</v>
      </c>
      <c r="BQ183" s="178">
        <v>24</v>
      </c>
      <c r="BR183" s="179">
        <v>52</v>
      </c>
      <c r="BS183" s="179">
        <v>2</v>
      </c>
      <c r="BT183" s="179">
        <v>39</v>
      </c>
      <c r="BZ183"/>
      <c r="CA183" s="105" t="s">
        <v>78</v>
      </c>
      <c r="CB183" s="105">
        <v>11</v>
      </c>
      <c r="CC183" s="105">
        <v>750</v>
      </c>
      <c r="CD183" s="105">
        <v>450</v>
      </c>
      <c r="CE183" s="105">
        <v>410</v>
      </c>
      <c r="CF183" s="108">
        <v>0.91111111111111109</v>
      </c>
      <c r="CG183" s="114">
        <v>205</v>
      </c>
      <c r="CH183" s="114">
        <v>205</v>
      </c>
      <c r="CI183" s="106"/>
      <c r="CJ183" s="106"/>
      <c r="CK183" s="106"/>
      <c r="CL183" s="106"/>
      <c r="CM183" s="106"/>
      <c r="CN183" s="106"/>
      <c r="CO183" s="106"/>
      <c r="CP183" s="106"/>
      <c r="CQ183" s="107" t="s">
        <v>269</v>
      </c>
      <c r="CR183" s="107" t="s">
        <v>270</v>
      </c>
      <c r="CS183" s="183">
        <v>22</v>
      </c>
      <c r="CT183" s="184">
        <v>1</v>
      </c>
      <c r="CU183" s="65"/>
      <c r="CV183" t="s">
        <v>88</v>
      </c>
      <c r="CW183" t="s">
        <v>87</v>
      </c>
      <c r="CX183" t="s">
        <v>86</v>
      </c>
      <c r="CZ183" s="119">
        <v>205</v>
      </c>
      <c r="DA183"/>
      <c r="DM183" s="60">
        <v>52</v>
      </c>
      <c r="DN183" s="60">
        <v>52</v>
      </c>
      <c r="DO183" s="60">
        <v>4</v>
      </c>
      <c r="DP183" s="178">
        <v>24</v>
      </c>
      <c r="DQ183" s="178">
        <v>52</v>
      </c>
      <c r="DR183" s="178">
        <v>2</v>
      </c>
      <c r="DS183" s="179">
        <v>39</v>
      </c>
      <c r="DZ183"/>
    </row>
    <row r="184" spans="1:130" ht="15.75" hidden="1" thickBot="1" x14ac:dyDescent="0.3">
      <c r="A184">
        <v>450</v>
      </c>
      <c r="B184">
        <v>136416</v>
      </c>
      <c r="C184">
        <v>146358</v>
      </c>
      <c r="D184">
        <v>180</v>
      </c>
      <c r="E184" t="s">
        <v>115</v>
      </c>
      <c r="F184">
        <v>750</v>
      </c>
      <c r="G184">
        <v>69094</v>
      </c>
      <c r="H184">
        <v>38386</v>
      </c>
      <c r="J184" s="7">
        <f t="shared" si="6"/>
        <v>0</v>
      </c>
      <c r="W184" s="33"/>
      <c r="X184" s="15"/>
      <c r="Y184" s="15"/>
      <c r="Z184" s="15"/>
      <c r="AA184" s="7" t="s">
        <v>30</v>
      </c>
      <c r="AB184" s="181">
        <f>SUM(AD184:AM184)</f>
        <v>330</v>
      </c>
      <c r="AC184" s="13">
        <v>19500</v>
      </c>
      <c r="AD184" s="181">
        <v>180</v>
      </c>
      <c r="AE184" s="181">
        <v>150</v>
      </c>
      <c r="AF184" s="181"/>
      <c r="AG184" s="181"/>
      <c r="AH184" s="181"/>
      <c r="AI184" s="181"/>
      <c r="AJ184" s="181"/>
      <c r="AK184" s="181"/>
      <c r="AL184" s="181"/>
      <c r="AM184" s="8"/>
      <c r="AO184" s="35" t="s">
        <v>258</v>
      </c>
      <c r="AP184" s="191">
        <v>26</v>
      </c>
      <c r="AQ184" s="191">
        <v>64350</v>
      </c>
      <c r="AR184" s="16">
        <v>87750</v>
      </c>
      <c r="AT184" s="36"/>
      <c r="AU184" s="38"/>
      <c r="AV184" s="37"/>
      <c r="AW184" s="39"/>
      <c r="AZ184"/>
      <c r="BA184" s="59" t="s">
        <v>7</v>
      </c>
      <c r="BB184" s="59" t="s">
        <v>10</v>
      </c>
      <c r="BC184" s="59" t="s">
        <v>11</v>
      </c>
      <c r="BD184" s="59" t="s">
        <v>12</v>
      </c>
      <c r="BE184" s="59" t="s">
        <v>13</v>
      </c>
      <c r="BF184" s="59" t="s">
        <v>14</v>
      </c>
      <c r="BG184" s="59" t="s">
        <v>15</v>
      </c>
      <c r="BH184" s="59" t="s">
        <v>16</v>
      </c>
      <c r="BI184" s="59" t="s">
        <v>17</v>
      </c>
      <c r="BJ184" s="59" t="s">
        <v>19</v>
      </c>
      <c r="BK184" s="59" t="s">
        <v>18</v>
      </c>
      <c r="BL184" s="59" t="s">
        <v>20</v>
      </c>
      <c r="BM184" s="59" t="s">
        <v>21</v>
      </c>
      <c r="BN184" s="59" t="s">
        <v>46</v>
      </c>
      <c r="BO184" s="63" t="s">
        <v>44</v>
      </c>
      <c r="BP184" s="64" t="s">
        <v>45</v>
      </c>
      <c r="BQ184" s="178" t="s">
        <v>263</v>
      </c>
      <c r="BR184" s="197" t="s">
        <v>264</v>
      </c>
      <c r="BS184" s="197" t="s">
        <v>217</v>
      </c>
      <c r="BT184" s="197" t="s">
        <v>265</v>
      </c>
      <c r="BZ184"/>
      <c r="CA184" s="105" t="s">
        <v>77</v>
      </c>
      <c r="CB184" s="105">
        <v>2</v>
      </c>
      <c r="CC184" s="105">
        <v>750</v>
      </c>
      <c r="CD184" s="105">
        <v>450</v>
      </c>
      <c r="CE184" s="105">
        <v>385</v>
      </c>
      <c r="CF184" s="108">
        <v>0.85555555555555551</v>
      </c>
      <c r="CG184" s="114">
        <v>205</v>
      </c>
      <c r="CH184" s="109">
        <v>180</v>
      </c>
      <c r="CI184" s="106"/>
      <c r="CJ184" s="106"/>
      <c r="CK184" s="106"/>
      <c r="CL184" s="106"/>
      <c r="CM184" s="106"/>
      <c r="CN184" s="106"/>
      <c r="CO184" s="106"/>
      <c r="CP184" s="106"/>
      <c r="CQ184" s="107" t="s">
        <v>271</v>
      </c>
      <c r="CR184" s="107" t="s">
        <v>272</v>
      </c>
      <c r="CS184" s="183">
        <v>4</v>
      </c>
      <c r="CT184" s="184">
        <v>2</v>
      </c>
      <c r="CU184" s="65"/>
      <c r="CV184">
        <v>6</v>
      </c>
      <c r="CW184" t="s">
        <v>267</v>
      </c>
      <c r="CX184" s="186">
        <v>2</v>
      </c>
      <c r="CZ184" s="71">
        <v>180</v>
      </c>
      <c r="DA184" s="65" t="s">
        <v>102</v>
      </c>
      <c r="DB184" s="65" t="s">
        <v>101</v>
      </c>
      <c r="DC184" s="65" t="s">
        <v>100</v>
      </c>
      <c r="DD184" s="65" t="s">
        <v>99</v>
      </c>
      <c r="DE184" s="65" t="s">
        <v>98</v>
      </c>
      <c r="DF184" s="65" t="s">
        <v>97</v>
      </c>
      <c r="DG184" s="65" t="s">
        <v>96</v>
      </c>
      <c r="DH184" s="65" t="s">
        <v>95</v>
      </c>
      <c r="DI184" s="65" t="s">
        <v>94</v>
      </c>
      <c r="DJ184" s="65" t="s">
        <v>93</v>
      </c>
      <c r="DK184" s="133" t="s">
        <v>87</v>
      </c>
      <c r="DL184" s="133" t="s">
        <v>92</v>
      </c>
      <c r="DM184" s="132" t="s">
        <v>114</v>
      </c>
      <c r="DN184" s="132" t="s">
        <v>44</v>
      </c>
      <c r="DO184" s="132" t="s">
        <v>45</v>
      </c>
      <c r="DP184" s="57" t="s">
        <v>263</v>
      </c>
      <c r="DQ184" s="178" t="s">
        <v>264</v>
      </c>
      <c r="DR184" s="178" t="s">
        <v>217</v>
      </c>
      <c r="DS184" s="66" t="s">
        <v>265</v>
      </c>
      <c r="DZ184"/>
    </row>
    <row r="185" spans="1:130" ht="15.75" hidden="1" thickBot="1" x14ac:dyDescent="0.3">
      <c r="A185">
        <v>450</v>
      </c>
      <c r="B185">
        <v>136416</v>
      </c>
      <c r="C185">
        <v>151539</v>
      </c>
      <c r="D185">
        <v>205</v>
      </c>
      <c r="E185" t="s">
        <v>115</v>
      </c>
      <c r="F185">
        <v>750</v>
      </c>
      <c r="G185">
        <v>36900</v>
      </c>
      <c r="H185">
        <v>18000</v>
      </c>
      <c r="J185" s="7">
        <f t="shared" si="6"/>
        <v>0</v>
      </c>
      <c r="W185" s="33"/>
      <c r="X185" s="15"/>
      <c r="Y185" s="15"/>
      <c r="Z185" s="15"/>
      <c r="AA185" s="9" t="s">
        <v>31</v>
      </c>
      <c r="AB185" s="10">
        <f>SUM(AD185:AM185)</f>
        <v>150</v>
      </c>
      <c r="AC185" s="14">
        <v>9750</v>
      </c>
      <c r="AD185" s="10">
        <v>150</v>
      </c>
      <c r="AE185" s="10"/>
      <c r="AF185" s="10"/>
      <c r="AG185" s="10"/>
      <c r="AH185" s="10"/>
      <c r="AI185" s="10"/>
      <c r="AJ185" s="10"/>
      <c r="AK185" s="10"/>
      <c r="AL185" s="10"/>
      <c r="AM185" s="11"/>
      <c r="AO185" s="35" t="s">
        <v>259</v>
      </c>
      <c r="AP185" s="191">
        <v>13</v>
      </c>
      <c r="AQ185" s="191">
        <v>14625</v>
      </c>
      <c r="AR185" s="16">
        <v>43875</v>
      </c>
      <c r="AT185" s="41"/>
      <c r="AU185" s="42"/>
      <c r="AV185" s="43"/>
      <c r="AW185" s="44"/>
      <c r="AZ185"/>
      <c r="BA185" s="192" t="s">
        <v>8</v>
      </c>
      <c r="BB185" s="192">
        <v>385</v>
      </c>
      <c r="BC185" s="192">
        <v>18000</v>
      </c>
      <c r="BD185" s="192">
        <v>205</v>
      </c>
      <c r="BE185" s="192">
        <v>180</v>
      </c>
      <c r="BF185" s="192"/>
      <c r="BG185" s="192"/>
      <c r="BH185" s="192"/>
      <c r="BI185" s="192"/>
      <c r="BJ185" s="192"/>
      <c r="BK185" s="192"/>
      <c r="BL185" s="192"/>
      <c r="BM185" s="192"/>
      <c r="BN185" s="193">
        <v>2</v>
      </c>
      <c r="BO185" s="68">
        <v>24</v>
      </c>
      <c r="BP185" s="194">
        <v>1</v>
      </c>
      <c r="BQ185" s="177">
        <v>1</v>
      </c>
      <c r="BR185" s="180">
        <v>1</v>
      </c>
      <c r="BS185" s="180">
        <v>0</v>
      </c>
      <c r="BT185" s="180">
        <v>0</v>
      </c>
      <c r="BZ185"/>
      <c r="CA185" s="105" t="s">
        <v>76</v>
      </c>
      <c r="CB185" s="105">
        <v>24</v>
      </c>
      <c r="CC185" s="105">
        <v>750</v>
      </c>
      <c r="CD185" s="105">
        <v>450</v>
      </c>
      <c r="CE185" s="105">
        <v>360</v>
      </c>
      <c r="CF185" s="108">
        <v>0.8</v>
      </c>
      <c r="CG185" s="109">
        <v>180</v>
      </c>
      <c r="CH185" s="109">
        <v>180</v>
      </c>
      <c r="CI185" s="106"/>
      <c r="CJ185" s="106"/>
      <c r="CK185" s="106"/>
      <c r="CL185" s="106"/>
      <c r="CM185" s="106"/>
      <c r="CN185" s="106"/>
      <c r="CO185" s="106"/>
      <c r="CP185" s="106"/>
      <c r="CQ185" s="107" t="s">
        <v>273</v>
      </c>
      <c r="CR185" s="107" t="s">
        <v>274</v>
      </c>
      <c r="CS185" s="183">
        <v>48</v>
      </c>
      <c r="CT185" s="184">
        <v>3</v>
      </c>
      <c r="CU185" s="65"/>
      <c r="CV185">
        <v>4</v>
      </c>
      <c r="CW185" t="s">
        <v>275</v>
      </c>
      <c r="CX185" s="186">
        <v>1</v>
      </c>
      <c r="CZ185" s="118">
        <v>180</v>
      </c>
      <c r="DA185" s="172">
        <v>205</v>
      </c>
      <c r="DB185" s="172">
        <v>205</v>
      </c>
      <c r="DC185" s="172"/>
      <c r="DD185" s="172"/>
      <c r="DE185" s="172"/>
      <c r="DF185" s="170"/>
      <c r="DG185" s="170"/>
      <c r="DH185" s="170"/>
      <c r="DI185" s="170"/>
      <c r="DJ185" s="170"/>
      <c r="DK185" s="173" t="s">
        <v>269</v>
      </c>
      <c r="DL185" s="173" t="s">
        <v>270</v>
      </c>
      <c r="DM185" s="175">
        <v>11</v>
      </c>
      <c r="DN185" s="175">
        <v>12</v>
      </c>
      <c r="DO185" s="175">
        <v>1</v>
      </c>
      <c r="DP185" s="177">
        <v>2</v>
      </c>
      <c r="DQ185" s="180">
        <v>0</v>
      </c>
      <c r="DR185" s="180">
        <v>0</v>
      </c>
      <c r="DS185" s="180">
        <v>0</v>
      </c>
      <c r="DZ185"/>
    </row>
    <row r="186" spans="1:130" ht="15.75" hidden="1" thickBot="1" x14ac:dyDescent="0.3">
      <c r="J186" s="7">
        <f t="shared" si="6"/>
        <v>0</v>
      </c>
      <c r="W186" s="33"/>
      <c r="X186" s="15"/>
      <c r="Y186" s="15"/>
      <c r="Z186" s="15"/>
      <c r="AA186"/>
      <c r="AO186" s="45" t="s">
        <v>260</v>
      </c>
      <c r="AP186" s="17">
        <f>SUM(AP182:AP185)</f>
        <v>65</v>
      </c>
      <c r="AQ186" s="17">
        <f>SUM(AQ182:AQ185)</f>
        <v>153375</v>
      </c>
      <c r="AR186" s="17">
        <f>SUM(AR182:AR185)</f>
        <v>219375</v>
      </c>
      <c r="AT186" s="46"/>
      <c r="AU186" s="47"/>
      <c r="AV186" s="48"/>
      <c r="AW186" s="49"/>
      <c r="AZ186"/>
      <c r="BA186" s="192" t="s">
        <v>29</v>
      </c>
      <c r="BB186" s="192">
        <v>340</v>
      </c>
      <c r="BC186" s="192">
        <v>1500</v>
      </c>
      <c r="BD186" s="192">
        <v>180</v>
      </c>
      <c r="BE186" s="192">
        <v>160</v>
      </c>
      <c r="BF186" s="192"/>
      <c r="BG186" s="192"/>
      <c r="BH186" s="192"/>
      <c r="BI186" s="192"/>
      <c r="BJ186" s="192"/>
      <c r="BK186" s="192"/>
      <c r="BL186" s="192"/>
      <c r="BM186" s="192"/>
      <c r="BN186" s="193">
        <v>2</v>
      </c>
      <c r="BO186" s="69">
        <v>2</v>
      </c>
      <c r="BP186" s="195">
        <v>1</v>
      </c>
      <c r="BQ186" s="177">
        <v>0</v>
      </c>
      <c r="BR186" s="180">
        <v>1</v>
      </c>
      <c r="BS186" s="180">
        <v>1</v>
      </c>
      <c r="BT186" s="180">
        <v>0</v>
      </c>
      <c r="BZ186"/>
      <c r="CA186" s="105" t="s">
        <v>75</v>
      </c>
      <c r="CB186" s="105">
        <v>1</v>
      </c>
      <c r="CC186" s="105">
        <v>750</v>
      </c>
      <c r="CD186" s="105">
        <v>450</v>
      </c>
      <c r="CE186" s="105">
        <v>340</v>
      </c>
      <c r="CF186" s="108">
        <v>0.75555555555555554</v>
      </c>
      <c r="CG186" s="109">
        <v>180</v>
      </c>
      <c r="CH186" s="150">
        <v>160</v>
      </c>
      <c r="CI186" s="106"/>
      <c r="CJ186" s="106"/>
      <c r="CK186" s="106"/>
      <c r="CL186" s="106"/>
      <c r="CM186" s="106"/>
      <c r="CN186" s="106"/>
      <c r="CO186" s="106"/>
      <c r="CP186" s="106"/>
      <c r="CQ186" s="107" t="s">
        <v>275</v>
      </c>
      <c r="CR186" s="107" t="s">
        <v>276</v>
      </c>
      <c r="CS186" s="183">
        <v>2</v>
      </c>
      <c r="CT186" s="184">
        <v>4</v>
      </c>
      <c r="CU186" s="65"/>
      <c r="CV186">
        <v>5</v>
      </c>
      <c r="CW186" t="s">
        <v>277</v>
      </c>
      <c r="CX186" s="186">
        <v>1</v>
      </c>
      <c r="CZ186" s="117">
        <v>160</v>
      </c>
      <c r="DA186" s="172">
        <v>205</v>
      </c>
      <c r="DB186" s="172">
        <v>180</v>
      </c>
      <c r="DC186" s="172"/>
      <c r="DD186" s="172"/>
      <c r="DE186" s="172"/>
      <c r="DF186" s="170"/>
      <c r="DG186" s="170"/>
      <c r="DH186" s="170"/>
      <c r="DI186" s="170"/>
      <c r="DJ186" s="170"/>
      <c r="DK186" s="174" t="s">
        <v>271</v>
      </c>
      <c r="DL186" s="174" t="s">
        <v>272</v>
      </c>
      <c r="DM186" s="176">
        <v>2</v>
      </c>
      <c r="DN186" s="176">
        <v>0</v>
      </c>
      <c r="DO186" s="176">
        <v>0</v>
      </c>
      <c r="DP186" s="177">
        <v>1</v>
      </c>
      <c r="DQ186" s="180">
        <v>1</v>
      </c>
      <c r="DR186" s="180">
        <v>0</v>
      </c>
      <c r="DS186" s="180">
        <v>0</v>
      </c>
      <c r="DZ186"/>
    </row>
    <row r="187" spans="1:130" ht="15.75" hidden="1" thickBot="1" x14ac:dyDescent="0.3">
      <c r="J187" s="7">
        <f t="shared" si="6"/>
        <v>0</v>
      </c>
      <c r="W187" s="33"/>
      <c r="X187" s="15"/>
      <c r="Y187" s="15"/>
      <c r="Z187" s="15"/>
      <c r="AA187"/>
      <c r="AO187" s="33" t="s">
        <v>261</v>
      </c>
      <c r="AP187" s="15"/>
      <c r="AQ187" s="15" t="s">
        <v>36</v>
      </c>
      <c r="AR187" s="15">
        <v>66000</v>
      </c>
      <c r="AZ187"/>
      <c r="BA187" s="192" t="s">
        <v>30</v>
      </c>
      <c r="BB187" s="192">
        <v>330</v>
      </c>
      <c r="BC187" s="192">
        <v>19500</v>
      </c>
      <c r="BD187" s="192">
        <v>180</v>
      </c>
      <c r="BE187" s="192">
        <v>150</v>
      </c>
      <c r="BF187" s="192"/>
      <c r="BG187" s="192"/>
      <c r="BH187" s="192"/>
      <c r="BI187" s="192"/>
      <c r="BJ187" s="192"/>
      <c r="BK187" s="192"/>
      <c r="BL187" s="192"/>
      <c r="BM187" s="192"/>
      <c r="BN187" s="193">
        <v>2</v>
      </c>
      <c r="BO187" s="69">
        <v>26</v>
      </c>
      <c r="BP187" s="195">
        <v>1</v>
      </c>
      <c r="BQ187" s="177">
        <v>0</v>
      </c>
      <c r="BR187" s="180">
        <v>1</v>
      </c>
      <c r="BS187" s="180">
        <v>0</v>
      </c>
      <c r="BT187" s="180">
        <v>1</v>
      </c>
      <c r="BZ187"/>
      <c r="CA187" s="105" t="s">
        <v>74</v>
      </c>
      <c r="CB187" s="105">
        <v>1</v>
      </c>
      <c r="CC187" s="105">
        <v>750</v>
      </c>
      <c r="CD187" s="105">
        <v>450</v>
      </c>
      <c r="CE187" s="105">
        <v>340</v>
      </c>
      <c r="CF187" s="108">
        <v>0.42808888888888891</v>
      </c>
      <c r="CG187" s="150">
        <v>160</v>
      </c>
      <c r="CH187" s="109">
        <v>180</v>
      </c>
      <c r="CI187" s="106"/>
      <c r="CJ187" s="106"/>
      <c r="CK187" s="106"/>
      <c r="CL187" s="106"/>
      <c r="CM187" s="106"/>
      <c r="CN187" s="106"/>
      <c r="CO187" s="106"/>
      <c r="CP187" s="106"/>
      <c r="CQ187" s="107" t="s">
        <v>277</v>
      </c>
      <c r="CR187" s="107" t="s">
        <v>278</v>
      </c>
      <c r="CS187" s="183">
        <v>2</v>
      </c>
      <c r="CT187" s="184">
        <v>5</v>
      </c>
      <c r="CU187" s="65"/>
      <c r="CV187">
        <v>2</v>
      </c>
      <c r="CW187" t="s">
        <v>271</v>
      </c>
      <c r="CX187" s="186">
        <v>1</v>
      </c>
      <c r="CZ187" s="19">
        <v>150</v>
      </c>
      <c r="DA187" s="172">
        <v>180</v>
      </c>
      <c r="DB187" s="172">
        <v>180</v>
      </c>
      <c r="DC187" s="172"/>
      <c r="DD187" s="172"/>
      <c r="DE187" s="172"/>
      <c r="DF187" s="170"/>
      <c r="DG187" s="170"/>
      <c r="DH187" s="170"/>
      <c r="DI187" s="170"/>
      <c r="DJ187" s="170"/>
      <c r="DK187" s="174" t="s">
        <v>273</v>
      </c>
      <c r="DL187" s="174" t="s">
        <v>274</v>
      </c>
      <c r="DM187" s="176">
        <v>24</v>
      </c>
      <c r="DN187" s="176">
        <v>25</v>
      </c>
      <c r="DO187" s="176">
        <v>1</v>
      </c>
      <c r="DP187" s="177">
        <v>0</v>
      </c>
      <c r="DQ187" s="180">
        <v>2</v>
      </c>
      <c r="DR187" s="180">
        <v>0</v>
      </c>
      <c r="DS187" s="180">
        <v>0</v>
      </c>
      <c r="DZ187"/>
    </row>
    <row r="188" spans="1:130" ht="15.75" hidden="1" thickBot="1" x14ac:dyDescent="0.3">
      <c r="J188" s="7">
        <f t="shared" si="6"/>
        <v>0</v>
      </c>
      <c r="W188" s="33"/>
      <c r="X188" s="15"/>
      <c r="Y188" s="15"/>
      <c r="Z188" s="15"/>
      <c r="AA188"/>
      <c r="AO188" s="33"/>
      <c r="AP188" s="15"/>
      <c r="AQ188" s="15" t="s">
        <v>41</v>
      </c>
      <c r="AR188" s="15" t="s">
        <v>262</v>
      </c>
      <c r="AZ188"/>
      <c r="BA188" s="192" t="s">
        <v>31</v>
      </c>
      <c r="BB188" s="192">
        <v>150</v>
      </c>
      <c r="BC188" s="192">
        <v>9750</v>
      </c>
      <c r="BD188" s="192">
        <v>150</v>
      </c>
      <c r="BE188" s="192"/>
      <c r="BF188" s="192"/>
      <c r="BG188" s="192"/>
      <c r="BH188" s="192"/>
      <c r="BI188" s="192"/>
      <c r="BJ188" s="192"/>
      <c r="BK188" s="192"/>
      <c r="BL188" s="192"/>
      <c r="BM188" s="192"/>
      <c r="BN188" s="193">
        <v>1</v>
      </c>
      <c r="BO188" s="69">
        <v>13</v>
      </c>
      <c r="BP188" s="195">
        <v>1</v>
      </c>
      <c r="BQ188" s="177">
        <v>0</v>
      </c>
      <c r="BR188" s="180">
        <v>0</v>
      </c>
      <c r="BS188" s="180">
        <v>0</v>
      </c>
      <c r="BT188" s="180">
        <v>1</v>
      </c>
      <c r="BZ188"/>
      <c r="CA188" s="105" t="s">
        <v>81</v>
      </c>
      <c r="CB188" s="105">
        <v>12</v>
      </c>
      <c r="CC188" s="105">
        <v>750</v>
      </c>
      <c r="CD188" s="105">
        <v>450</v>
      </c>
      <c r="CE188" s="105">
        <v>450</v>
      </c>
      <c r="CF188" s="108">
        <v>1</v>
      </c>
      <c r="CG188" s="187">
        <v>150</v>
      </c>
      <c r="CH188" s="187">
        <v>150</v>
      </c>
      <c r="CI188" s="187">
        <v>150</v>
      </c>
      <c r="CJ188" s="106"/>
      <c r="CK188" s="106"/>
      <c r="CL188" s="106"/>
      <c r="CM188" s="106"/>
      <c r="CN188" s="106"/>
      <c r="CO188" s="106"/>
      <c r="CP188" s="106"/>
      <c r="CQ188" s="107" t="s">
        <v>267</v>
      </c>
      <c r="CR188" s="107" t="s">
        <v>268</v>
      </c>
      <c r="CS188" s="183">
        <v>36</v>
      </c>
      <c r="CT188" s="184">
        <v>6</v>
      </c>
      <c r="CU188" s="65"/>
      <c r="CV188">
        <v>1</v>
      </c>
      <c r="CW188" t="s">
        <v>269</v>
      </c>
      <c r="CX188" s="186">
        <v>1</v>
      </c>
      <c r="CZ188" s="115">
        <v>150</v>
      </c>
      <c r="DA188" s="172">
        <v>180</v>
      </c>
      <c r="DB188" s="172">
        <v>160</v>
      </c>
      <c r="DC188" s="172"/>
      <c r="DD188" s="172"/>
      <c r="DE188" s="172"/>
      <c r="DF188" s="170"/>
      <c r="DG188" s="170"/>
      <c r="DH188" s="170"/>
      <c r="DI188" s="170"/>
      <c r="DJ188" s="170"/>
      <c r="DK188" s="174" t="s">
        <v>275</v>
      </c>
      <c r="DL188" s="174" t="s">
        <v>276</v>
      </c>
      <c r="DM188" s="176">
        <v>1</v>
      </c>
      <c r="DN188" s="176">
        <v>0</v>
      </c>
      <c r="DO188" s="176">
        <v>0</v>
      </c>
      <c r="DP188" s="177">
        <v>0</v>
      </c>
      <c r="DQ188" s="180">
        <v>1</v>
      </c>
      <c r="DR188" s="180">
        <v>1</v>
      </c>
      <c r="DS188" s="180">
        <v>0</v>
      </c>
      <c r="DZ188"/>
    </row>
    <row r="189" spans="1:130" ht="15.75" hidden="1" thickBot="1" x14ac:dyDescent="0.3">
      <c r="J189"/>
      <c r="W189" s="136"/>
      <c r="X189" s="137"/>
      <c r="Y189" s="137"/>
      <c r="Z189" s="137"/>
      <c r="AA189"/>
      <c r="AO189" s="33"/>
      <c r="AZ189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60"/>
      <c r="BP189" s="60"/>
      <c r="BQ189" s="178"/>
      <c r="BR189" s="179"/>
      <c r="BS189" s="179"/>
      <c r="BT189" s="179"/>
      <c r="BZ189"/>
      <c r="CA189" s="105" t="s">
        <v>79</v>
      </c>
      <c r="CB189" s="105">
        <v>1</v>
      </c>
      <c r="CC189" s="105">
        <v>750</v>
      </c>
      <c r="CD189" s="105">
        <v>450</v>
      </c>
      <c r="CE189" s="105">
        <v>450</v>
      </c>
      <c r="CF189" s="108">
        <v>0.95466666666666666</v>
      </c>
      <c r="CG189" s="187">
        <v>150</v>
      </c>
      <c r="CH189" s="187">
        <v>150</v>
      </c>
      <c r="CI189" s="187">
        <v>150</v>
      </c>
      <c r="CJ189" s="106"/>
      <c r="CK189" s="106"/>
      <c r="CL189" s="106"/>
      <c r="CM189" s="106"/>
      <c r="CN189" s="106"/>
      <c r="CO189" s="106"/>
      <c r="CP189" s="106"/>
      <c r="CQ189" s="107" t="s">
        <v>267</v>
      </c>
      <c r="CR189" s="107" t="s">
        <v>268</v>
      </c>
      <c r="CS189" s="183">
        <v>3</v>
      </c>
      <c r="CT189" s="184">
        <v>6</v>
      </c>
      <c r="CU189" s="65"/>
      <c r="CV189">
        <v>3</v>
      </c>
      <c r="CW189" t="s">
        <v>273</v>
      </c>
      <c r="CX189" s="186">
        <v>1</v>
      </c>
      <c r="CZ189" s="113"/>
      <c r="DA189" s="172">
        <v>160</v>
      </c>
      <c r="DB189" s="172">
        <v>180</v>
      </c>
      <c r="DC189" s="172"/>
      <c r="DD189" s="172"/>
      <c r="DE189" s="172"/>
      <c r="DF189" s="170"/>
      <c r="DG189" s="170"/>
      <c r="DH189" s="170"/>
      <c r="DI189" s="170"/>
      <c r="DJ189" s="170"/>
      <c r="DK189" s="174" t="s">
        <v>277</v>
      </c>
      <c r="DL189" s="174" t="s">
        <v>278</v>
      </c>
      <c r="DM189" s="176">
        <v>1</v>
      </c>
      <c r="DN189" s="176">
        <v>2</v>
      </c>
      <c r="DO189" s="176">
        <v>1</v>
      </c>
      <c r="DP189" s="177">
        <v>0</v>
      </c>
      <c r="DQ189" s="180">
        <v>1</v>
      </c>
      <c r="DR189" s="180">
        <v>1</v>
      </c>
      <c r="DS189" s="180">
        <v>0</v>
      </c>
      <c r="DZ189"/>
    </row>
    <row r="190" spans="1:130" ht="15" hidden="1" x14ac:dyDescent="0.25">
      <c r="J190"/>
      <c r="W190" s="33"/>
      <c r="X190" s="15"/>
      <c r="Y190" s="15"/>
      <c r="Z190" s="15"/>
      <c r="AA190"/>
      <c r="AO190" s="33"/>
      <c r="AZ190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60"/>
      <c r="BP190" s="60"/>
      <c r="BQ190" s="178"/>
      <c r="BR190" s="179"/>
      <c r="BS190" s="179"/>
      <c r="BT190" s="179"/>
      <c r="BZ190"/>
      <c r="CA190" s="65"/>
      <c r="CB190" s="65"/>
      <c r="CC190" s="65"/>
      <c r="CD190" s="65"/>
      <c r="CE190" s="65"/>
      <c r="CF190" s="73"/>
      <c r="CG190" s="65"/>
      <c r="CH190" s="65"/>
      <c r="CI190" s="65"/>
      <c r="CJ190" s="65"/>
      <c r="CK190" s="65"/>
      <c r="CL190" s="65"/>
      <c r="CM190" s="65"/>
      <c r="CN190" s="65"/>
      <c r="CO190" s="65"/>
      <c r="CP190" s="65"/>
      <c r="CQ190" s="72"/>
      <c r="CR190" s="72"/>
      <c r="CS190" s="65"/>
      <c r="CT190" s="65"/>
      <c r="CU190" s="65"/>
      <c r="CV190" t="s">
        <v>80</v>
      </c>
      <c r="CX190" s="186">
        <v>7</v>
      </c>
      <c r="CZ190" s="112"/>
      <c r="DA190" s="172">
        <v>150</v>
      </c>
      <c r="DB190" s="172">
        <v>150</v>
      </c>
      <c r="DC190" s="172">
        <v>150</v>
      </c>
      <c r="DD190" s="172"/>
      <c r="DE190" s="172"/>
      <c r="DF190" s="170"/>
      <c r="DG190" s="170"/>
      <c r="DH190" s="170"/>
      <c r="DI190" s="170"/>
      <c r="DJ190" s="170"/>
      <c r="DK190" s="174" t="s">
        <v>267</v>
      </c>
      <c r="DL190" s="174" t="s">
        <v>268</v>
      </c>
      <c r="DM190" s="176">
        <v>13</v>
      </c>
      <c r="DN190" s="176">
        <v>13</v>
      </c>
      <c r="DO190" s="176">
        <v>1</v>
      </c>
      <c r="DP190" s="177">
        <v>0</v>
      </c>
      <c r="DQ190" s="180">
        <v>0</v>
      </c>
      <c r="DR190" s="180">
        <v>0</v>
      </c>
      <c r="DS190" s="180">
        <v>3</v>
      </c>
      <c r="DZ190"/>
    </row>
    <row r="191" spans="1:130" ht="15" hidden="1" x14ac:dyDescent="0.25">
      <c r="J191"/>
      <c r="AA191"/>
      <c r="AO191" s="33"/>
      <c r="AZ191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60"/>
      <c r="BP191" s="60"/>
      <c r="BQ191" s="178"/>
      <c r="BR191" s="179"/>
      <c r="BS191" s="179"/>
      <c r="BT191" s="179"/>
      <c r="BZ191"/>
      <c r="CA191" s="65"/>
      <c r="CB191" s="65"/>
      <c r="CC191" s="65"/>
      <c r="CD191" s="65"/>
      <c r="CE191" s="65"/>
      <c r="CF191" s="73"/>
      <c r="CG191" s="65"/>
      <c r="CH191" s="65"/>
      <c r="CI191" s="65"/>
      <c r="CJ191" s="65"/>
      <c r="CK191" s="65"/>
      <c r="CL191" s="65"/>
      <c r="CM191" s="65"/>
      <c r="CN191" s="65"/>
      <c r="CO191" s="65"/>
      <c r="CP191" s="65"/>
      <c r="CQ191" s="72"/>
      <c r="CR191" s="72"/>
      <c r="CS191" s="65"/>
      <c r="CT191" s="65"/>
      <c r="CU191" s="65"/>
      <c r="CZ191" s="111"/>
      <c r="DA191"/>
      <c r="DP191" s="179"/>
      <c r="DQ191" s="179"/>
      <c r="DR191" s="179"/>
      <c r="DS191" s="179"/>
      <c r="DZ191"/>
    </row>
    <row r="192" spans="1:130" ht="15" hidden="1" x14ac:dyDescent="0.25">
      <c r="J192"/>
      <c r="AA192"/>
      <c r="AO192" s="33"/>
      <c r="AZ192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60"/>
      <c r="BP192" s="60"/>
      <c r="BQ192" s="178"/>
      <c r="BR192" s="179"/>
      <c r="BS192" s="179"/>
      <c r="BT192" s="179"/>
      <c r="BZ192"/>
      <c r="CA192" s="65"/>
      <c r="CB192" s="65"/>
      <c r="CC192" s="65"/>
      <c r="CD192" s="65"/>
      <c r="CE192" s="65"/>
      <c r="CF192" s="73"/>
      <c r="CG192" s="65"/>
      <c r="CH192" s="65"/>
      <c r="CI192" s="65"/>
      <c r="CJ192" s="65"/>
      <c r="CK192" s="65"/>
      <c r="CL192" s="65"/>
      <c r="CM192" s="65"/>
      <c r="CN192" s="65"/>
      <c r="CO192" s="65"/>
      <c r="CP192" s="65"/>
      <c r="CQ192" s="72"/>
      <c r="CR192" s="72"/>
      <c r="CS192" s="65"/>
      <c r="CT192" s="65"/>
      <c r="CU192" s="65"/>
      <c r="DA192"/>
      <c r="DM192" s="60"/>
      <c r="DN192" s="60"/>
      <c r="DO192" s="60"/>
      <c r="DP192" s="57"/>
      <c r="DQ192" s="178"/>
      <c r="DR192" s="178"/>
      <c r="DS192" s="179"/>
      <c r="DZ192"/>
    </row>
    <row r="193" spans="1:130" ht="15" hidden="1" x14ac:dyDescent="0.25">
      <c r="J193"/>
      <c r="AA193"/>
      <c r="AO193" s="33"/>
      <c r="AZ193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60"/>
      <c r="BP193" s="60"/>
      <c r="BQ193" s="178"/>
      <c r="BR193" s="179"/>
      <c r="BS193" s="179"/>
      <c r="BT193" s="179"/>
      <c r="BZ193"/>
      <c r="CA193" s="65"/>
      <c r="CB193" s="65"/>
      <c r="CC193" s="65"/>
      <c r="CD193" s="65"/>
      <c r="CE193" s="65"/>
      <c r="CF193" s="73"/>
      <c r="CG193" s="65"/>
      <c r="CH193" s="65"/>
      <c r="CI193" s="65"/>
      <c r="CJ193" s="65"/>
      <c r="CK193" s="65"/>
      <c r="CL193" s="65"/>
      <c r="CM193" s="65"/>
      <c r="CN193" s="65"/>
      <c r="CO193" s="65"/>
      <c r="CP193" s="65"/>
      <c r="CQ193" s="72"/>
      <c r="CR193" s="72"/>
      <c r="CS193" s="65"/>
      <c r="CT193" s="65"/>
      <c r="CU193" s="65"/>
      <c r="DA193"/>
      <c r="DM193" s="60"/>
      <c r="DN193" s="60"/>
      <c r="DO193" s="60"/>
      <c r="DP193" s="57"/>
      <c r="DQ193" s="178"/>
      <c r="DR193" s="178"/>
      <c r="DS193" s="179"/>
      <c r="DZ193"/>
    </row>
    <row r="194" spans="1:130" ht="15" hidden="1" x14ac:dyDescent="0.25">
      <c r="J194"/>
      <c r="AA194"/>
      <c r="AO194" s="33"/>
      <c r="AU194">
        <f>+AT194*98/96</f>
        <v>0</v>
      </c>
      <c r="AZ194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60"/>
      <c r="BP194" s="60"/>
      <c r="BQ194" s="178"/>
      <c r="BR194" s="179"/>
      <c r="BS194" s="179"/>
      <c r="BT194" s="179"/>
      <c r="BZ194"/>
      <c r="CA194" s="65"/>
      <c r="CB194" s="65"/>
      <c r="CC194" s="65"/>
      <c r="CD194" s="65"/>
      <c r="CE194" s="65"/>
      <c r="CF194" s="73"/>
      <c r="CG194" s="65"/>
      <c r="CH194" s="65"/>
      <c r="CI194" s="65"/>
      <c r="CJ194" s="65"/>
      <c r="CK194" s="65"/>
      <c r="CL194" s="65"/>
      <c r="CM194" s="65"/>
      <c r="CN194" s="65"/>
      <c r="CO194" s="65"/>
      <c r="CP194" s="65"/>
      <c r="CQ194" s="72"/>
      <c r="CR194" s="72"/>
      <c r="CS194" s="65"/>
      <c r="CT194" s="65"/>
      <c r="CU194" s="65"/>
      <c r="DA194"/>
      <c r="DM194" s="60"/>
      <c r="DN194" s="60"/>
      <c r="DO194" s="60"/>
      <c r="DP194" s="57"/>
      <c r="DQ194" s="178"/>
      <c r="DR194" s="178"/>
      <c r="DS194" s="179"/>
      <c r="DZ194"/>
    </row>
    <row r="195" spans="1:130" ht="15" hidden="1" x14ac:dyDescent="0.25">
      <c r="J195"/>
      <c r="AA195"/>
      <c r="AO195" s="33"/>
      <c r="AZ195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60"/>
      <c r="BP195" s="60"/>
      <c r="BQ195" s="178"/>
      <c r="BR195" s="179"/>
      <c r="BS195" s="179"/>
      <c r="BT195" s="179"/>
      <c r="BZ195"/>
      <c r="CA195" s="65"/>
      <c r="CB195" s="65"/>
      <c r="CC195" s="65"/>
      <c r="CD195" s="65"/>
      <c r="CE195" s="65"/>
      <c r="CF195" s="73"/>
      <c r="CG195" s="65"/>
      <c r="CH195" s="65"/>
      <c r="CI195" s="65"/>
      <c r="CJ195" s="65"/>
      <c r="CK195" s="65"/>
      <c r="CL195" s="65"/>
      <c r="CM195" s="65"/>
      <c r="CN195" s="65"/>
      <c r="CO195" s="65"/>
      <c r="CP195" s="65"/>
      <c r="CQ195" s="72"/>
      <c r="CR195" s="72"/>
      <c r="CS195" s="65"/>
      <c r="CT195" s="65"/>
      <c r="CU195" s="65"/>
      <c r="DA195"/>
      <c r="DM195" s="60"/>
      <c r="DN195" s="60"/>
      <c r="DO195" s="60"/>
      <c r="DP195" s="57"/>
      <c r="DQ195" s="178"/>
      <c r="DR195" s="178"/>
      <c r="DS195" s="179"/>
      <c r="DZ195"/>
    </row>
    <row r="196" spans="1:130" ht="15" hidden="1" x14ac:dyDescent="0.25">
      <c r="J196"/>
      <c r="AA196"/>
      <c r="AO196" s="33"/>
      <c r="AZ196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60"/>
      <c r="BP196" s="60"/>
      <c r="BQ196" s="178"/>
      <c r="BR196" s="179"/>
      <c r="BS196" s="179"/>
      <c r="BT196" s="179"/>
      <c r="BZ196"/>
      <c r="CA196" s="65"/>
      <c r="CB196" s="65"/>
      <c r="CC196" s="65"/>
      <c r="CD196" s="65"/>
      <c r="CE196" s="65"/>
      <c r="CF196" s="73"/>
      <c r="CG196" s="65"/>
      <c r="CH196" s="65"/>
      <c r="CI196" s="65"/>
      <c r="CJ196" s="65"/>
      <c r="CK196" s="65"/>
      <c r="CL196" s="65"/>
      <c r="CM196" s="65"/>
      <c r="CN196" s="65"/>
      <c r="CO196" s="65"/>
      <c r="CP196" s="65"/>
      <c r="CQ196" s="72"/>
      <c r="CR196" s="72"/>
      <c r="CS196" s="65"/>
      <c r="CT196" s="65"/>
      <c r="CU196" s="65"/>
      <c r="DA196"/>
      <c r="DM196" s="60"/>
      <c r="DN196" s="60"/>
      <c r="DO196" s="60"/>
      <c r="DP196" s="57"/>
      <c r="DQ196" s="178"/>
      <c r="DR196" s="178"/>
      <c r="DS196" s="179"/>
      <c r="DZ196"/>
    </row>
    <row r="197" spans="1:130" ht="15" hidden="1" x14ac:dyDescent="0.25">
      <c r="J197"/>
      <c r="AA197"/>
      <c r="AO197" s="33"/>
      <c r="AZ197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60"/>
      <c r="BP197" s="60"/>
      <c r="BQ197" s="178"/>
      <c r="BR197" s="179"/>
      <c r="BS197" s="179"/>
      <c r="BT197" s="179"/>
      <c r="BZ197"/>
      <c r="CA197" s="65"/>
      <c r="CB197" s="65"/>
      <c r="CC197" s="65"/>
      <c r="CD197" s="65"/>
      <c r="CE197" s="65"/>
      <c r="CF197" s="73"/>
      <c r="CG197" s="65"/>
      <c r="CH197" s="65"/>
      <c r="CI197" s="65"/>
      <c r="CJ197" s="65"/>
      <c r="CK197" s="65"/>
      <c r="CL197" s="65"/>
      <c r="CM197" s="65"/>
      <c r="CN197" s="65"/>
      <c r="CO197" s="65"/>
      <c r="CP197" s="65"/>
      <c r="CQ197" s="72"/>
      <c r="CR197" s="72"/>
      <c r="CS197" s="65"/>
      <c r="CT197" s="65"/>
      <c r="CU197" s="65"/>
      <c r="DA197"/>
      <c r="DM197" s="60"/>
      <c r="DN197" s="60"/>
      <c r="DO197" s="60"/>
      <c r="DP197" s="57"/>
      <c r="DQ197" s="178"/>
      <c r="DR197" s="178"/>
      <c r="DS197" s="179"/>
      <c r="DZ197"/>
    </row>
    <row r="198" spans="1:130" ht="15" hidden="1" x14ac:dyDescent="0.25">
      <c r="J198"/>
      <c r="AA198"/>
      <c r="AO198" s="33"/>
      <c r="AZ19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60"/>
      <c r="BP198" s="60"/>
      <c r="BQ198" s="178"/>
      <c r="BR198" s="179"/>
      <c r="BS198" s="179"/>
      <c r="BT198" s="179"/>
      <c r="BZ198"/>
      <c r="CA198" s="65"/>
      <c r="CB198" s="65"/>
      <c r="CC198" s="65"/>
      <c r="CD198" s="65"/>
      <c r="CE198" s="65"/>
      <c r="CF198" s="73"/>
      <c r="CG198" s="65"/>
      <c r="CH198" s="65"/>
      <c r="CI198" s="65"/>
      <c r="CJ198" s="65"/>
      <c r="CK198" s="65"/>
      <c r="CL198" s="65"/>
      <c r="CM198" s="65"/>
      <c r="CN198" s="65"/>
      <c r="CO198" s="65"/>
      <c r="CP198" s="65"/>
      <c r="CQ198" s="72"/>
      <c r="CR198" s="72"/>
      <c r="CS198" s="65"/>
      <c r="CT198" s="65"/>
      <c r="CU198" s="65"/>
      <c r="DA198"/>
      <c r="DM198" s="60"/>
      <c r="DN198" s="60"/>
      <c r="DO198" s="60"/>
      <c r="DP198" s="57"/>
      <c r="DQ198" s="178"/>
      <c r="DR198" s="178"/>
      <c r="DS198" s="179"/>
      <c r="DZ198"/>
    </row>
    <row r="199" spans="1:130" ht="15" hidden="1" x14ac:dyDescent="0.25">
      <c r="J199"/>
      <c r="AA199"/>
      <c r="AO199" s="33"/>
      <c r="AZ199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60"/>
      <c r="BP199" s="60"/>
      <c r="BQ199" s="178"/>
      <c r="BR199" s="179"/>
      <c r="BS199" s="179"/>
      <c r="BT199" s="179"/>
      <c r="BZ199"/>
      <c r="CA199" s="65"/>
      <c r="CB199" s="65"/>
      <c r="CC199" s="65"/>
      <c r="CD199" s="65"/>
      <c r="CE199" s="65"/>
      <c r="CF199" s="73"/>
      <c r="CG199" s="65"/>
      <c r="CH199" s="65"/>
      <c r="CI199" s="65"/>
      <c r="CJ199" s="65"/>
      <c r="CK199" s="65"/>
      <c r="CL199" s="65"/>
      <c r="CM199" s="65"/>
      <c r="CN199" s="65"/>
      <c r="CO199" s="65"/>
      <c r="CP199" s="65"/>
      <c r="CQ199" s="72"/>
      <c r="CR199" s="72"/>
      <c r="CS199" s="65"/>
      <c r="CT199" s="65"/>
      <c r="CU199" s="65"/>
      <c r="DA199"/>
      <c r="DM199" s="60"/>
      <c r="DN199" s="60"/>
      <c r="DO199" s="60"/>
      <c r="DP199" s="57"/>
      <c r="DQ199" s="178"/>
      <c r="DR199" s="178"/>
      <c r="DS199" s="179"/>
      <c r="DZ199"/>
    </row>
    <row r="200" spans="1:130" ht="15" hidden="1" x14ac:dyDescent="0.25">
      <c r="J200"/>
      <c r="AA200"/>
      <c r="AO200" s="33"/>
      <c r="AZ200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60"/>
      <c r="BP200" s="60"/>
      <c r="BQ200" s="178"/>
      <c r="BR200" s="179"/>
      <c r="BS200" s="179"/>
      <c r="BT200" s="179"/>
      <c r="BZ200"/>
      <c r="CA200" s="65"/>
      <c r="CB200" s="65"/>
      <c r="CC200" s="65"/>
      <c r="CD200" s="65"/>
      <c r="CE200" s="65"/>
      <c r="CF200" s="73"/>
      <c r="CG200" s="65"/>
      <c r="CH200" s="65"/>
      <c r="CI200" s="65"/>
      <c r="CJ200" s="65"/>
      <c r="CK200" s="65"/>
      <c r="CL200" s="65"/>
      <c r="CM200" s="65"/>
      <c r="CN200" s="65"/>
      <c r="CO200" s="65"/>
      <c r="CP200" s="65"/>
      <c r="CQ200" s="72"/>
      <c r="CR200" s="72"/>
      <c r="CS200" s="65"/>
      <c r="CT200" s="65"/>
      <c r="CU200" s="65"/>
      <c r="DA200"/>
      <c r="DM200" s="60"/>
      <c r="DN200" s="60"/>
      <c r="DO200" s="60"/>
      <c r="DP200" s="57"/>
      <c r="DQ200" s="178"/>
      <c r="DR200" s="178"/>
      <c r="DS200" s="179"/>
      <c r="DZ200"/>
    </row>
    <row r="201" spans="1:130" x14ac:dyDescent="0.3">
      <c r="A201" t="s">
        <v>0</v>
      </c>
      <c r="B201" t="s">
        <v>1</v>
      </c>
      <c r="C201" t="s">
        <v>2</v>
      </c>
      <c r="D201" t="s">
        <v>3</v>
      </c>
      <c r="E201" t="s">
        <v>4</v>
      </c>
      <c r="F201" t="s">
        <v>5</v>
      </c>
      <c r="G201" t="s">
        <v>6</v>
      </c>
      <c r="H201" t="s">
        <v>48</v>
      </c>
      <c r="I201" t="s">
        <v>9</v>
      </c>
      <c r="J201" s="27"/>
      <c r="AA201" s="2" t="s">
        <v>7</v>
      </c>
      <c r="AB201" s="3" t="s">
        <v>10</v>
      </c>
      <c r="AC201" s="3" t="s">
        <v>11</v>
      </c>
      <c r="AD201" s="3" t="s">
        <v>12</v>
      </c>
      <c r="AE201" s="3" t="s">
        <v>13</v>
      </c>
      <c r="AF201" s="3" t="s">
        <v>14</v>
      </c>
      <c r="AG201" s="3" t="s">
        <v>15</v>
      </c>
      <c r="AH201" s="3" t="s">
        <v>16</v>
      </c>
      <c r="AI201" s="3" t="s">
        <v>17</v>
      </c>
      <c r="AJ201" s="3" t="s">
        <v>19</v>
      </c>
      <c r="AK201" s="3" t="s">
        <v>18</v>
      </c>
      <c r="AL201" s="3" t="s">
        <v>20</v>
      </c>
      <c r="AM201" s="4" t="s">
        <v>21</v>
      </c>
      <c r="AO201" s="45" t="s">
        <v>43</v>
      </c>
      <c r="AP201" s="5" t="s">
        <v>26</v>
      </c>
      <c r="AQ201" s="5" t="s">
        <v>25</v>
      </c>
      <c r="AR201" s="5" t="s">
        <v>24</v>
      </c>
      <c r="AT201" s="5" t="s">
        <v>10</v>
      </c>
      <c r="AU201" s="6">
        <f>'Résultats Regroupés'!AA202/100</f>
        <v>0</v>
      </c>
      <c r="AV201" s="5" t="s">
        <v>27</v>
      </c>
      <c r="AW201" s="6">
        <f>'Résultats Regroupés'!AF202</f>
        <v>0</v>
      </c>
      <c r="AZ201"/>
      <c r="BA201" s="138" t="s">
        <v>295</v>
      </c>
      <c r="BB201" s="138"/>
      <c r="BC201" s="138"/>
      <c r="BD201" s="138"/>
      <c r="BE201" s="138"/>
      <c r="BF201" s="138"/>
      <c r="BG201" s="138"/>
      <c r="BH201" s="138"/>
      <c r="BI201" s="138"/>
      <c r="BJ201" s="138"/>
      <c r="BK201" s="138"/>
      <c r="BL201" s="138"/>
      <c r="BM201" s="138"/>
      <c r="BN201" s="58"/>
      <c r="BO201" s="61"/>
      <c r="BP201" s="62">
        <v>6</v>
      </c>
      <c r="BQ201" s="178">
        <v>160</v>
      </c>
      <c r="BR201" s="178">
        <v>23</v>
      </c>
      <c r="BS201" s="178">
        <v>23</v>
      </c>
      <c r="BT201" s="178">
        <v>50</v>
      </c>
      <c r="BU201" s="178">
        <v>140</v>
      </c>
      <c r="BV201" s="178">
        <v>65</v>
      </c>
      <c r="BZ201"/>
      <c r="CA201" s="126">
        <v>9</v>
      </c>
      <c r="CB201" s="126">
        <v>35</v>
      </c>
      <c r="CC201" s="65"/>
      <c r="CD201" s="125">
        <v>198078.6</v>
      </c>
      <c r="CE201" s="65"/>
      <c r="CF201" s="124">
        <v>0.87336243386243384</v>
      </c>
      <c r="CG201" s="140" t="s">
        <v>318</v>
      </c>
      <c r="CH201" s="139"/>
      <c r="CI201" s="139"/>
      <c r="CJ201" s="139"/>
      <c r="CK201" s="139"/>
      <c r="CL201" s="139"/>
      <c r="CM201" s="139"/>
      <c r="CN201" s="139"/>
      <c r="CO201" s="139"/>
      <c r="CP201" s="139"/>
      <c r="CQ201" s="139"/>
      <c r="CR201" s="139"/>
      <c r="CS201" s="123">
        <v>89</v>
      </c>
      <c r="CT201" s="123">
        <v>9</v>
      </c>
      <c r="CU201" s="65"/>
      <c r="CV201" s="65"/>
      <c r="CW201" s="65"/>
      <c r="CX201" s="65"/>
      <c r="CY201" s="65"/>
      <c r="CZ201" s="65"/>
      <c r="DA201" s="138" t="s">
        <v>319</v>
      </c>
      <c r="DB201" s="149"/>
      <c r="DC201" s="149"/>
      <c r="DD201" s="149"/>
      <c r="DE201" s="149"/>
      <c r="DF201" s="149"/>
      <c r="DG201" s="149"/>
      <c r="DH201" s="149"/>
      <c r="DI201" s="149"/>
      <c r="DJ201" s="149"/>
      <c r="DL201">
        <v>18</v>
      </c>
      <c r="DM201" s="60">
        <v>5</v>
      </c>
      <c r="DN201" s="60"/>
      <c r="DO201" s="60">
        <v>9</v>
      </c>
      <c r="DP201" s="178">
        <v>64</v>
      </c>
      <c r="DQ201" s="178">
        <v>6</v>
      </c>
      <c r="DR201" s="178">
        <v>6</v>
      </c>
      <c r="DS201" s="178">
        <v>20</v>
      </c>
      <c r="DT201" s="178">
        <v>56</v>
      </c>
      <c r="DU201" s="178">
        <v>26</v>
      </c>
      <c r="DZ201"/>
    </row>
    <row r="202" spans="1:130" hidden="1" x14ac:dyDescent="0.3">
      <c r="A202">
        <v>540</v>
      </c>
      <c r="B202">
        <v>142220</v>
      </c>
      <c r="C202">
        <v>139855</v>
      </c>
      <c r="D202">
        <v>225</v>
      </c>
      <c r="E202" t="s">
        <v>50</v>
      </c>
      <c r="F202">
        <v>1200</v>
      </c>
      <c r="G202">
        <v>84875</v>
      </c>
      <c r="H202">
        <v>37722</v>
      </c>
      <c r="J202" s="27">
        <v>32</v>
      </c>
      <c r="AA202" s="7" t="s">
        <v>8</v>
      </c>
      <c r="AB202" s="181">
        <f>SUM(AD202:AM202)</f>
        <v>424</v>
      </c>
      <c r="AC202" s="12">
        <v>3600</v>
      </c>
      <c r="AD202" s="181">
        <v>225</v>
      </c>
      <c r="AE202" s="181">
        <v>199</v>
      </c>
      <c r="AF202" s="181"/>
      <c r="AG202" s="181"/>
      <c r="AH202" s="181"/>
      <c r="AI202" s="181"/>
      <c r="AJ202" s="181"/>
      <c r="AK202" s="181"/>
      <c r="AL202" s="181"/>
      <c r="AM202" s="8"/>
      <c r="AO202" s="35" t="s">
        <v>281</v>
      </c>
      <c r="AP202" s="191">
        <v>3</v>
      </c>
      <c r="AQ202" s="191">
        <v>15264</v>
      </c>
      <c r="AR202" s="16">
        <v>19440</v>
      </c>
      <c r="AT202" s="40"/>
      <c r="AU202" s="51"/>
      <c r="AV202" s="52"/>
      <c r="AW202" s="50"/>
      <c r="AZ202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>
        <v>0</v>
      </c>
      <c r="BO202" s="67">
        <v>105</v>
      </c>
      <c r="BP202" s="62"/>
      <c r="BQ202" s="196">
        <v>32</v>
      </c>
      <c r="BR202" s="196">
        <v>3</v>
      </c>
      <c r="BS202" s="196">
        <v>3</v>
      </c>
      <c r="BT202" s="196">
        <v>10</v>
      </c>
      <c r="BU202" s="196">
        <v>28</v>
      </c>
      <c r="BV202" s="196">
        <v>13</v>
      </c>
      <c r="BZ202"/>
      <c r="CA202" s="65" t="s">
        <v>106</v>
      </c>
      <c r="CB202" s="65" t="s">
        <v>105</v>
      </c>
      <c r="CC202" s="65" t="s">
        <v>27</v>
      </c>
      <c r="CD202" s="65" t="s">
        <v>10</v>
      </c>
      <c r="CE202" s="65" t="s">
        <v>104</v>
      </c>
      <c r="CF202" s="73" t="s">
        <v>103</v>
      </c>
      <c r="CG202" s="122" t="s">
        <v>102</v>
      </c>
      <c r="CH202" s="122" t="s">
        <v>101</v>
      </c>
      <c r="CI202" s="122" t="s">
        <v>100</v>
      </c>
      <c r="CJ202" s="122" t="s">
        <v>99</v>
      </c>
      <c r="CK202" s="122" t="s">
        <v>98</v>
      </c>
      <c r="CL202" s="122" t="s">
        <v>97</v>
      </c>
      <c r="CM202" s="122" t="s">
        <v>96</v>
      </c>
      <c r="CN202" s="122" t="s">
        <v>95</v>
      </c>
      <c r="CO202" s="122" t="s">
        <v>94</v>
      </c>
      <c r="CP202" s="122" t="s">
        <v>93</v>
      </c>
      <c r="CQ202" s="121" t="s">
        <v>87</v>
      </c>
      <c r="CR202" s="121" t="s">
        <v>92</v>
      </c>
      <c r="CS202" s="65" t="s">
        <v>91</v>
      </c>
      <c r="CT202" s="65" t="s">
        <v>88</v>
      </c>
      <c r="CU202" s="65"/>
      <c r="CV202" t="s">
        <v>90</v>
      </c>
      <c r="CZ202" t="s">
        <v>27</v>
      </c>
      <c r="DA202"/>
      <c r="DM202" s="60">
        <v>0</v>
      </c>
      <c r="DN202" s="60">
        <v>94</v>
      </c>
      <c r="DO202" s="60"/>
      <c r="DP202" s="178">
        <v>32</v>
      </c>
      <c r="DQ202" s="178">
        <v>6</v>
      </c>
      <c r="DR202" s="178">
        <v>6</v>
      </c>
      <c r="DS202" s="178">
        <v>10</v>
      </c>
      <c r="DT202" s="178">
        <v>28</v>
      </c>
      <c r="DU202" s="178">
        <v>13</v>
      </c>
      <c r="DZ202"/>
    </row>
    <row r="203" spans="1:130" ht="15.75" hidden="1" thickBot="1" x14ac:dyDescent="0.3">
      <c r="A203">
        <v>540</v>
      </c>
      <c r="B203">
        <v>142220</v>
      </c>
      <c r="C203">
        <v>145088</v>
      </c>
      <c r="D203">
        <v>199</v>
      </c>
      <c r="E203" t="s">
        <v>50</v>
      </c>
      <c r="F203">
        <v>1200</v>
      </c>
      <c r="G203">
        <v>5144</v>
      </c>
      <c r="H203">
        <v>2585</v>
      </c>
      <c r="J203" s="27">
        <v>3</v>
      </c>
      <c r="AA203" s="7" t="s">
        <v>29</v>
      </c>
      <c r="AB203" s="181">
        <f>SUM(AD203:AM203)</f>
        <v>414</v>
      </c>
      <c r="AC203" s="13">
        <v>3600</v>
      </c>
      <c r="AD203" s="181">
        <v>225</v>
      </c>
      <c r="AE203" s="181">
        <v>189</v>
      </c>
      <c r="AF203" s="181"/>
      <c r="AG203" s="181"/>
      <c r="AH203" s="181"/>
      <c r="AI203" s="181"/>
      <c r="AJ203" s="181"/>
      <c r="AK203" s="181"/>
      <c r="AL203" s="181"/>
      <c r="AM203" s="8"/>
      <c r="AO203" s="35" t="s">
        <v>282</v>
      </c>
      <c r="AP203" s="191">
        <v>3</v>
      </c>
      <c r="AQ203" s="191">
        <v>14904</v>
      </c>
      <c r="AR203" s="16">
        <v>19440</v>
      </c>
      <c r="AT203" s="56"/>
      <c r="AU203" s="55"/>
      <c r="AV203" s="54"/>
      <c r="AW203" s="53"/>
      <c r="AZ203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65">
        <v>89</v>
      </c>
      <c r="BO203" s="63">
        <v>45</v>
      </c>
      <c r="BP203" s="64">
        <v>6</v>
      </c>
      <c r="BQ203" s="178">
        <v>32</v>
      </c>
      <c r="BR203" s="179">
        <v>3</v>
      </c>
      <c r="BS203" s="179">
        <v>3</v>
      </c>
      <c r="BT203" s="179">
        <v>10</v>
      </c>
      <c r="BU203" s="179">
        <v>28</v>
      </c>
      <c r="BV203" s="179">
        <v>13</v>
      </c>
      <c r="BZ203"/>
      <c r="CA203" s="105" t="s">
        <v>75</v>
      </c>
      <c r="CB203" s="105">
        <v>15</v>
      </c>
      <c r="CC203" s="105">
        <v>1200</v>
      </c>
      <c r="CD203" s="105">
        <v>540</v>
      </c>
      <c r="CE203" s="105">
        <v>450</v>
      </c>
      <c r="CF203" s="108">
        <v>0.83333333333333337</v>
      </c>
      <c r="CG203" s="114">
        <v>225</v>
      </c>
      <c r="CH203" s="114">
        <v>225</v>
      </c>
      <c r="CI203" s="106"/>
      <c r="CJ203" s="106"/>
      <c r="CK203" s="106"/>
      <c r="CL203" s="106"/>
      <c r="CM203" s="106"/>
      <c r="CN203" s="106"/>
      <c r="CO203" s="106"/>
      <c r="CP203" s="106"/>
      <c r="CQ203" s="107" t="s">
        <v>182</v>
      </c>
      <c r="CR203" s="107" t="s">
        <v>183</v>
      </c>
      <c r="CS203" s="183">
        <v>30</v>
      </c>
      <c r="CT203" s="184">
        <v>1</v>
      </c>
      <c r="CU203" s="65"/>
      <c r="CV203" t="s">
        <v>88</v>
      </c>
      <c r="CW203" t="s">
        <v>87</v>
      </c>
      <c r="CX203" t="s">
        <v>86</v>
      </c>
      <c r="CZ203" s="119">
        <v>225</v>
      </c>
      <c r="DA203"/>
      <c r="DM203" s="60">
        <v>35</v>
      </c>
      <c r="DN203" s="60">
        <v>34</v>
      </c>
      <c r="DO203" s="60">
        <v>6</v>
      </c>
      <c r="DP203" s="178">
        <v>32</v>
      </c>
      <c r="DQ203" s="178">
        <v>3</v>
      </c>
      <c r="DR203" s="178">
        <v>3</v>
      </c>
      <c r="DS203" s="178">
        <v>10</v>
      </c>
      <c r="DT203" s="178">
        <v>28</v>
      </c>
      <c r="DU203" s="179">
        <v>13</v>
      </c>
      <c r="DZ203"/>
    </row>
    <row r="204" spans="1:130" ht="15.75" hidden="1" thickBot="1" x14ac:dyDescent="0.3">
      <c r="A204">
        <v>540</v>
      </c>
      <c r="B204">
        <v>142220</v>
      </c>
      <c r="C204">
        <v>139854</v>
      </c>
      <c r="D204">
        <v>189</v>
      </c>
      <c r="E204" t="s">
        <v>50</v>
      </c>
      <c r="F204">
        <v>1200</v>
      </c>
      <c r="G204">
        <v>6804</v>
      </c>
      <c r="H204">
        <v>3600</v>
      </c>
      <c r="J204" s="27">
        <v>3</v>
      </c>
      <c r="AA204" s="7" t="s">
        <v>30</v>
      </c>
      <c r="AB204" s="181">
        <f>SUM(AD204:AM204)</f>
        <v>409</v>
      </c>
      <c r="AC204" s="13">
        <v>12000</v>
      </c>
      <c r="AD204" s="181">
        <v>225</v>
      </c>
      <c r="AE204" s="181">
        <v>184</v>
      </c>
      <c r="AF204" s="181"/>
      <c r="AG204" s="181"/>
      <c r="AH204" s="181"/>
      <c r="AI204" s="181"/>
      <c r="AJ204" s="181"/>
      <c r="AK204" s="181"/>
      <c r="AL204" s="181"/>
      <c r="AM204" s="8"/>
      <c r="AO204" s="35" t="s">
        <v>283</v>
      </c>
      <c r="AP204" s="191">
        <v>10</v>
      </c>
      <c r="AQ204" s="191">
        <v>49080</v>
      </c>
      <c r="AR204" s="16">
        <v>64800</v>
      </c>
      <c r="AT204" s="36"/>
      <c r="AU204" s="38"/>
      <c r="AV204" s="37"/>
      <c r="AW204" s="39"/>
      <c r="AZ204"/>
      <c r="BA204" s="59" t="s">
        <v>7</v>
      </c>
      <c r="BB204" s="59" t="s">
        <v>10</v>
      </c>
      <c r="BC204" s="59" t="s">
        <v>11</v>
      </c>
      <c r="BD204" s="59" t="s">
        <v>12</v>
      </c>
      <c r="BE204" s="59" t="s">
        <v>13</v>
      </c>
      <c r="BF204" s="59" t="s">
        <v>14</v>
      </c>
      <c r="BG204" s="59" t="s">
        <v>15</v>
      </c>
      <c r="BH204" s="59" t="s">
        <v>16</v>
      </c>
      <c r="BI204" s="59" t="s">
        <v>17</v>
      </c>
      <c r="BJ204" s="59" t="s">
        <v>19</v>
      </c>
      <c r="BK204" s="59" t="s">
        <v>18</v>
      </c>
      <c r="BL204" s="59" t="s">
        <v>20</v>
      </c>
      <c r="BM204" s="59" t="s">
        <v>21</v>
      </c>
      <c r="BN204" s="59" t="s">
        <v>46</v>
      </c>
      <c r="BO204" s="63" t="s">
        <v>44</v>
      </c>
      <c r="BP204" s="64" t="s">
        <v>45</v>
      </c>
      <c r="BQ204" s="178" t="s">
        <v>143</v>
      </c>
      <c r="BR204" s="197" t="s">
        <v>290</v>
      </c>
      <c r="BS204" s="197" t="s">
        <v>291</v>
      </c>
      <c r="BT204" s="197" t="s">
        <v>292</v>
      </c>
      <c r="BU204" s="197" t="s">
        <v>293</v>
      </c>
      <c r="BV204" s="197" t="s">
        <v>294</v>
      </c>
      <c r="BZ204"/>
      <c r="CA204" s="105" t="s">
        <v>74</v>
      </c>
      <c r="CB204" s="105">
        <v>1</v>
      </c>
      <c r="CC204" s="105">
        <v>1200</v>
      </c>
      <c r="CD204" s="105">
        <v>540</v>
      </c>
      <c r="CE204" s="105">
        <v>424</v>
      </c>
      <c r="CF204" s="108">
        <v>0.78518518518518521</v>
      </c>
      <c r="CG204" s="114">
        <v>225</v>
      </c>
      <c r="CH204" s="188">
        <v>199</v>
      </c>
      <c r="CI204" s="106"/>
      <c r="CJ204" s="106"/>
      <c r="CK204" s="106"/>
      <c r="CL204" s="106"/>
      <c r="CM204" s="106"/>
      <c r="CN204" s="106"/>
      <c r="CO204" s="106"/>
      <c r="CP204" s="106"/>
      <c r="CQ204" s="107" t="s">
        <v>312</v>
      </c>
      <c r="CR204" s="107" t="s">
        <v>313</v>
      </c>
      <c r="CS204" s="183">
        <v>2</v>
      </c>
      <c r="CT204" s="184">
        <v>2</v>
      </c>
      <c r="CU204" s="65"/>
      <c r="CV204">
        <v>8</v>
      </c>
      <c r="CW204" t="s">
        <v>308</v>
      </c>
      <c r="CX204" s="186">
        <v>1</v>
      </c>
      <c r="CZ204" s="71">
        <v>225</v>
      </c>
      <c r="DA204" s="65" t="s">
        <v>102</v>
      </c>
      <c r="DB204" s="65" t="s">
        <v>101</v>
      </c>
      <c r="DC204" s="65" t="s">
        <v>100</v>
      </c>
      <c r="DD204" s="65" t="s">
        <v>99</v>
      </c>
      <c r="DE204" s="65" t="s">
        <v>98</v>
      </c>
      <c r="DF204" s="65" t="s">
        <v>97</v>
      </c>
      <c r="DG204" s="65" t="s">
        <v>96</v>
      </c>
      <c r="DH204" s="65" t="s">
        <v>95</v>
      </c>
      <c r="DI204" s="65" t="s">
        <v>94</v>
      </c>
      <c r="DJ204" s="65" t="s">
        <v>93</v>
      </c>
      <c r="DK204" s="133" t="s">
        <v>87</v>
      </c>
      <c r="DL204" s="133" t="s">
        <v>92</v>
      </c>
      <c r="DM204" s="132" t="s">
        <v>114</v>
      </c>
      <c r="DN204" s="132" t="s">
        <v>44</v>
      </c>
      <c r="DO204" s="132" t="s">
        <v>45</v>
      </c>
      <c r="DP204" s="57" t="s">
        <v>143</v>
      </c>
      <c r="DQ204" s="178" t="s">
        <v>290</v>
      </c>
      <c r="DR204" s="178" t="s">
        <v>291</v>
      </c>
      <c r="DS204" s="178" t="s">
        <v>292</v>
      </c>
      <c r="DT204" s="178" t="s">
        <v>293</v>
      </c>
      <c r="DU204" s="66" t="s">
        <v>294</v>
      </c>
      <c r="DZ204"/>
    </row>
    <row r="205" spans="1:130" ht="15.75" hidden="1" thickBot="1" x14ac:dyDescent="0.3">
      <c r="A205">
        <v>540</v>
      </c>
      <c r="B205">
        <v>142220</v>
      </c>
      <c r="C205">
        <v>149770</v>
      </c>
      <c r="D205">
        <v>184</v>
      </c>
      <c r="E205" t="s">
        <v>50</v>
      </c>
      <c r="F205">
        <v>1200</v>
      </c>
      <c r="G205">
        <v>22080</v>
      </c>
      <c r="H205">
        <v>12000</v>
      </c>
      <c r="J205" s="27">
        <v>10</v>
      </c>
      <c r="AA205" s="7" t="s">
        <v>31</v>
      </c>
      <c r="AB205" s="181">
        <f>SUM(AD205:AM205)</f>
        <v>395</v>
      </c>
      <c r="AC205" s="13">
        <v>19200</v>
      </c>
      <c r="AD205" s="181">
        <v>225</v>
      </c>
      <c r="AE205" s="181">
        <v>170</v>
      </c>
      <c r="AF205" s="181"/>
      <c r="AG205" s="181"/>
      <c r="AH205" s="181"/>
      <c r="AI205" s="181"/>
      <c r="AJ205" s="181"/>
      <c r="AK205" s="181"/>
      <c r="AL205" s="181"/>
      <c r="AM205" s="8"/>
      <c r="AO205" s="35" t="s">
        <v>284</v>
      </c>
      <c r="AP205" s="191">
        <v>16</v>
      </c>
      <c r="AQ205" s="191">
        <v>75840</v>
      </c>
      <c r="AR205" s="16">
        <v>103680</v>
      </c>
      <c r="AT205" s="41"/>
      <c r="AU205" s="42"/>
      <c r="AV205" s="43"/>
      <c r="AW205" s="44"/>
      <c r="AZ205"/>
      <c r="BA205" s="192" t="s">
        <v>8</v>
      </c>
      <c r="BB205" s="192">
        <v>424</v>
      </c>
      <c r="BC205" s="192">
        <v>3600</v>
      </c>
      <c r="BD205" s="192">
        <v>225</v>
      </c>
      <c r="BE205" s="192">
        <v>199</v>
      </c>
      <c r="BF205" s="192"/>
      <c r="BG205" s="192"/>
      <c r="BH205" s="192"/>
      <c r="BI205" s="192"/>
      <c r="BJ205" s="192"/>
      <c r="BK205" s="192"/>
      <c r="BL205" s="192"/>
      <c r="BM205" s="192"/>
      <c r="BN205" s="193">
        <v>2</v>
      </c>
      <c r="BO205" s="68">
        <v>3</v>
      </c>
      <c r="BP205" s="194">
        <v>1</v>
      </c>
      <c r="BQ205" s="177">
        <v>1</v>
      </c>
      <c r="BR205" s="180">
        <v>1</v>
      </c>
      <c r="BS205" s="180">
        <v>0</v>
      </c>
      <c r="BT205" s="180">
        <v>0</v>
      </c>
      <c r="BU205" s="180">
        <v>0</v>
      </c>
      <c r="BV205" s="180">
        <v>0</v>
      </c>
      <c r="BZ205"/>
      <c r="CA205" s="105" t="s">
        <v>73</v>
      </c>
      <c r="CB205" s="105">
        <v>1</v>
      </c>
      <c r="CC205" s="105">
        <v>1200</v>
      </c>
      <c r="CD205" s="105">
        <v>540</v>
      </c>
      <c r="CE205" s="105">
        <v>388</v>
      </c>
      <c r="CF205" s="108">
        <v>0.71851851851851856</v>
      </c>
      <c r="CG205" s="188">
        <v>199</v>
      </c>
      <c r="CH205" s="187">
        <v>189</v>
      </c>
      <c r="CI205" s="106"/>
      <c r="CJ205" s="106"/>
      <c r="CK205" s="106"/>
      <c r="CL205" s="106"/>
      <c r="CM205" s="106"/>
      <c r="CN205" s="106"/>
      <c r="CO205" s="106"/>
      <c r="CP205" s="106"/>
      <c r="CQ205" s="107" t="s">
        <v>314</v>
      </c>
      <c r="CR205" s="107" t="s">
        <v>315</v>
      </c>
      <c r="CS205" s="183">
        <v>2</v>
      </c>
      <c r="CT205" s="184">
        <v>3</v>
      </c>
      <c r="CU205" s="65"/>
      <c r="CV205">
        <v>6</v>
      </c>
      <c r="CW205" t="s">
        <v>316</v>
      </c>
      <c r="CX205" s="186">
        <v>1</v>
      </c>
      <c r="CZ205" s="118">
        <v>199</v>
      </c>
      <c r="DA205" s="172">
        <v>225</v>
      </c>
      <c r="DB205" s="172">
        <v>225</v>
      </c>
      <c r="DC205" s="172"/>
      <c r="DD205" s="172"/>
      <c r="DE205" s="172"/>
      <c r="DF205" s="170"/>
      <c r="DG205" s="170"/>
      <c r="DH205" s="170"/>
      <c r="DI205" s="170"/>
      <c r="DJ205" s="170"/>
      <c r="DK205" s="173" t="s">
        <v>182</v>
      </c>
      <c r="DL205" s="173" t="s">
        <v>183</v>
      </c>
      <c r="DM205" s="175">
        <v>15</v>
      </c>
      <c r="DN205" s="175">
        <v>13</v>
      </c>
      <c r="DO205" s="175">
        <v>1</v>
      </c>
      <c r="DP205" s="177">
        <v>2</v>
      </c>
      <c r="DQ205" s="180">
        <v>0</v>
      </c>
      <c r="DR205" s="180">
        <v>0</v>
      </c>
      <c r="DS205" s="180">
        <v>0</v>
      </c>
      <c r="DT205" s="180">
        <v>0</v>
      </c>
      <c r="DU205" s="180">
        <v>0</v>
      </c>
      <c r="DZ205"/>
    </row>
    <row r="206" spans="1:130" ht="15.75" hidden="1" thickBot="1" x14ac:dyDescent="0.3">
      <c r="A206">
        <v>540</v>
      </c>
      <c r="B206">
        <v>142220</v>
      </c>
      <c r="C206">
        <v>139853</v>
      </c>
      <c r="D206">
        <v>170</v>
      </c>
      <c r="E206" t="s">
        <v>50</v>
      </c>
      <c r="F206">
        <v>1200</v>
      </c>
      <c r="G206">
        <v>56253</v>
      </c>
      <c r="H206">
        <v>33090</v>
      </c>
      <c r="J206" s="27">
        <v>28</v>
      </c>
      <c r="AA206" s="7" t="s">
        <v>32</v>
      </c>
      <c r="AB206" s="181">
        <f>SUM(AD206:AM206)</f>
        <v>325</v>
      </c>
      <c r="AC206" s="13">
        <v>14400</v>
      </c>
      <c r="AD206" s="181">
        <v>170</v>
      </c>
      <c r="AE206" s="181">
        <v>155</v>
      </c>
      <c r="AF206" s="181"/>
      <c r="AG206" s="181"/>
      <c r="AH206" s="181"/>
      <c r="AI206" s="181"/>
      <c r="AJ206" s="181"/>
      <c r="AK206" s="181"/>
      <c r="AL206" s="181"/>
      <c r="AM206" s="8"/>
      <c r="AO206" s="35" t="s">
        <v>285</v>
      </c>
      <c r="AP206" s="191">
        <v>12</v>
      </c>
      <c r="AQ206" s="191">
        <v>46800</v>
      </c>
      <c r="AR206" s="16">
        <v>77760</v>
      </c>
      <c r="AT206" s="46"/>
      <c r="AU206" s="47"/>
      <c r="AV206" s="48"/>
      <c r="AW206" s="49"/>
      <c r="AZ206"/>
      <c r="BA206" s="192" t="s">
        <v>29</v>
      </c>
      <c r="BB206" s="192">
        <v>414</v>
      </c>
      <c r="BC206" s="192">
        <v>3600</v>
      </c>
      <c r="BD206" s="192">
        <v>225</v>
      </c>
      <c r="BE206" s="192">
        <v>189</v>
      </c>
      <c r="BF206" s="192"/>
      <c r="BG206" s="192"/>
      <c r="BH206" s="192"/>
      <c r="BI206" s="192"/>
      <c r="BJ206" s="192"/>
      <c r="BK206" s="192"/>
      <c r="BL206" s="192"/>
      <c r="BM206" s="192"/>
      <c r="BN206" s="193">
        <v>2</v>
      </c>
      <c r="BO206" s="69">
        <v>3</v>
      </c>
      <c r="BP206" s="195">
        <v>1</v>
      </c>
      <c r="BQ206" s="177">
        <v>1</v>
      </c>
      <c r="BR206" s="180">
        <v>0</v>
      </c>
      <c r="BS206" s="180">
        <v>1</v>
      </c>
      <c r="BT206" s="180">
        <v>0</v>
      </c>
      <c r="BU206" s="180">
        <v>0</v>
      </c>
      <c r="BV206" s="180">
        <v>0</v>
      </c>
      <c r="BZ206"/>
      <c r="CA206" s="105" t="s">
        <v>79</v>
      </c>
      <c r="CB206" s="105">
        <v>1</v>
      </c>
      <c r="CC206" s="105">
        <v>1200</v>
      </c>
      <c r="CD206" s="105">
        <v>540</v>
      </c>
      <c r="CE206" s="105">
        <v>533</v>
      </c>
      <c r="CF206" s="108">
        <v>0.98703703703703705</v>
      </c>
      <c r="CG206" s="187">
        <v>189</v>
      </c>
      <c r="CH206" s="187">
        <v>189</v>
      </c>
      <c r="CI206" s="189">
        <v>155</v>
      </c>
      <c r="CJ206" s="106"/>
      <c r="CK206" s="106"/>
      <c r="CL206" s="106"/>
      <c r="CM206" s="106"/>
      <c r="CN206" s="106"/>
      <c r="CO206" s="106"/>
      <c r="CP206" s="106"/>
      <c r="CQ206" s="107" t="s">
        <v>304</v>
      </c>
      <c r="CR206" s="107" t="s">
        <v>305</v>
      </c>
      <c r="CS206" s="183">
        <v>3</v>
      </c>
      <c r="CT206" s="184">
        <v>4</v>
      </c>
      <c r="CU206" s="65"/>
      <c r="CV206">
        <v>1</v>
      </c>
      <c r="CW206" t="s">
        <v>182</v>
      </c>
      <c r="CX206" s="186">
        <v>1</v>
      </c>
      <c r="CZ206" s="117">
        <v>199</v>
      </c>
      <c r="DA206" s="172">
        <v>225</v>
      </c>
      <c r="DB206" s="172">
        <v>199</v>
      </c>
      <c r="DC206" s="172"/>
      <c r="DD206" s="172"/>
      <c r="DE206" s="172"/>
      <c r="DF206" s="170"/>
      <c r="DG206" s="170"/>
      <c r="DH206" s="170"/>
      <c r="DI206" s="170"/>
      <c r="DJ206" s="170"/>
      <c r="DK206" s="174" t="s">
        <v>312</v>
      </c>
      <c r="DL206" s="174" t="s">
        <v>313</v>
      </c>
      <c r="DM206" s="176">
        <v>1</v>
      </c>
      <c r="DN206" s="176">
        <v>0</v>
      </c>
      <c r="DO206" s="176">
        <v>0</v>
      </c>
      <c r="DP206" s="177">
        <v>1</v>
      </c>
      <c r="DQ206" s="180">
        <v>1</v>
      </c>
      <c r="DR206" s="180">
        <v>0</v>
      </c>
      <c r="DS206" s="180">
        <v>0</v>
      </c>
      <c r="DT206" s="180">
        <v>0</v>
      </c>
      <c r="DU206" s="180">
        <v>0</v>
      </c>
      <c r="DZ206"/>
    </row>
    <row r="207" spans="1:130" ht="15.75" hidden="1" thickBot="1" x14ac:dyDescent="0.3">
      <c r="A207">
        <v>540</v>
      </c>
      <c r="B207">
        <v>142220</v>
      </c>
      <c r="C207">
        <v>139852</v>
      </c>
      <c r="D207">
        <v>155</v>
      </c>
      <c r="E207" t="s">
        <v>50</v>
      </c>
      <c r="F207">
        <v>1200</v>
      </c>
      <c r="G207">
        <v>22922</v>
      </c>
      <c r="H207">
        <v>14789</v>
      </c>
      <c r="J207" s="27">
        <v>13</v>
      </c>
      <c r="AA207" s="9" t="s">
        <v>33</v>
      </c>
      <c r="AB207" s="10">
        <f>SUM(AD207:AM207)</f>
        <v>155</v>
      </c>
      <c r="AC207" s="14">
        <v>1200</v>
      </c>
      <c r="AD207" s="10">
        <v>155</v>
      </c>
      <c r="AE207" s="10"/>
      <c r="AF207" s="10"/>
      <c r="AG207" s="10"/>
      <c r="AH207" s="10"/>
      <c r="AI207" s="10"/>
      <c r="AJ207" s="10"/>
      <c r="AK207" s="10"/>
      <c r="AL207" s="10"/>
      <c r="AM207" s="11"/>
      <c r="AO207" s="35" t="s">
        <v>286</v>
      </c>
      <c r="AP207" s="191">
        <v>1</v>
      </c>
      <c r="AQ207" s="191">
        <v>1860</v>
      </c>
      <c r="AR207" s="16">
        <v>6480</v>
      </c>
      <c r="AZ207"/>
      <c r="BA207" s="192" t="s">
        <v>30</v>
      </c>
      <c r="BB207" s="192">
        <v>409</v>
      </c>
      <c r="BC207" s="192">
        <v>12000</v>
      </c>
      <c r="BD207" s="192">
        <v>225</v>
      </c>
      <c r="BE207" s="192">
        <v>184</v>
      </c>
      <c r="BF207" s="192"/>
      <c r="BG207" s="192"/>
      <c r="BH207" s="192"/>
      <c r="BI207" s="192"/>
      <c r="BJ207" s="192"/>
      <c r="BK207" s="192"/>
      <c r="BL207" s="192"/>
      <c r="BM207" s="192"/>
      <c r="BN207" s="193">
        <v>2</v>
      </c>
      <c r="BO207" s="69">
        <v>10</v>
      </c>
      <c r="BP207" s="195">
        <v>1</v>
      </c>
      <c r="BQ207" s="177">
        <v>1</v>
      </c>
      <c r="BR207" s="180">
        <v>0</v>
      </c>
      <c r="BS207" s="180">
        <v>0</v>
      </c>
      <c r="BT207" s="180">
        <v>1</v>
      </c>
      <c r="BU207" s="180">
        <v>0</v>
      </c>
      <c r="BV207" s="180">
        <v>0</v>
      </c>
      <c r="BZ207"/>
      <c r="CA207" s="105" t="s">
        <v>81</v>
      </c>
      <c r="CB207" s="105">
        <v>5</v>
      </c>
      <c r="CC207" s="105">
        <v>1200</v>
      </c>
      <c r="CD207" s="105">
        <v>540</v>
      </c>
      <c r="CE207" s="105">
        <v>538</v>
      </c>
      <c r="CF207" s="108">
        <v>0.99629629629629635</v>
      </c>
      <c r="CG207" s="151">
        <v>184</v>
      </c>
      <c r="CH207" s="151">
        <v>184</v>
      </c>
      <c r="CI207" s="152">
        <v>170</v>
      </c>
      <c r="CJ207" s="106"/>
      <c r="CK207" s="106"/>
      <c r="CL207" s="106"/>
      <c r="CM207" s="106"/>
      <c r="CN207" s="106"/>
      <c r="CO207" s="106"/>
      <c r="CP207" s="106"/>
      <c r="CQ207" s="107" t="s">
        <v>302</v>
      </c>
      <c r="CR207" s="107" t="s">
        <v>303</v>
      </c>
      <c r="CS207" s="183">
        <v>15</v>
      </c>
      <c r="CT207" s="184">
        <v>5</v>
      </c>
      <c r="CU207" s="65"/>
      <c r="CV207">
        <v>2</v>
      </c>
      <c r="CW207" t="s">
        <v>312</v>
      </c>
      <c r="CX207" s="186">
        <v>1</v>
      </c>
      <c r="CZ207" s="19">
        <v>189</v>
      </c>
      <c r="DA207" s="172">
        <v>199</v>
      </c>
      <c r="DB207" s="172">
        <v>189</v>
      </c>
      <c r="DC207" s="172"/>
      <c r="DD207" s="172"/>
      <c r="DE207" s="172"/>
      <c r="DF207" s="170"/>
      <c r="DG207" s="170"/>
      <c r="DH207" s="170"/>
      <c r="DI207" s="170"/>
      <c r="DJ207" s="170"/>
      <c r="DK207" s="174" t="s">
        <v>314</v>
      </c>
      <c r="DL207" s="174" t="s">
        <v>315</v>
      </c>
      <c r="DM207" s="176">
        <v>1</v>
      </c>
      <c r="DN207" s="176">
        <v>0</v>
      </c>
      <c r="DO207" s="176">
        <v>0</v>
      </c>
      <c r="DP207" s="177">
        <v>0</v>
      </c>
      <c r="DQ207" s="180">
        <v>1</v>
      </c>
      <c r="DR207" s="180">
        <v>1</v>
      </c>
      <c r="DS207" s="180">
        <v>0</v>
      </c>
      <c r="DT207" s="180">
        <v>0</v>
      </c>
      <c r="DU207" s="180">
        <v>0</v>
      </c>
      <c r="DZ207"/>
    </row>
    <row r="208" spans="1:130" ht="15.75" hidden="1" thickBot="1" x14ac:dyDescent="0.3">
      <c r="J208" s="27"/>
      <c r="AA208"/>
      <c r="AO208" s="45" t="s">
        <v>287</v>
      </c>
      <c r="AP208" s="17">
        <f>SUM(AP202:AP207)</f>
        <v>45</v>
      </c>
      <c r="AQ208" s="17">
        <f>SUM(AQ202:AQ207)</f>
        <v>203748</v>
      </c>
      <c r="AR208" s="17">
        <f>SUM(AR202:AR207)</f>
        <v>291600</v>
      </c>
      <c r="AZ208"/>
      <c r="BA208" s="192" t="s">
        <v>31</v>
      </c>
      <c r="BB208" s="192">
        <v>395</v>
      </c>
      <c r="BC208" s="192">
        <v>19200</v>
      </c>
      <c r="BD208" s="192">
        <v>225</v>
      </c>
      <c r="BE208" s="192">
        <v>170</v>
      </c>
      <c r="BF208" s="192"/>
      <c r="BG208" s="192"/>
      <c r="BH208" s="192"/>
      <c r="BI208" s="192"/>
      <c r="BJ208" s="192"/>
      <c r="BK208" s="192"/>
      <c r="BL208" s="192"/>
      <c r="BM208" s="192"/>
      <c r="BN208" s="193">
        <v>2</v>
      </c>
      <c r="BO208" s="69">
        <v>16</v>
      </c>
      <c r="BP208" s="195">
        <v>1</v>
      </c>
      <c r="BQ208" s="177">
        <v>1</v>
      </c>
      <c r="BR208" s="180">
        <v>0</v>
      </c>
      <c r="BS208" s="180">
        <v>0</v>
      </c>
      <c r="BT208" s="180">
        <v>0</v>
      </c>
      <c r="BU208" s="180">
        <v>1</v>
      </c>
      <c r="BV208" s="180">
        <v>0</v>
      </c>
      <c r="BZ208"/>
      <c r="CA208" s="105" t="s">
        <v>72</v>
      </c>
      <c r="CB208" s="105">
        <v>1</v>
      </c>
      <c r="CC208" s="105">
        <v>1200</v>
      </c>
      <c r="CD208" s="105">
        <v>540</v>
      </c>
      <c r="CE208" s="105">
        <v>749</v>
      </c>
      <c r="CF208" s="108">
        <v>0.5121296296296296</v>
      </c>
      <c r="CG208" s="152">
        <v>170</v>
      </c>
      <c r="CH208" s="114">
        <v>225</v>
      </c>
      <c r="CI208" s="189">
        <v>155</v>
      </c>
      <c r="CJ208" s="188">
        <v>199</v>
      </c>
      <c r="CK208" s="106"/>
      <c r="CL208" s="106"/>
      <c r="CM208" s="106"/>
      <c r="CN208" s="106"/>
      <c r="CO208" s="106"/>
      <c r="CP208" s="106"/>
      <c r="CQ208" s="107" t="s">
        <v>316</v>
      </c>
      <c r="CR208" s="107" t="s">
        <v>317</v>
      </c>
      <c r="CS208" s="183">
        <v>4</v>
      </c>
      <c r="CT208" s="184">
        <v>6</v>
      </c>
      <c r="CU208" s="65"/>
      <c r="CV208">
        <v>7</v>
      </c>
      <c r="CW208" t="s">
        <v>306</v>
      </c>
      <c r="CX208" s="186">
        <v>1</v>
      </c>
      <c r="CZ208" s="115">
        <v>184</v>
      </c>
      <c r="DA208" s="172">
        <v>189</v>
      </c>
      <c r="DB208" s="172">
        <v>189</v>
      </c>
      <c r="DC208" s="172">
        <v>155</v>
      </c>
      <c r="DD208" s="172"/>
      <c r="DE208" s="172"/>
      <c r="DF208" s="170"/>
      <c r="DG208" s="170"/>
      <c r="DH208" s="170"/>
      <c r="DI208" s="170"/>
      <c r="DJ208" s="170"/>
      <c r="DK208" s="174" t="s">
        <v>304</v>
      </c>
      <c r="DL208" s="174" t="s">
        <v>305</v>
      </c>
      <c r="DM208" s="176">
        <v>1</v>
      </c>
      <c r="DN208" s="176">
        <v>3</v>
      </c>
      <c r="DO208" s="176">
        <v>1</v>
      </c>
      <c r="DP208" s="177">
        <v>0</v>
      </c>
      <c r="DQ208" s="180">
        <v>0</v>
      </c>
      <c r="DR208" s="180">
        <v>2</v>
      </c>
      <c r="DS208" s="180">
        <v>0</v>
      </c>
      <c r="DT208" s="180">
        <v>0</v>
      </c>
      <c r="DU208" s="180">
        <v>1</v>
      </c>
      <c r="DZ208"/>
    </row>
    <row r="209" spans="10:130" ht="15.75" hidden="1" thickBot="1" x14ac:dyDescent="0.3">
      <c r="J209" s="27"/>
      <c r="AA209"/>
      <c r="AO209" s="33" t="s">
        <v>288</v>
      </c>
      <c r="AP209" s="15"/>
      <c r="AQ209" s="15" t="s">
        <v>36</v>
      </c>
      <c r="AR209" s="15">
        <v>87852</v>
      </c>
      <c r="AZ209"/>
      <c r="BA209" s="192" t="s">
        <v>32</v>
      </c>
      <c r="BB209" s="192">
        <v>325</v>
      </c>
      <c r="BC209" s="192">
        <v>14400</v>
      </c>
      <c r="BD209" s="192">
        <v>170</v>
      </c>
      <c r="BE209" s="192">
        <v>155</v>
      </c>
      <c r="BF209" s="192"/>
      <c r="BG209" s="192"/>
      <c r="BH209" s="192"/>
      <c r="BI209" s="192"/>
      <c r="BJ209" s="192"/>
      <c r="BK209" s="192"/>
      <c r="BL209" s="192"/>
      <c r="BM209" s="192"/>
      <c r="BN209" s="193">
        <v>2</v>
      </c>
      <c r="BO209" s="69">
        <v>12</v>
      </c>
      <c r="BP209" s="195">
        <v>1</v>
      </c>
      <c r="BQ209" s="177">
        <v>0</v>
      </c>
      <c r="BR209" s="180">
        <v>0</v>
      </c>
      <c r="BS209" s="180">
        <v>0</v>
      </c>
      <c r="BT209" s="180">
        <v>0</v>
      </c>
      <c r="BU209" s="180">
        <v>1</v>
      </c>
      <c r="BV209" s="180">
        <v>1</v>
      </c>
      <c r="BZ209"/>
      <c r="CA209" s="105" t="s">
        <v>78</v>
      </c>
      <c r="CB209" s="105">
        <v>7</v>
      </c>
      <c r="CC209" s="105">
        <v>1200</v>
      </c>
      <c r="CD209" s="105">
        <v>540</v>
      </c>
      <c r="CE209" s="105">
        <v>510</v>
      </c>
      <c r="CF209" s="108">
        <v>0.94444444444444442</v>
      </c>
      <c r="CG209" s="152">
        <v>170</v>
      </c>
      <c r="CH209" s="152">
        <v>170</v>
      </c>
      <c r="CI209" s="152">
        <v>170</v>
      </c>
      <c r="CJ209" s="106"/>
      <c r="CK209" s="106"/>
      <c r="CL209" s="106"/>
      <c r="CM209" s="106"/>
      <c r="CN209" s="106"/>
      <c r="CO209" s="106"/>
      <c r="CP209" s="106"/>
      <c r="CQ209" s="107" t="s">
        <v>306</v>
      </c>
      <c r="CR209" s="107" t="s">
        <v>307</v>
      </c>
      <c r="CS209" s="183">
        <v>21</v>
      </c>
      <c r="CT209" s="184">
        <v>7</v>
      </c>
      <c r="CU209" s="65"/>
      <c r="CV209">
        <v>3</v>
      </c>
      <c r="CW209" t="s">
        <v>314</v>
      </c>
      <c r="CX209" s="186">
        <v>1</v>
      </c>
      <c r="CZ209" s="113">
        <v>170</v>
      </c>
      <c r="DA209" s="172">
        <v>184</v>
      </c>
      <c r="DB209" s="172">
        <v>184</v>
      </c>
      <c r="DC209" s="172">
        <v>170</v>
      </c>
      <c r="DD209" s="172"/>
      <c r="DE209" s="172"/>
      <c r="DF209" s="170"/>
      <c r="DG209" s="170"/>
      <c r="DH209" s="170"/>
      <c r="DI209" s="170"/>
      <c r="DJ209" s="170"/>
      <c r="DK209" s="174" t="s">
        <v>302</v>
      </c>
      <c r="DL209" s="174" t="s">
        <v>303</v>
      </c>
      <c r="DM209" s="176">
        <v>5</v>
      </c>
      <c r="DN209" s="176">
        <v>5</v>
      </c>
      <c r="DO209" s="176">
        <v>1</v>
      </c>
      <c r="DP209" s="177">
        <v>0</v>
      </c>
      <c r="DQ209" s="180">
        <v>0</v>
      </c>
      <c r="DR209" s="180">
        <v>0</v>
      </c>
      <c r="DS209" s="180">
        <v>2</v>
      </c>
      <c r="DT209" s="180">
        <v>1</v>
      </c>
      <c r="DU209" s="180">
        <v>0</v>
      </c>
      <c r="DZ209"/>
    </row>
    <row r="210" spans="10:130" ht="15.75" hidden="1" thickBot="1" x14ac:dyDescent="0.3">
      <c r="J210" s="27"/>
      <c r="AA210"/>
      <c r="AO210" s="33"/>
      <c r="AP210" s="15"/>
      <c r="AQ210" s="15" t="s">
        <v>41</v>
      </c>
      <c r="AR210" s="15" t="s">
        <v>289</v>
      </c>
      <c r="AZ210"/>
      <c r="BA210" s="192" t="s">
        <v>33</v>
      </c>
      <c r="BB210" s="192">
        <v>155</v>
      </c>
      <c r="BC210" s="192">
        <v>1200</v>
      </c>
      <c r="BD210" s="192">
        <v>155</v>
      </c>
      <c r="BE210" s="192"/>
      <c r="BF210" s="192"/>
      <c r="BG210" s="192"/>
      <c r="BH210" s="192"/>
      <c r="BI210" s="192"/>
      <c r="BJ210" s="192"/>
      <c r="BK210" s="192"/>
      <c r="BL210" s="192"/>
      <c r="BM210" s="192"/>
      <c r="BN210" s="193">
        <v>1</v>
      </c>
      <c r="BO210" s="69">
        <v>1</v>
      </c>
      <c r="BP210" s="195">
        <v>1</v>
      </c>
      <c r="BQ210" s="177">
        <v>0</v>
      </c>
      <c r="BR210" s="180">
        <v>0</v>
      </c>
      <c r="BS210" s="180">
        <v>0</v>
      </c>
      <c r="BT210" s="180">
        <v>0</v>
      </c>
      <c r="BU210" s="180">
        <v>0</v>
      </c>
      <c r="BV210" s="180">
        <v>1</v>
      </c>
      <c r="BZ210"/>
      <c r="CA210" s="105" t="s">
        <v>77</v>
      </c>
      <c r="CB210" s="105">
        <v>1</v>
      </c>
      <c r="CC210" s="105">
        <v>1200</v>
      </c>
      <c r="CD210" s="105">
        <v>540</v>
      </c>
      <c r="CE210" s="105">
        <v>480</v>
      </c>
      <c r="CF210" s="108">
        <v>0.88888888888888884</v>
      </c>
      <c r="CG210" s="152">
        <v>170</v>
      </c>
      <c r="CH210" s="189">
        <v>155</v>
      </c>
      <c r="CI210" s="189">
        <v>155</v>
      </c>
      <c r="CJ210" s="106"/>
      <c r="CK210" s="106"/>
      <c r="CL210" s="106"/>
      <c r="CM210" s="106"/>
      <c r="CN210" s="106"/>
      <c r="CO210" s="106"/>
      <c r="CP210" s="106"/>
      <c r="CQ210" s="107" t="s">
        <v>308</v>
      </c>
      <c r="CR210" s="107" t="s">
        <v>309</v>
      </c>
      <c r="CS210" s="183">
        <v>3</v>
      </c>
      <c r="CT210" s="184">
        <v>8</v>
      </c>
      <c r="CU210" s="65"/>
      <c r="CV210">
        <v>9</v>
      </c>
      <c r="CW210" t="s">
        <v>310</v>
      </c>
      <c r="CX210" s="186">
        <v>1</v>
      </c>
      <c r="CZ210" s="112">
        <v>170</v>
      </c>
      <c r="DA210" s="172">
        <v>170</v>
      </c>
      <c r="DB210" s="172">
        <v>225</v>
      </c>
      <c r="DC210" s="172">
        <v>155</v>
      </c>
      <c r="DD210" s="172">
        <v>199</v>
      </c>
      <c r="DE210" s="172"/>
      <c r="DF210" s="170"/>
      <c r="DG210" s="170"/>
      <c r="DH210" s="170"/>
      <c r="DI210" s="170"/>
      <c r="DJ210" s="170"/>
      <c r="DK210" s="174" t="s">
        <v>316</v>
      </c>
      <c r="DL210" s="174" t="s">
        <v>317</v>
      </c>
      <c r="DM210" s="176">
        <v>1</v>
      </c>
      <c r="DN210" s="176">
        <v>6</v>
      </c>
      <c r="DO210" s="176">
        <v>1</v>
      </c>
      <c r="DP210" s="177">
        <v>1</v>
      </c>
      <c r="DQ210" s="180">
        <v>1</v>
      </c>
      <c r="DR210" s="180">
        <v>0</v>
      </c>
      <c r="DS210" s="180">
        <v>0</v>
      </c>
      <c r="DT210" s="180">
        <v>1</v>
      </c>
      <c r="DU210" s="180">
        <v>1</v>
      </c>
      <c r="DZ210"/>
    </row>
    <row r="211" spans="10:130" ht="15.75" hidden="1" thickBot="1" x14ac:dyDescent="0.3">
      <c r="J211" s="27"/>
      <c r="AA211"/>
      <c r="AO211" s="33"/>
      <c r="AZ211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60"/>
      <c r="BP211" s="60"/>
      <c r="BQ211" s="178"/>
      <c r="BR211" s="179"/>
      <c r="BS211" s="179"/>
      <c r="BT211" s="179"/>
      <c r="BU211" s="179"/>
      <c r="BV211" s="179"/>
      <c r="BZ211"/>
      <c r="CA211" s="105" t="s">
        <v>76</v>
      </c>
      <c r="CB211" s="105">
        <v>3</v>
      </c>
      <c r="CC211" s="105">
        <v>1200</v>
      </c>
      <c r="CD211" s="105">
        <v>540</v>
      </c>
      <c r="CE211" s="105">
        <v>465</v>
      </c>
      <c r="CF211" s="108">
        <v>0.86111111111111116</v>
      </c>
      <c r="CG211" s="189">
        <v>155</v>
      </c>
      <c r="CH211" s="189">
        <v>155</v>
      </c>
      <c r="CI211" s="189">
        <v>155</v>
      </c>
      <c r="CJ211" s="106"/>
      <c r="CK211" s="106"/>
      <c r="CL211" s="106"/>
      <c r="CM211" s="106"/>
      <c r="CN211" s="106"/>
      <c r="CO211" s="106"/>
      <c r="CP211" s="106"/>
      <c r="CQ211" s="107" t="s">
        <v>310</v>
      </c>
      <c r="CR211" s="107" t="s">
        <v>311</v>
      </c>
      <c r="CS211" s="183">
        <v>9</v>
      </c>
      <c r="CT211" s="184">
        <v>9</v>
      </c>
      <c r="CU211" s="65"/>
      <c r="CV211">
        <v>4</v>
      </c>
      <c r="CW211" t="s">
        <v>304</v>
      </c>
      <c r="CX211" s="186">
        <v>1</v>
      </c>
      <c r="CZ211" s="111">
        <v>155</v>
      </c>
      <c r="DA211" s="172">
        <v>170</v>
      </c>
      <c r="DB211" s="172">
        <v>170</v>
      </c>
      <c r="DC211" s="172">
        <v>170</v>
      </c>
      <c r="DD211" s="172"/>
      <c r="DE211" s="172"/>
      <c r="DF211" s="170"/>
      <c r="DG211" s="170"/>
      <c r="DH211" s="170"/>
      <c r="DI211" s="170"/>
      <c r="DJ211" s="170"/>
      <c r="DK211" s="174" t="s">
        <v>306</v>
      </c>
      <c r="DL211" s="174" t="s">
        <v>307</v>
      </c>
      <c r="DM211" s="176">
        <v>7</v>
      </c>
      <c r="DN211" s="176">
        <v>5</v>
      </c>
      <c r="DO211" s="176">
        <v>1</v>
      </c>
      <c r="DP211" s="177">
        <v>0</v>
      </c>
      <c r="DQ211" s="180">
        <v>0</v>
      </c>
      <c r="DR211" s="180">
        <v>0</v>
      </c>
      <c r="DS211" s="180">
        <v>0</v>
      </c>
      <c r="DT211" s="180">
        <v>3</v>
      </c>
      <c r="DU211" s="180">
        <v>0</v>
      </c>
      <c r="DZ211"/>
    </row>
    <row r="212" spans="10:130" ht="15" hidden="1" x14ac:dyDescent="0.25">
      <c r="J212"/>
      <c r="AA212"/>
      <c r="AO212" s="33"/>
      <c r="AZ212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60"/>
      <c r="BP212" s="60"/>
      <c r="BQ212" s="178"/>
      <c r="BR212" s="179"/>
      <c r="BS212" s="179"/>
      <c r="BT212" s="179"/>
      <c r="BU212" s="179"/>
      <c r="BV212" s="179"/>
      <c r="BZ212"/>
      <c r="CA212" s="65"/>
      <c r="CB212" s="65"/>
      <c r="CC212" s="65"/>
      <c r="CD212" s="65"/>
      <c r="CE212" s="65"/>
      <c r="CF212" s="73"/>
      <c r="CG212" s="65"/>
      <c r="CH212" s="65"/>
      <c r="CI212" s="65"/>
      <c r="CJ212" s="65"/>
      <c r="CK212" s="65"/>
      <c r="CL212" s="65"/>
      <c r="CM212" s="65"/>
      <c r="CN212" s="65"/>
      <c r="CO212" s="65"/>
      <c r="CP212" s="65"/>
      <c r="CQ212" s="72"/>
      <c r="CR212" s="72"/>
      <c r="CS212" s="65"/>
      <c r="CT212" s="65"/>
      <c r="CU212" s="65"/>
      <c r="CV212">
        <v>5</v>
      </c>
      <c r="CW212" t="s">
        <v>302</v>
      </c>
      <c r="CX212" s="186">
        <v>1</v>
      </c>
      <c r="CZ212">
        <v>155</v>
      </c>
      <c r="DA212" s="172">
        <v>170</v>
      </c>
      <c r="DB212" s="172">
        <v>155</v>
      </c>
      <c r="DC212" s="172">
        <v>155</v>
      </c>
      <c r="DD212" s="172"/>
      <c r="DE212" s="172"/>
      <c r="DF212" s="170"/>
      <c r="DG212" s="170"/>
      <c r="DH212" s="170"/>
      <c r="DI212" s="170"/>
      <c r="DJ212" s="170"/>
      <c r="DK212" s="174" t="s">
        <v>308</v>
      </c>
      <c r="DL212" s="174" t="s">
        <v>309</v>
      </c>
      <c r="DM212" s="176">
        <v>1</v>
      </c>
      <c r="DN212" s="176">
        <v>2</v>
      </c>
      <c r="DO212" s="176">
        <v>1</v>
      </c>
      <c r="DP212" s="177">
        <v>0</v>
      </c>
      <c r="DQ212" s="180">
        <v>0</v>
      </c>
      <c r="DR212" s="180">
        <v>0</v>
      </c>
      <c r="DS212" s="180">
        <v>0</v>
      </c>
      <c r="DT212" s="180">
        <v>1</v>
      </c>
      <c r="DU212" s="180">
        <v>2</v>
      </c>
      <c r="DZ212"/>
    </row>
    <row r="213" spans="10:130" ht="15" hidden="1" x14ac:dyDescent="0.25">
      <c r="J213"/>
      <c r="AA213"/>
      <c r="AO213" s="33"/>
      <c r="AZ213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60"/>
      <c r="BP213" s="60"/>
      <c r="BQ213" s="178"/>
      <c r="BR213" s="179"/>
      <c r="BS213" s="179"/>
      <c r="BT213" s="179"/>
      <c r="BU213" s="179"/>
      <c r="BV213" s="179"/>
      <c r="BZ213"/>
      <c r="CA213" s="65"/>
      <c r="CB213" s="65"/>
      <c r="CC213" s="65"/>
      <c r="CD213" s="65"/>
      <c r="CE213" s="65"/>
      <c r="CF213" s="73"/>
      <c r="CG213" s="65"/>
      <c r="CH213" s="65"/>
      <c r="CI213" s="65"/>
      <c r="CJ213" s="65"/>
      <c r="CK213" s="65"/>
      <c r="CL213" s="65"/>
      <c r="CM213" s="65"/>
      <c r="CN213" s="65"/>
      <c r="CO213" s="65"/>
      <c r="CP213" s="65"/>
      <c r="CQ213" s="72"/>
      <c r="CR213" s="72"/>
      <c r="CS213" s="65"/>
      <c r="CT213" s="65"/>
      <c r="CU213" s="65"/>
      <c r="CV213" t="s">
        <v>80</v>
      </c>
      <c r="CX213" s="186">
        <v>9</v>
      </c>
      <c r="DA213" s="172">
        <v>155</v>
      </c>
      <c r="DB213" s="172">
        <v>155</v>
      </c>
      <c r="DC213" s="172">
        <v>155</v>
      </c>
      <c r="DD213" s="172"/>
      <c r="DE213" s="172"/>
      <c r="DF213" s="170"/>
      <c r="DG213" s="170"/>
      <c r="DH213" s="170"/>
      <c r="DI213" s="170"/>
      <c r="DJ213" s="170"/>
      <c r="DK213" s="174" t="s">
        <v>310</v>
      </c>
      <c r="DL213" s="174" t="s">
        <v>311</v>
      </c>
      <c r="DM213" s="176">
        <v>3</v>
      </c>
      <c r="DN213" s="176">
        <v>0</v>
      </c>
      <c r="DO213" s="176">
        <v>0</v>
      </c>
      <c r="DP213" s="177">
        <v>0</v>
      </c>
      <c r="DQ213" s="180">
        <v>0</v>
      </c>
      <c r="DR213" s="180">
        <v>0</v>
      </c>
      <c r="DS213" s="180">
        <v>0</v>
      </c>
      <c r="DT213" s="180">
        <v>0</v>
      </c>
      <c r="DU213" s="180">
        <v>3</v>
      </c>
      <c r="DZ213"/>
    </row>
    <row r="214" spans="10:130" ht="15" hidden="1" x14ac:dyDescent="0.25">
      <c r="J214"/>
      <c r="AA214"/>
      <c r="AO214" s="33"/>
      <c r="AU214">
        <f>+AT214*98/96</f>
        <v>0</v>
      </c>
      <c r="AZ214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60"/>
      <c r="BP214" s="60"/>
      <c r="BQ214" s="178"/>
      <c r="BR214" s="179"/>
      <c r="BS214" s="179"/>
      <c r="BT214" s="179"/>
      <c r="BU214" s="179"/>
      <c r="BV214" s="179"/>
      <c r="BZ214"/>
      <c r="CA214" s="65"/>
      <c r="CB214" s="65"/>
      <c r="CC214" s="65"/>
      <c r="CD214" s="65"/>
      <c r="CE214" s="65"/>
      <c r="CF214" s="73"/>
      <c r="CG214" s="65"/>
      <c r="CH214" s="65"/>
      <c r="CI214" s="65"/>
      <c r="CJ214" s="65"/>
      <c r="CK214" s="65"/>
      <c r="CL214" s="65"/>
      <c r="CM214" s="65"/>
      <c r="CN214" s="65"/>
      <c r="CO214" s="65"/>
      <c r="CP214" s="65"/>
      <c r="CQ214" s="72"/>
      <c r="CR214" s="72"/>
      <c r="CS214" s="65"/>
      <c r="CT214" s="65"/>
      <c r="CU214" s="65"/>
      <c r="DA214"/>
      <c r="DM214" s="60"/>
      <c r="DN214" s="60"/>
      <c r="DO214" s="60"/>
      <c r="DP214" s="57"/>
      <c r="DQ214" s="178"/>
      <c r="DR214" s="178"/>
      <c r="DS214" s="178"/>
      <c r="DT214" s="178"/>
      <c r="DU214" s="179"/>
      <c r="DZ214"/>
    </row>
    <row r="215" spans="10:130" ht="15" hidden="1" x14ac:dyDescent="0.25">
      <c r="J215"/>
      <c r="AA215"/>
      <c r="AO215" s="33"/>
      <c r="AZ215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60"/>
      <c r="BP215" s="60"/>
      <c r="BQ215" s="178"/>
      <c r="BR215" s="179"/>
      <c r="BS215" s="179"/>
      <c r="BT215" s="179"/>
      <c r="BU215" s="179"/>
      <c r="BV215" s="179"/>
      <c r="BZ215"/>
      <c r="CA215" s="65"/>
      <c r="CB215" s="65"/>
      <c r="CC215" s="65"/>
      <c r="CD215" s="65"/>
      <c r="CE215" s="65"/>
      <c r="CF215" s="73"/>
      <c r="CG215" s="65"/>
      <c r="CH215" s="65"/>
      <c r="CI215" s="65"/>
      <c r="CJ215" s="65"/>
      <c r="CK215" s="65"/>
      <c r="CL215" s="65"/>
      <c r="CM215" s="65"/>
      <c r="CN215" s="65"/>
      <c r="CO215" s="65"/>
      <c r="CP215" s="65"/>
      <c r="CQ215" s="72"/>
      <c r="CR215" s="72"/>
      <c r="CS215" s="65"/>
      <c r="CT215" s="65"/>
      <c r="CU215" s="65"/>
      <c r="DA215"/>
      <c r="DM215" s="60"/>
      <c r="DN215" s="60"/>
      <c r="DO215" s="60"/>
      <c r="DP215" s="57"/>
      <c r="DQ215" s="178"/>
      <c r="DR215" s="178"/>
      <c r="DS215" s="178"/>
      <c r="DT215" s="178"/>
      <c r="DU215" s="179"/>
      <c r="DZ215"/>
    </row>
    <row r="216" spans="10:130" ht="15" hidden="1" x14ac:dyDescent="0.25">
      <c r="J216"/>
      <c r="AA216"/>
      <c r="AO216" s="33"/>
      <c r="AZ216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60"/>
      <c r="BP216" s="60"/>
      <c r="BQ216" s="178"/>
      <c r="BR216" s="179"/>
      <c r="BS216" s="179"/>
      <c r="BT216" s="179"/>
      <c r="BU216" s="179"/>
      <c r="BV216" s="179"/>
      <c r="BZ216"/>
      <c r="CA216" s="65"/>
      <c r="CB216" s="65"/>
      <c r="CC216" s="65"/>
      <c r="CD216" s="65"/>
      <c r="CE216" s="65"/>
      <c r="CF216" s="73"/>
      <c r="CG216" s="65"/>
      <c r="CH216" s="65"/>
      <c r="CI216" s="65"/>
      <c r="CJ216" s="65"/>
      <c r="CK216" s="65"/>
      <c r="CL216" s="65"/>
      <c r="CM216" s="65"/>
      <c r="CN216" s="65"/>
      <c r="CO216" s="65"/>
      <c r="CP216" s="65"/>
      <c r="CQ216" s="72"/>
      <c r="CR216" s="72"/>
      <c r="CS216" s="65"/>
      <c r="CT216" s="65"/>
      <c r="CU216" s="65"/>
      <c r="DA216"/>
      <c r="DM216" s="60"/>
      <c r="DN216" s="60"/>
      <c r="DO216" s="60"/>
      <c r="DP216" s="57"/>
      <c r="DQ216" s="178"/>
      <c r="DR216" s="178"/>
      <c r="DS216" s="178"/>
      <c r="DT216" s="178"/>
      <c r="DU216" s="179"/>
      <c r="DZ216"/>
    </row>
    <row r="217" spans="10:130" ht="15" hidden="1" x14ac:dyDescent="0.25">
      <c r="J217"/>
      <c r="AA217"/>
      <c r="AO217" s="33"/>
      <c r="AZ217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60"/>
      <c r="BP217" s="60"/>
      <c r="BQ217" s="178"/>
      <c r="BR217" s="179"/>
      <c r="BS217" s="179"/>
      <c r="BT217" s="179"/>
      <c r="BU217" s="179"/>
      <c r="BV217" s="179"/>
      <c r="BZ217"/>
      <c r="CA217" s="65"/>
      <c r="CB217" s="65"/>
      <c r="CC217" s="65"/>
      <c r="CD217" s="65"/>
      <c r="CE217" s="65"/>
      <c r="CF217" s="73"/>
      <c r="CG217" s="65"/>
      <c r="CH217" s="65"/>
      <c r="CI217" s="65"/>
      <c r="CJ217" s="65"/>
      <c r="CK217" s="65"/>
      <c r="CL217" s="65"/>
      <c r="CM217" s="65"/>
      <c r="CN217" s="65"/>
      <c r="CO217" s="65"/>
      <c r="CP217" s="65"/>
      <c r="CQ217" s="72"/>
      <c r="CR217" s="72"/>
      <c r="CS217" s="65"/>
      <c r="CT217" s="65"/>
      <c r="CU217" s="65"/>
      <c r="DA217"/>
      <c r="DM217" s="60"/>
      <c r="DN217" s="60"/>
      <c r="DO217" s="60"/>
      <c r="DP217" s="57"/>
      <c r="DQ217" s="178"/>
      <c r="DR217" s="178"/>
      <c r="DS217" s="178"/>
      <c r="DT217" s="178"/>
      <c r="DU217" s="179"/>
      <c r="DZ217"/>
    </row>
    <row r="218" spans="10:130" hidden="1" x14ac:dyDescent="0.3">
      <c r="AA218"/>
      <c r="AO218" s="33"/>
      <c r="AZ21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60"/>
      <c r="BP218" s="60"/>
      <c r="BQ218" s="178"/>
      <c r="BR218" s="179"/>
      <c r="BS218" s="179"/>
      <c r="BT218" s="179"/>
      <c r="BU218" s="179"/>
      <c r="BV218" s="179"/>
      <c r="BZ218"/>
      <c r="CA218" s="65"/>
      <c r="CB218" s="65"/>
      <c r="CC218" s="65"/>
      <c r="CD218" s="65"/>
      <c r="CE218" s="65"/>
      <c r="CF218" s="73"/>
      <c r="CG218" s="65"/>
      <c r="CH218" s="65"/>
      <c r="CI218" s="65"/>
      <c r="CJ218" s="65"/>
      <c r="CK218" s="65"/>
      <c r="CL218" s="65"/>
      <c r="CM218" s="65"/>
      <c r="CN218" s="65"/>
      <c r="CO218" s="65"/>
      <c r="CP218" s="65"/>
      <c r="CQ218" s="72"/>
      <c r="CR218" s="72"/>
      <c r="CS218" s="65"/>
      <c r="CT218" s="65"/>
      <c r="CU218" s="65"/>
      <c r="DA218"/>
      <c r="DM218" s="60"/>
      <c r="DN218" s="60"/>
      <c r="DO218" s="60"/>
      <c r="DP218" s="57"/>
      <c r="DQ218" s="178"/>
      <c r="DR218" s="178"/>
      <c r="DS218" s="178"/>
      <c r="DT218" s="178"/>
      <c r="DU218" s="179"/>
      <c r="DZ218"/>
    </row>
    <row r="219" spans="10:130" hidden="1" x14ac:dyDescent="0.3">
      <c r="AA219"/>
      <c r="AO219" s="33"/>
      <c r="AZ219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60"/>
      <c r="BP219" s="60"/>
      <c r="BQ219" s="178"/>
      <c r="BR219" s="179"/>
      <c r="BS219" s="179"/>
      <c r="BT219" s="179"/>
      <c r="BU219" s="179"/>
      <c r="BV219" s="179"/>
      <c r="BZ219"/>
      <c r="CA219" s="65"/>
      <c r="CB219" s="65"/>
      <c r="CC219" s="65"/>
      <c r="CD219" s="65"/>
      <c r="CE219" s="65"/>
      <c r="CF219" s="73"/>
      <c r="CG219" s="65"/>
      <c r="CH219" s="65"/>
      <c r="CI219" s="65"/>
      <c r="CJ219" s="65"/>
      <c r="CK219" s="65"/>
      <c r="CL219" s="65"/>
      <c r="CM219" s="65"/>
      <c r="CN219" s="65"/>
      <c r="CO219" s="65"/>
      <c r="CP219" s="65"/>
      <c r="CQ219" s="72"/>
      <c r="CR219" s="72"/>
      <c r="CS219" s="65"/>
      <c r="CT219" s="65"/>
      <c r="CU219" s="65"/>
      <c r="DA219"/>
      <c r="DM219" s="60"/>
      <c r="DN219" s="60"/>
      <c r="DO219" s="60"/>
      <c r="DP219" s="57"/>
      <c r="DQ219" s="178"/>
      <c r="DR219" s="178"/>
      <c r="DS219" s="178"/>
      <c r="DT219" s="178"/>
      <c r="DU219" s="179"/>
      <c r="DZ219"/>
    </row>
    <row r="220" spans="10:130" hidden="1" x14ac:dyDescent="0.3">
      <c r="AA220"/>
      <c r="AO220" s="33"/>
      <c r="AZ220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60"/>
      <c r="BP220" s="60"/>
      <c r="BQ220" s="178"/>
      <c r="BR220" s="179"/>
      <c r="BS220" s="179"/>
      <c r="BT220" s="179"/>
      <c r="BU220" s="179"/>
      <c r="BV220" s="179"/>
      <c r="BZ220"/>
      <c r="CA220" s="65"/>
      <c r="CB220" s="65"/>
      <c r="CC220" s="65"/>
      <c r="CD220" s="65"/>
      <c r="CE220" s="65"/>
      <c r="CF220" s="73"/>
      <c r="CG220" s="65"/>
      <c r="CH220" s="65"/>
      <c r="CI220" s="65"/>
      <c r="CJ220" s="65"/>
      <c r="CK220" s="65"/>
      <c r="CL220" s="65"/>
      <c r="CM220" s="65"/>
      <c r="CN220" s="65"/>
      <c r="CO220" s="65"/>
      <c r="CP220" s="65"/>
      <c r="CQ220" s="72"/>
      <c r="CR220" s="72"/>
      <c r="CS220" s="65"/>
      <c r="CT220" s="65"/>
      <c r="CU220" s="65"/>
      <c r="DA220"/>
      <c r="DM220" s="60"/>
      <c r="DN220" s="60"/>
      <c r="DO220" s="60"/>
      <c r="DP220" s="57"/>
      <c r="DQ220" s="178"/>
      <c r="DR220" s="178"/>
      <c r="DS220" s="178"/>
      <c r="DT220" s="178"/>
      <c r="DU220" s="179"/>
      <c r="DZ220"/>
    </row>
  </sheetData>
  <autoFilter ref="BA1:BA220" xr:uid="{49849544-F70E-4468-8B48-9A446A1AC68D}">
    <filterColumn colId="0">
      <customFilters>
        <customFilter val="*roul*"/>
      </customFilters>
    </filterColumn>
  </autoFilter>
  <conditionalFormatting sqref="BQ102:BU102">
    <cfRule type="expression" dxfId="46" priority="46">
      <formula>BQ102=BQ103</formula>
    </cfRule>
    <cfRule type="expression" dxfId="45" priority="47">
      <formula>OR(BQ102&gt;BQ101,BQ102&lt;BQ103)</formula>
    </cfRule>
  </conditionalFormatting>
  <conditionalFormatting sqref="CE103:CE116">
    <cfRule type="expression" dxfId="44" priority="36">
      <formula>$W103&lt;320</formula>
    </cfRule>
  </conditionalFormatting>
  <conditionalFormatting sqref="CA103:CT116">
    <cfRule type="expression" dxfId="43" priority="35">
      <formula>$AI103=OFFSET($AI103,1,)</formula>
    </cfRule>
  </conditionalFormatting>
  <conditionalFormatting sqref="CF102:CF116">
    <cfRule type="dataBar" priority="3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{01E66978-EED9-449E-B170-4FEA0D9ED5CC}</x14:id>
        </ext>
      </extLst>
    </cfRule>
  </conditionalFormatting>
  <conditionalFormatting sqref="DP102:DT102">
    <cfRule type="expression" dxfId="42" priority="34">
      <formula>OR(DP102&gt;DP101,DP102&lt;DP103)</formula>
    </cfRule>
  </conditionalFormatting>
  <conditionalFormatting sqref="BQ122:BY122">
    <cfRule type="expression" dxfId="41" priority="32">
      <formula>BQ122=BQ123</formula>
    </cfRule>
    <cfRule type="expression" dxfId="40" priority="33">
      <formula>OR(BQ122&gt;BQ121,BQ122&lt;BQ123)</formula>
    </cfRule>
  </conditionalFormatting>
  <conditionalFormatting sqref="CE123:CE135">
    <cfRule type="expression" dxfId="39" priority="27">
      <formula>$W123&lt;320</formula>
    </cfRule>
  </conditionalFormatting>
  <conditionalFormatting sqref="CA123:CT135">
    <cfRule type="expression" dxfId="38" priority="26">
      <formula>$AI123=OFFSET($AI123,1,)</formula>
    </cfRule>
  </conditionalFormatting>
  <conditionalFormatting sqref="CF122:CF135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{31C7D8B6-DFEB-4CE9-B6A7-0BF5052F55CB}</x14:id>
        </ext>
      </extLst>
    </cfRule>
  </conditionalFormatting>
  <conditionalFormatting sqref="DP122:DX122">
    <cfRule type="expression" dxfId="37" priority="25">
      <formula>OR(DP122&gt;DP121,DP122&lt;DP123)</formula>
    </cfRule>
  </conditionalFormatting>
  <conditionalFormatting sqref="BQ142:BV142">
    <cfRule type="expression" dxfId="36" priority="23">
      <formula>BQ142=BQ143</formula>
    </cfRule>
    <cfRule type="expression" dxfId="35" priority="24">
      <formula>OR(BQ142&gt;BQ141,BQ142&lt;BQ143)</formula>
    </cfRule>
  </conditionalFormatting>
  <conditionalFormatting sqref="CE143:CE150">
    <cfRule type="expression" dxfId="34" priority="21">
      <formula>$W143&lt;320</formula>
    </cfRule>
  </conditionalFormatting>
  <conditionalFormatting sqref="CA143:CT150">
    <cfRule type="expression" dxfId="33" priority="20">
      <formula>$AI143=OFFSET($AI143,1,)</formula>
    </cfRule>
  </conditionalFormatting>
  <conditionalFormatting sqref="CF142:CF150">
    <cfRule type="dataBar" priority="2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{CC2B7C11-2C6A-476B-8E9A-67152A54C2EF}</x14:id>
        </ext>
      </extLst>
    </cfRule>
  </conditionalFormatting>
  <conditionalFormatting sqref="DP142:DU142">
    <cfRule type="expression" dxfId="32" priority="19">
      <formula>OR(DP142&gt;DP141,DP142&lt;DP143)</formula>
    </cfRule>
  </conditionalFormatting>
  <conditionalFormatting sqref="BQ162:BS162">
    <cfRule type="expression" dxfId="31" priority="17">
      <formula>BQ162=BQ163</formula>
    </cfRule>
    <cfRule type="expression" dxfId="30" priority="18">
      <formula>OR(BQ162&gt;BQ161,BQ162&lt;BQ163)</formula>
    </cfRule>
  </conditionalFormatting>
  <conditionalFormatting sqref="CE163:CE168">
    <cfRule type="expression" dxfId="29" priority="15">
      <formula>$W163&lt;320</formula>
    </cfRule>
  </conditionalFormatting>
  <conditionalFormatting sqref="CA163:CT168">
    <cfRule type="expression" dxfId="28" priority="14">
      <formula>$AI163=OFFSET($AI163,1,)</formula>
    </cfRule>
  </conditionalFormatting>
  <conditionalFormatting sqref="CF162:CF168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{6E05E1DD-AE6B-4E82-B4C8-2F0098420093}</x14:id>
        </ext>
      </extLst>
    </cfRule>
  </conditionalFormatting>
  <conditionalFormatting sqref="DP162:DR162">
    <cfRule type="expression" dxfId="27" priority="13">
      <formula>OR(DP162&gt;DP161,DP162&lt;DP163)</formula>
    </cfRule>
  </conditionalFormatting>
  <conditionalFormatting sqref="BQ182:BT182">
    <cfRule type="expression" dxfId="26" priority="11">
      <formula>BQ182=BQ183</formula>
    </cfRule>
    <cfRule type="expression" dxfId="25" priority="12">
      <formula>OR(BQ182&gt;BQ181,BQ182&lt;BQ183)</formula>
    </cfRule>
  </conditionalFormatting>
  <conditionalFormatting sqref="CE183:CE189">
    <cfRule type="expression" dxfId="24" priority="9">
      <formula>$W183&lt;320</formula>
    </cfRule>
  </conditionalFormatting>
  <conditionalFormatting sqref="CA183:CT189">
    <cfRule type="expression" dxfId="23" priority="8">
      <formula>$AI183=OFFSET($AI183,1,)</formula>
    </cfRule>
  </conditionalFormatting>
  <conditionalFormatting sqref="CF182:CF189"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{34C1BE12-0964-48B7-86D3-12E96989EA25}</x14:id>
        </ext>
      </extLst>
    </cfRule>
  </conditionalFormatting>
  <conditionalFormatting sqref="DP182:DS182">
    <cfRule type="expression" dxfId="22" priority="7">
      <formula>OR(DP182&gt;DP181,DP182&lt;DP183)</formula>
    </cfRule>
  </conditionalFormatting>
  <conditionalFormatting sqref="BQ202:BV202">
    <cfRule type="expression" dxfId="21" priority="5">
      <formula>BQ202=BQ203</formula>
    </cfRule>
    <cfRule type="expression" dxfId="20" priority="6">
      <formula>OR(BQ202&gt;BQ201,BQ202&lt;BQ203)</formula>
    </cfRule>
  </conditionalFormatting>
  <conditionalFormatting sqref="CE203:CE211">
    <cfRule type="expression" dxfId="19" priority="3">
      <formula>$W203&lt;320</formula>
    </cfRule>
  </conditionalFormatting>
  <conditionalFormatting sqref="CA203:CT211">
    <cfRule type="expression" dxfId="18" priority="2">
      <formula>$AI203=OFFSET($AI203,1,)</formula>
    </cfRule>
  </conditionalFormatting>
  <conditionalFormatting sqref="CF202:CF211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{910C06D1-5C68-4D32-A300-66DCB0EE88BE}</x14:id>
        </ext>
      </extLst>
    </cfRule>
  </conditionalFormatting>
  <conditionalFormatting sqref="DP202:DU202">
    <cfRule type="expression" dxfId="17" priority="1">
      <formula>OR(DP202&gt;DP201,DP202&lt;DP203)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1E66978-EED9-449E-B170-4FEA0D9ED5C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CF102:CF116</xm:sqref>
        </x14:conditionalFormatting>
        <x14:conditionalFormatting xmlns:xm="http://schemas.microsoft.com/office/excel/2006/main">
          <x14:cfRule type="dataBar" id="{31C7D8B6-DFEB-4CE9-B6A7-0BF5052F55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CF122:CF135</xm:sqref>
        </x14:conditionalFormatting>
        <x14:conditionalFormatting xmlns:xm="http://schemas.microsoft.com/office/excel/2006/main">
          <x14:cfRule type="dataBar" id="{CC2B7C11-2C6A-476B-8E9A-67152A54C2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CF142:CF150</xm:sqref>
        </x14:conditionalFormatting>
        <x14:conditionalFormatting xmlns:xm="http://schemas.microsoft.com/office/excel/2006/main">
          <x14:cfRule type="dataBar" id="{6E05E1DD-AE6B-4E82-B4C8-2F009842009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CF162:CF168</xm:sqref>
        </x14:conditionalFormatting>
        <x14:conditionalFormatting xmlns:xm="http://schemas.microsoft.com/office/excel/2006/main">
          <x14:cfRule type="dataBar" id="{34C1BE12-0964-48B7-86D3-12E96989EA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CF182:CF189</xm:sqref>
        </x14:conditionalFormatting>
        <x14:conditionalFormatting xmlns:xm="http://schemas.microsoft.com/office/excel/2006/main">
          <x14:cfRule type="dataBar" id="{910C06D1-5C68-4D32-A300-66DCB0EE88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CF202:CF211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AA3D2-F627-4281-A35F-B86E47522746}">
  <sheetPr codeName="Blad6"/>
  <dimension ref="A1:D6"/>
  <sheetViews>
    <sheetView tabSelected="1" workbookViewId="0">
      <selection activeCell="C11" sqref="C11"/>
    </sheetView>
  </sheetViews>
  <sheetFormatPr defaultRowHeight="15" x14ac:dyDescent="0.25"/>
  <cols>
    <col min="2" max="2" width="31.7109375" bestFit="1" customWidth="1"/>
    <col min="3" max="3" width="33.85546875" style="181" customWidth="1"/>
    <col min="4" max="4" width="39.85546875" bestFit="1" customWidth="1"/>
  </cols>
  <sheetData>
    <row r="1" spans="1:4" ht="18.75" x14ac:dyDescent="0.3">
      <c r="A1" s="124"/>
      <c r="B1" s="138" t="s">
        <v>152</v>
      </c>
      <c r="D1" s="198" t="s">
        <v>177</v>
      </c>
    </row>
    <row r="2" spans="1:4" ht="18.75" x14ac:dyDescent="0.3">
      <c r="A2" s="124"/>
      <c r="B2" s="138" t="s">
        <v>151</v>
      </c>
      <c r="D2" s="138" t="s">
        <v>207</v>
      </c>
    </row>
    <row r="3" spans="1:4" ht="18.75" x14ac:dyDescent="0.3">
      <c r="A3" s="124"/>
      <c r="B3" s="138" t="s">
        <v>221</v>
      </c>
      <c r="D3" s="138" t="s">
        <v>237</v>
      </c>
    </row>
    <row r="4" spans="1:4" ht="18.75" x14ac:dyDescent="0.3">
      <c r="A4" s="124"/>
      <c r="B4" s="138" t="s">
        <v>245</v>
      </c>
      <c r="D4" s="138" t="s">
        <v>255</v>
      </c>
    </row>
    <row r="5" spans="1:4" ht="18.75" x14ac:dyDescent="0.3">
      <c r="A5" s="124"/>
      <c r="B5" s="138" t="s">
        <v>266</v>
      </c>
      <c r="D5" s="138" t="s">
        <v>280</v>
      </c>
    </row>
    <row r="6" spans="1:4" ht="18.75" x14ac:dyDescent="0.3">
      <c r="A6" s="124"/>
      <c r="B6" s="138" t="s">
        <v>295</v>
      </c>
      <c r="D6" s="138" t="s">
        <v>319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79CB6-6065-4BB9-A5DB-F8EEE4BEB3D6}">
  <sheetPr codeName="Blad4"/>
  <dimension ref="A1:V10"/>
  <sheetViews>
    <sheetView workbookViewId="0">
      <selection activeCell="C13" sqref="C13"/>
    </sheetView>
  </sheetViews>
  <sheetFormatPr defaultRowHeight="15" x14ac:dyDescent="0.25"/>
  <cols>
    <col min="1" max="1" width="6.85546875" style="58" bestFit="1" customWidth="1"/>
    <col min="2" max="2" width="7.5703125" style="58" bestFit="1" customWidth="1"/>
    <col min="3" max="3" width="8.5703125" style="58" bestFit="1" customWidth="1"/>
    <col min="4" max="7" width="4" style="58" bestFit="1" customWidth="1"/>
    <col min="8" max="12" width="3" style="58" bestFit="1" customWidth="1"/>
    <col min="13" max="13" width="4" style="58" bestFit="1" customWidth="1"/>
    <col min="14" max="14" width="4" style="58" customWidth="1"/>
    <col min="15" max="15" width="7.7109375" style="60" bestFit="1" customWidth="1"/>
    <col min="16" max="16" width="6.5703125" style="60" bestFit="1" customWidth="1"/>
    <col min="17" max="17" width="8" style="178" bestFit="1" customWidth="1"/>
    <col min="18" max="22" width="9.140625" style="179"/>
  </cols>
  <sheetData>
    <row r="1" spans="1:22" ht="18.75" x14ac:dyDescent="0.3">
      <c r="A1" s="138" t="s">
        <v>295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O1" s="61"/>
      <c r="P1" s="62">
        <f>ROWS(tbl_Solveur[utilisé])</f>
        <v>6</v>
      </c>
      <c r="Q1" s="178">
        <f>MAX(Q3+20,Q3*5)</f>
        <v>160</v>
      </c>
      <c r="R1" s="178">
        <f t="shared" ref="R1:V1" si="0">MAX(R3+20,R3*5)</f>
        <v>23</v>
      </c>
      <c r="S1" s="178">
        <f t="shared" si="0"/>
        <v>23</v>
      </c>
      <c r="T1" s="178">
        <f t="shared" si="0"/>
        <v>50</v>
      </c>
      <c r="U1" s="178">
        <f t="shared" si="0"/>
        <v>140</v>
      </c>
      <c r="V1" s="178">
        <f t="shared" si="0"/>
        <v>65</v>
      </c>
    </row>
    <row r="2" spans="1:22" ht="18.75" x14ac:dyDescent="0.3">
      <c r="N2" s="58">
        <f>SUM('Résultats Regroupés'!J51:J100)</f>
        <v>0</v>
      </c>
      <c r="O2" s="67">
        <f>P3*10+O3</f>
        <v>105</v>
      </c>
      <c r="P2" s="62"/>
      <c r="Q2" s="196">
        <f>SUMPRODUCT(Solveur,tbl_Solveur[225])</f>
        <v>32</v>
      </c>
      <c r="R2" s="196">
        <f>SUMPRODUCT(Solveur,tbl_Solveur[199])</f>
        <v>3</v>
      </c>
      <c r="S2" s="196">
        <f>SUMPRODUCT(Solveur,tbl_Solveur[189])</f>
        <v>3</v>
      </c>
      <c r="T2" s="196">
        <f>SUMPRODUCT(Solveur,tbl_Solveur[184])</f>
        <v>10</v>
      </c>
      <c r="U2" s="196">
        <f>SUMPRODUCT(Solveur,tbl_Solveur[170])</f>
        <v>28</v>
      </c>
      <c r="V2" s="196">
        <f>SUMPRODUCT(Solveur,tbl_Solveur[155])</f>
        <v>13</v>
      </c>
    </row>
    <row r="3" spans="1:22" x14ac:dyDescent="0.25">
      <c r="N3" s="65">
        <f>SUMPRODUCT(Solveur,tbl_Solveur[Nbr])</f>
        <v>89</v>
      </c>
      <c r="O3" s="63">
        <f>SUM(tbl_Solveur[Solveur])</f>
        <v>45</v>
      </c>
      <c r="P3" s="64">
        <f>SUM(tbl_Solveur[utilisé])</f>
        <v>6</v>
      </c>
      <c r="Q3" s="178">
        <v>32</v>
      </c>
      <c r="R3" s="179">
        <v>3</v>
      </c>
      <c r="S3" s="179">
        <v>3</v>
      </c>
      <c r="T3" s="179">
        <v>10</v>
      </c>
      <c r="U3" s="179">
        <v>28</v>
      </c>
      <c r="V3" s="179">
        <v>13</v>
      </c>
    </row>
    <row r="4" spans="1:22" x14ac:dyDescent="0.25">
      <c r="A4" s="59" t="s">
        <v>7</v>
      </c>
      <c r="B4" s="59" t="s">
        <v>10</v>
      </c>
      <c r="C4" s="59" t="s">
        <v>11</v>
      </c>
      <c r="D4" s="59" t="s">
        <v>12</v>
      </c>
      <c r="E4" s="59" t="s">
        <v>13</v>
      </c>
      <c r="F4" s="59" t="s">
        <v>14</v>
      </c>
      <c r="G4" s="59" t="s">
        <v>15</v>
      </c>
      <c r="H4" s="59" t="s">
        <v>16</v>
      </c>
      <c r="I4" s="59" t="s">
        <v>17</v>
      </c>
      <c r="J4" s="59" t="s">
        <v>19</v>
      </c>
      <c r="K4" s="59" t="s">
        <v>18</v>
      </c>
      <c r="L4" s="59" t="s">
        <v>20</v>
      </c>
      <c r="M4" s="59" t="s">
        <v>21</v>
      </c>
      <c r="N4" s="59" t="s">
        <v>46</v>
      </c>
      <c r="O4" s="63" t="s">
        <v>44</v>
      </c>
      <c r="P4" s="64" t="s">
        <v>45</v>
      </c>
      <c r="Q4" s="178" t="s">
        <v>143</v>
      </c>
      <c r="R4" s="197" t="s">
        <v>290</v>
      </c>
      <c r="S4" s="197" t="s">
        <v>291</v>
      </c>
      <c r="T4" s="197" t="s">
        <v>292</v>
      </c>
      <c r="U4" s="197" t="s">
        <v>293</v>
      </c>
      <c r="V4" s="197" t="s">
        <v>294</v>
      </c>
    </row>
    <row r="5" spans="1:22" x14ac:dyDescent="0.25">
      <c r="A5" s="192" t="s">
        <v>8</v>
      </c>
      <c r="B5" s="192">
        <v>424</v>
      </c>
      <c r="C5" s="192">
        <v>3600</v>
      </c>
      <c r="D5" s="192">
        <v>225</v>
      </c>
      <c r="E5" s="192">
        <v>199</v>
      </c>
      <c r="F5" s="192"/>
      <c r="G5" s="192"/>
      <c r="H5" s="192"/>
      <c r="I5" s="192"/>
      <c r="J5" s="192"/>
      <c r="K5" s="192"/>
      <c r="L5" s="192"/>
      <c r="M5" s="192"/>
      <c r="N5" s="193">
        <f>COUNT(tbl_Solveur[[#This Row],['#1]:['#10]])</f>
        <v>2</v>
      </c>
      <c r="O5" s="68">
        <v>3</v>
      </c>
      <c r="P5" s="194">
        <f>--(tbl_Solveur[[#This Row],[Solveur]]&gt;0)</f>
        <v>1</v>
      </c>
      <c r="Q5" s="177">
        <f>COUNTIF(tbl_Solveur[[#This Row],['#1]:['#10]],--tbl_Solveur[[#Headers],[225]])</f>
        <v>1</v>
      </c>
      <c r="R5" s="180">
        <f>COUNTIF(tbl_Solveur[[#This Row],['#1]:['#10]],--tbl_Solveur[[#Headers],[199]])</f>
        <v>1</v>
      </c>
      <c r="S5" s="180">
        <f>COUNTIF(tbl_Solveur[[#This Row],['#1]:['#10]],--tbl_Solveur[[#Headers],[189]])</f>
        <v>0</v>
      </c>
      <c r="T5" s="180">
        <f>COUNTIF(tbl_Solveur[[#This Row],['#1]:['#10]],--tbl_Solveur[[#Headers],[184]])</f>
        <v>0</v>
      </c>
      <c r="U5" s="180">
        <f>COUNTIF(tbl_Solveur[[#This Row],['#1]:['#10]],--tbl_Solveur[[#Headers],[170]])</f>
        <v>0</v>
      </c>
      <c r="V5" s="180">
        <f>COUNTIF(tbl_Solveur[[#This Row],['#1]:['#10]],--tbl_Solveur[[#Headers],[155]])</f>
        <v>0</v>
      </c>
    </row>
    <row r="6" spans="1:22" x14ac:dyDescent="0.25">
      <c r="A6" s="192" t="s">
        <v>29</v>
      </c>
      <c r="B6" s="192">
        <v>414</v>
      </c>
      <c r="C6" s="192">
        <v>3600</v>
      </c>
      <c r="D6" s="192">
        <v>225</v>
      </c>
      <c r="E6" s="192">
        <v>189</v>
      </c>
      <c r="F6" s="192"/>
      <c r="G6" s="192"/>
      <c r="H6" s="192"/>
      <c r="I6" s="192"/>
      <c r="J6" s="192"/>
      <c r="K6" s="192"/>
      <c r="L6" s="192"/>
      <c r="M6" s="192"/>
      <c r="N6" s="193">
        <f>COUNT(tbl_Solveur[[#This Row],['#1]:['#10]])</f>
        <v>2</v>
      </c>
      <c r="O6" s="69">
        <v>3</v>
      </c>
      <c r="P6" s="195">
        <f>--(tbl_Solveur[[#This Row],[Solveur]]&gt;0)</f>
        <v>1</v>
      </c>
      <c r="Q6" s="177">
        <f>COUNTIF(tbl_Solveur[[#This Row],['#1]:['#10]],--tbl_Solveur[[#Headers],[225]])</f>
        <v>1</v>
      </c>
      <c r="R6" s="180">
        <f>COUNTIF(tbl_Solveur[[#This Row],['#1]:['#10]],--tbl_Solveur[[#Headers],[199]])</f>
        <v>0</v>
      </c>
      <c r="S6" s="180">
        <f>COUNTIF(tbl_Solveur[[#This Row],['#1]:['#10]],--tbl_Solveur[[#Headers],[189]])</f>
        <v>1</v>
      </c>
      <c r="T6" s="180">
        <f>COUNTIF(tbl_Solveur[[#This Row],['#1]:['#10]],--tbl_Solveur[[#Headers],[184]])</f>
        <v>0</v>
      </c>
      <c r="U6" s="180">
        <f>COUNTIF(tbl_Solveur[[#This Row],['#1]:['#10]],--tbl_Solveur[[#Headers],[170]])</f>
        <v>0</v>
      </c>
      <c r="V6" s="180">
        <f>COUNTIF(tbl_Solveur[[#This Row],['#1]:['#10]],--tbl_Solveur[[#Headers],[155]])</f>
        <v>0</v>
      </c>
    </row>
    <row r="7" spans="1:22" x14ac:dyDescent="0.25">
      <c r="A7" s="192" t="s">
        <v>30</v>
      </c>
      <c r="B7" s="192">
        <v>409</v>
      </c>
      <c r="C7" s="192">
        <v>12000</v>
      </c>
      <c r="D7" s="192">
        <v>225</v>
      </c>
      <c r="E7" s="192">
        <v>184</v>
      </c>
      <c r="F7" s="192"/>
      <c r="G7" s="192"/>
      <c r="H7" s="192"/>
      <c r="I7" s="192"/>
      <c r="J7" s="192"/>
      <c r="K7" s="192"/>
      <c r="L7" s="192"/>
      <c r="M7" s="192"/>
      <c r="N7" s="193">
        <f>COUNT(tbl_Solveur[[#This Row],['#1]:['#10]])</f>
        <v>2</v>
      </c>
      <c r="O7" s="69">
        <v>10</v>
      </c>
      <c r="P7" s="195">
        <f>--(tbl_Solveur[[#This Row],[Solveur]]&gt;0)</f>
        <v>1</v>
      </c>
      <c r="Q7" s="177">
        <f>COUNTIF(tbl_Solveur[[#This Row],['#1]:['#10]],--tbl_Solveur[[#Headers],[225]])</f>
        <v>1</v>
      </c>
      <c r="R7" s="180">
        <f>COUNTIF(tbl_Solveur[[#This Row],['#1]:['#10]],--tbl_Solveur[[#Headers],[199]])</f>
        <v>0</v>
      </c>
      <c r="S7" s="180">
        <f>COUNTIF(tbl_Solveur[[#This Row],['#1]:['#10]],--tbl_Solveur[[#Headers],[189]])</f>
        <v>0</v>
      </c>
      <c r="T7" s="180">
        <f>COUNTIF(tbl_Solveur[[#This Row],['#1]:['#10]],--tbl_Solveur[[#Headers],[184]])</f>
        <v>1</v>
      </c>
      <c r="U7" s="180">
        <f>COUNTIF(tbl_Solveur[[#This Row],['#1]:['#10]],--tbl_Solveur[[#Headers],[170]])</f>
        <v>0</v>
      </c>
      <c r="V7" s="180">
        <f>COUNTIF(tbl_Solveur[[#This Row],['#1]:['#10]],--tbl_Solveur[[#Headers],[155]])</f>
        <v>0</v>
      </c>
    </row>
    <row r="8" spans="1:22" x14ac:dyDescent="0.25">
      <c r="A8" s="192" t="s">
        <v>31</v>
      </c>
      <c r="B8" s="192">
        <v>395</v>
      </c>
      <c r="C8" s="192">
        <v>19200</v>
      </c>
      <c r="D8" s="192">
        <v>225</v>
      </c>
      <c r="E8" s="192">
        <v>170</v>
      </c>
      <c r="F8" s="192"/>
      <c r="G8" s="192"/>
      <c r="H8" s="192"/>
      <c r="I8" s="192"/>
      <c r="J8" s="192"/>
      <c r="K8" s="192"/>
      <c r="L8" s="192"/>
      <c r="M8" s="192"/>
      <c r="N8" s="193">
        <f>COUNT(tbl_Solveur[[#This Row],['#1]:['#10]])</f>
        <v>2</v>
      </c>
      <c r="O8" s="69">
        <v>16</v>
      </c>
      <c r="P8" s="195">
        <f>--(tbl_Solveur[[#This Row],[Solveur]]&gt;0)</f>
        <v>1</v>
      </c>
      <c r="Q8" s="177">
        <f>COUNTIF(tbl_Solveur[[#This Row],['#1]:['#10]],--tbl_Solveur[[#Headers],[225]])</f>
        <v>1</v>
      </c>
      <c r="R8" s="180">
        <f>COUNTIF(tbl_Solveur[[#This Row],['#1]:['#10]],--tbl_Solveur[[#Headers],[199]])</f>
        <v>0</v>
      </c>
      <c r="S8" s="180">
        <f>COUNTIF(tbl_Solveur[[#This Row],['#1]:['#10]],--tbl_Solveur[[#Headers],[189]])</f>
        <v>0</v>
      </c>
      <c r="T8" s="180">
        <f>COUNTIF(tbl_Solveur[[#This Row],['#1]:['#10]],--tbl_Solveur[[#Headers],[184]])</f>
        <v>0</v>
      </c>
      <c r="U8" s="180">
        <f>COUNTIF(tbl_Solveur[[#This Row],['#1]:['#10]],--tbl_Solveur[[#Headers],[170]])</f>
        <v>1</v>
      </c>
      <c r="V8" s="180">
        <f>COUNTIF(tbl_Solveur[[#This Row],['#1]:['#10]],--tbl_Solveur[[#Headers],[155]])</f>
        <v>0</v>
      </c>
    </row>
    <row r="9" spans="1:22" x14ac:dyDescent="0.25">
      <c r="A9" s="192" t="s">
        <v>32</v>
      </c>
      <c r="B9" s="192">
        <v>325</v>
      </c>
      <c r="C9" s="192">
        <v>14400</v>
      </c>
      <c r="D9" s="192">
        <v>170</v>
      </c>
      <c r="E9" s="192">
        <v>155</v>
      </c>
      <c r="F9" s="192"/>
      <c r="G9" s="192"/>
      <c r="H9" s="192"/>
      <c r="I9" s="192"/>
      <c r="J9" s="192"/>
      <c r="K9" s="192"/>
      <c r="L9" s="192"/>
      <c r="M9" s="192"/>
      <c r="N9" s="193">
        <f>COUNT(tbl_Solveur[[#This Row],['#1]:['#10]])</f>
        <v>2</v>
      </c>
      <c r="O9" s="69">
        <v>12</v>
      </c>
      <c r="P9" s="195">
        <f>--(tbl_Solveur[[#This Row],[Solveur]]&gt;0)</f>
        <v>1</v>
      </c>
      <c r="Q9" s="177">
        <f>COUNTIF(tbl_Solveur[[#This Row],['#1]:['#10]],--tbl_Solveur[[#Headers],[225]])</f>
        <v>0</v>
      </c>
      <c r="R9" s="180">
        <f>COUNTIF(tbl_Solveur[[#This Row],['#1]:['#10]],--tbl_Solveur[[#Headers],[199]])</f>
        <v>0</v>
      </c>
      <c r="S9" s="180">
        <f>COUNTIF(tbl_Solveur[[#This Row],['#1]:['#10]],--tbl_Solveur[[#Headers],[189]])</f>
        <v>0</v>
      </c>
      <c r="T9" s="180">
        <f>COUNTIF(tbl_Solveur[[#This Row],['#1]:['#10]],--tbl_Solveur[[#Headers],[184]])</f>
        <v>0</v>
      </c>
      <c r="U9" s="180">
        <f>COUNTIF(tbl_Solveur[[#This Row],['#1]:['#10]],--tbl_Solveur[[#Headers],[170]])</f>
        <v>1</v>
      </c>
      <c r="V9" s="180">
        <f>COUNTIF(tbl_Solveur[[#This Row],['#1]:['#10]],--tbl_Solveur[[#Headers],[155]])</f>
        <v>1</v>
      </c>
    </row>
    <row r="10" spans="1:22" x14ac:dyDescent="0.25">
      <c r="A10" s="192" t="s">
        <v>33</v>
      </c>
      <c r="B10" s="192">
        <v>155</v>
      </c>
      <c r="C10" s="192">
        <v>1200</v>
      </c>
      <c r="D10" s="192">
        <v>155</v>
      </c>
      <c r="E10" s="192"/>
      <c r="F10" s="192"/>
      <c r="G10" s="192"/>
      <c r="H10" s="192"/>
      <c r="I10" s="192"/>
      <c r="J10" s="192"/>
      <c r="K10" s="192"/>
      <c r="L10" s="192"/>
      <c r="M10" s="192"/>
      <c r="N10" s="193">
        <f>COUNT(tbl_Solveur[[#This Row],['#1]:['#10]])</f>
        <v>1</v>
      </c>
      <c r="O10" s="69">
        <v>1</v>
      </c>
      <c r="P10" s="195">
        <f>--(tbl_Solveur[[#This Row],[Solveur]]&gt;0)</f>
        <v>1</v>
      </c>
      <c r="Q10" s="177">
        <f>COUNTIF(tbl_Solveur[[#This Row],['#1]:['#10]],--tbl_Solveur[[#Headers],[225]])</f>
        <v>0</v>
      </c>
      <c r="R10" s="180">
        <f>COUNTIF(tbl_Solveur[[#This Row],['#1]:['#10]],--tbl_Solveur[[#Headers],[199]])</f>
        <v>0</v>
      </c>
      <c r="S10" s="180">
        <f>COUNTIF(tbl_Solveur[[#This Row],['#1]:['#10]],--tbl_Solveur[[#Headers],[189]])</f>
        <v>0</v>
      </c>
      <c r="T10" s="180">
        <f>COUNTIF(tbl_Solveur[[#This Row],['#1]:['#10]],--tbl_Solveur[[#Headers],[184]])</f>
        <v>0</v>
      </c>
      <c r="U10" s="180">
        <f>COUNTIF(tbl_Solveur[[#This Row],['#1]:['#10]],--tbl_Solveur[[#Headers],[170]])</f>
        <v>0</v>
      </c>
      <c r="V10" s="180">
        <f>COUNTIF(tbl_Solveur[[#This Row],['#1]:['#10]],--tbl_Solveur[[#Headers],[155]])</f>
        <v>1</v>
      </c>
    </row>
  </sheetData>
  <phoneticPr fontId="2" type="noConversion"/>
  <conditionalFormatting sqref="Q2:V2">
    <cfRule type="expression" dxfId="16" priority="1">
      <formula>Q2=Q3</formula>
    </cfRule>
    <cfRule type="expression" dxfId="15" priority="2">
      <formula>OR(Q2&gt;Q1,Q2&lt;Q3)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W41"/>
  <sheetViews>
    <sheetView workbookViewId="0"/>
  </sheetViews>
  <sheetFormatPr defaultColWidth="11.42578125" defaultRowHeight="15" x14ac:dyDescent="0.25"/>
  <cols>
    <col min="1" max="1" width="8.140625" customWidth="1"/>
    <col min="2" max="3" width="9.28515625" customWidth="1"/>
    <col min="4" max="13" width="6.140625" customWidth="1"/>
    <col min="15" max="15" width="8.7109375" style="33" customWidth="1"/>
    <col min="16" max="16" width="5.140625" customWidth="1"/>
    <col min="17" max="18" width="9.85546875" customWidth="1"/>
    <col min="19" max="19" width="8.7109375" customWidth="1"/>
    <col min="20" max="20" width="10.42578125" customWidth="1"/>
    <col min="21" max="21" width="7.5703125" customWidth="1"/>
    <col min="22" max="22" width="10.42578125" customWidth="1"/>
    <col min="23" max="23" width="7.5703125" customWidth="1"/>
  </cols>
  <sheetData>
    <row r="1" spans="1:23" ht="21" customHeight="1" x14ac:dyDescent="0.25">
      <c r="A1" s="2" t="s">
        <v>7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19</v>
      </c>
      <c r="K1" s="3" t="s">
        <v>18</v>
      </c>
      <c r="L1" s="3" t="s">
        <v>20</v>
      </c>
      <c r="M1" s="4" t="s">
        <v>21</v>
      </c>
      <c r="O1" s="45" t="s">
        <v>43</v>
      </c>
      <c r="P1" s="5" t="s">
        <v>26</v>
      </c>
      <c r="Q1" s="5" t="s">
        <v>25</v>
      </c>
      <c r="R1" s="5" t="s">
        <v>24</v>
      </c>
      <c r="T1" s="5" t="s">
        <v>10</v>
      </c>
      <c r="U1" s="6">
        <f>'Résultats Regroupés'!A2/100</f>
        <v>5.4</v>
      </c>
      <c r="V1" s="5" t="s">
        <v>27</v>
      </c>
      <c r="W1" s="6">
        <f>'Résultats Regroupés'!F2</f>
        <v>1200</v>
      </c>
    </row>
    <row r="2" spans="1:23" x14ac:dyDescent="0.25">
      <c r="A2" s="7" t="s">
        <v>8</v>
      </c>
      <c r="B2" s="181">
        <f>SUM(D2:M2)</f>
        <v>424</v>
      </c>
      <c r="C2" s="12">
        <v>3600</v>
      </c>
      <c r="D2" s="181">
        <v>225</v>
      </c>
      <c r="E2" s="181">
        <v>199</v>
      </c>
      <c r="F2" s="181"/>
      <c r="G2" s="181"/>
      <c r="H2" s="181"/>
      <c r="I2" s="181"/>
      <c r="J2" s="181"/>
      <c r="K2" s="181"/>
      <c r="L2" s="181"/>
      <c r="M2" s="8"/>
      <c r="O2" s="35" t="s">
        <v>281</v>
      </c>
      <c r="P2" s="191">
        <v>3</v>
      </c>
      <c r="Q2" s="191">
        <v>15264</v>
      </c>
      <c r="R2" s="16">
        <v>19440</v>
      </c>
      <c r="T2" s="40"/>
      <c r="U2" s="51"/>
      <c r="V2" s="52"/>
      <c r="W2" s="50"/>
    </row>
    <row r="3" spans="1:23" x14ac:dyDescent="0.25">
      <c r="A3" s="7" t="s">
        <v>29</v>
      </c>
      <c r="B3" s="181">
        <f>SUM(D3:M3)</f>
        <v>414</v>
      </c>
      <c r="C3" s="13">
        <v>3600</v>
      </c>
      <c r="D3" s="181">
        <v>225</v>
      </c>
      <c r="E3" s="181">
        <v>189</v>
      </c>
      <c r="F3" s="181"/>
      <c r="G3" s="181"/>
      <c r="H3" s="181"/>
      <c r="I3" s="181"/>
      <c r="J3" s="181"/>
      <c r="K3" s="181"/>
      <c r="L3" s="181"/>
      <c r="M3" s="8"/>
      <c r="O3" s="35" t="s">
        <v>282</v>
      </c>
      <c r="P3" s="191">
        <v>3</v>
      </c>
      <c r="Q3" s="191">
        <v>14904</v>
      </c>
      <c r="R3" s="16">
        <v>19440</v>
      </c>
      <c r="T3" s="56"/>
      <c r="U3" s="55"/>
      <c r="V3" s="54"/>
      <c r="W3" s="53"/>
    </row>
    <row r="4" spans="1:23" x14ac:dyDescent="0.25">
      <c r="A4" s="7" t="s">
        <v>30</v>
      </c>
      <c r="B4" s="181">
        <f>SUM(D4:M4)</f>
        <v>409</v>
      </c>
      <c r="C4" s="13">
        <v>12000</v>
      </c>
      <c r="D4" s="181">
        <v>225</v>
      </c>
      <c r="E4" s="181">
        <v>184</v>
      </c>
      <c r="F4" s="181"/>
      <c r="G4" s="181"/>
      <c r="H4" s="181"/>
      <c r="I4" s="181"/>
      <c r="J4" s="181"/>
      <c r="K4" s="181"/>
      <c r="L4" s="181"/>
      <c r="M4" s="8"/>
      <c r="O4" s="35" t="s">
        <v>283</v>
      </c>
      <c r="P4" s="191">
        <v>10</v>
      </c>
      <c r="Q4" s="191">
        <v>49080</v>
      </c>
      <c r="R4" s="16">
        <v>64800</v>
      </c>
      <c r="T4" s="36"/>
      <c r="U4" s="38"/>
      <c r="V4" s="37"/>
      <c r="W4" s="39"/>
    </row>
    <row r="5" spans="1:23" x14ac:dyDescent="0.25">
      <c r="A5" s="7" t="s">
        <v>31</v>
      </c>
      <c r="B5" s="181">
        <f>SUM(D5:M5)</f>
        <v>395</v>
      </c>
      <c r="C5" s="13">
        <v>19200</v>
      </c>
      <c r="D5" s="181">
        <v>225</v>
      </c>
      <c r="E5" s="181">
        <v>170</v>
      </c>
      <c r="F5" s="181"/>
      <c r="G5" s="181"/>
      <c r="H5" s="181"/>
      <c r="I5" s="181"/>
      <c r="J5" s="181"/>
      <c r="K5" s="181"/>
      <c r="L5" s="181"/>
      <c r="M5" s="8"/>
      <c r="O5" s="35" t="s">
        <v>284</v>
      </c>
      <c r="P5" s="191">
        <v>16</v>
      </c>
      <c r="Q5" s="191">
        <v>75840</v>
      </c>
      <c r="R5" s="16">
        <v>103680</v>
      </c>
      <c r="T5" s="41"/>
      <c r="U5" s="42"/>
      <c r="V5" s="43"/>
      <c r="W5" s="44"/>
    </row>
    <row r="6" spans="1:23" x14ac:dyDescent="0.25">
      <c r="A6" s="7" t="s">
        <v>32</v>
      </c>
      <c r="B6" s="181">
        <f>SUM(D6:M6)</f>
        <v>325</v>
      </c>
      <c r="C6" s="13">
        <v>14400</v>
      </c>
      <c r="D6" s="181">
        <v>170</v>
      </c>
      <c r="E6" s="181">
        <v>155</v>
      </c>
      <c r="F6" s="181"/>
      <c r="G6" s="181"/>
      <c r="H6" s="181"/>
      <c r="I6" s="181"/>
      <c r="J6" s="181"/>
      <c r="K6" s="181"/>
      <c r="L6" s="181"/>
      <c r="M6" s="8"/>
      <c r="O6" s="35" t="s">
        <v>285</v>
      </c>
      <c r="P6" s="191">
        <v>12</v>
      </c>
      <c r="Q6" s="191">
        <v>46800</v>
      </c>
      <c r="R6" s="16">
        <v>77760</v>
      </c>
      <c r="T6" s="46"/>
      <c r="U6" s="47"/>
      <c r="V6" s="48"/>
      <c r="W6" s="49"/>
    </row>
    <row r="7" spans="1:23" x14ac:dyDescent="0.25">
      <c r="A7" s="9" t="s">
        <v>33</v>
      </c>
      <c r="B7" s="10">
        <f>SUM(D7:M7)</f>
        <v>155</v>
      </c>
      <c r="C7" s="14">
        <v>1200</v>
      </c>
      <c r="D7" s="10">
        <v>155</v>
      </c>
      <c r="E7" s="10"/>
      <c r="F7" s="10"/>
      <c r="G7" s="10"/>
      <c r="H7" s="10"/>
      <c r="I7" s="10"/>
      <c r="J7" s="10"/>
      <c r="K7" s="10"/>
      <c r="L7" s="10"/>
      <c r="M7" s="11"/>
      <c r="O7" s="35" t="s">
        <v>286</v>
      </c>
      <c r="P7" s="191">
        <v>1</v>
      </c>
      <c r="Q7" s="191">
        <v>1860</v>
      </c>
      <c r="R7" s="16">
        <v>6480</v>
      </c>
    </row>
    <row r="8" spans="1:23" x14ac:dyDescent="0.25">
      <c r="O8" s="45" t="s">
        <v>287</v>
      </c>
      <c r="P8" s="17">
        <f>SUM(P2:P7)</f>
        <v>45</v>
      </c>
      <c r="Q8" s="17">
        <f>SUM(Q2:Q7)</f>
        <v>203748</v>
      </c>
      <c r="R8" s="17">
        <f>SUM(R2:R7)</f>
        <v>291600</v>
      </c>
    </row>
    <row r="9" spans="1:23" x14ac:dyDescent="0.25">
      <c r="O9" s="33" t="s">
        <v>288</v>
      </c>
      <c r="P9" s="15"/>
      <c r="Q9" s="15" t="s">
        <v>36</v>
      </c>
      <c r="R9" s="15">
        <v>87852</v>
      </c>
    </row>
    <row r="10" spans="1:23" x14ac:dyDescent="0.25">
      <c r="P10" s="15"/>
      <c r="Q10" s="15" t="s">
        <v>41</v>
      </c>
      <c r="R10" s="15" t="s">
        <v>289</v>
      </c>
    </row>
    <row r="14" spans="1:23" x14ac:dyDescent="0.25">
      <c r="U14">
        <f>+T14*98/96</f>
        <v>0</v>
      </c>
    </row>
    <row r="30" spans="1:20" ht="15.75" x14ac:dyDescent="0.25">
      <c r="A30" s="26"/>
      <c r="B30" s="2" t="s">
        <v>10</v>
      </c>
      <c r="C30" s="3" t="s">
        <v>11</v>
      </c>
      <c r="D30" s="3" t="s">
        <v>12</v>
      </c>
      <c r="E30" s="3" t="s">
        <v>13</v>
      </c>
      <c r="F30" s="3" t="s">
        <v>14</v>
      </c>
      <c r="G30" s="3" t="s">
        <v>15</v>
      </c>
      <c r="H30" s="3" t="s">
        <v>16</v>
      </c>
      <c r="I30" s="3" t="s">
        <v>17</v>
      </c>
      <c r="J30" s="3" t="s">
        <v>19</v>
      </c>
      <c r="K30" s="3" t="s">
        <v>18</v>
      </c>
      <c r="L30" s="3" t="s">
        <v>20</v>
      </c>
      <c r="M30" s="4" t="s">
        <v>21</v>
      </c>
      <c r="N30" s="26"/>
      <c r="O30" s="32" t="s">
        <v>23</v>
      </c>
      <c r="P30" s="17" t="s">
        <v>26</v>
      </c>
      <c r="Q30" s="17" t="s">
        <v>41</v>
      </c>
      <c r="R30" s="17" t="s">
        <v>42</v>
      </c>
      <c r="T30" s="26"/>
    </row>
    <row r="31" spans="1:20" x14ac:dyDescent="0.25">
      <c r="B31" s="7">
        <f t="shared" ref="B31:B38" si="0">SUM(D31:M31)</f>
        <v>445</v>
      </c>
      <c r="C31" s="12">
        <v>1500</v>
      </c>
      <c r="D31" s="19">
        <v>160</v>
      </c>
      <c r="E31">
        <v>105</v>
      </c>
      <c r="F31" s="20">
        <v>90</v>
      </c>
      <c r="G31" s="21">
        <v>45</v>
      </c>
      <c r="H31" s="21">
        <v>45</v>
      </c>
      <c r="M31" s="8"/>
      <c r="N31" s="7" t="s">
        <v>8</v>
      </c>
      <c r="O31" s="35">
        <f>Q31/R31</f>
        <v>0.82407407407407396</v>
      </c>
      <c r="P31" s="15">
        <v>5</v>
      </c>
      <c r="Q31" s="15">
        <f t="shared" ref="Q31:Q38" si="1">C31*B31/100</f>
        <v>6675</v>
      </c>
      <c r="R31" s="16">
        <f t="shared" ref="R31:R38" si="2">C31*LARG_ROL</f>
        <v>8100.0000000000009</v>
      </c>
    </row>
    <row r="32" spans="1:20" x14ac:dyDescent="0.25">
      <c r="B32" s="7">
        <f t="shared" si="0"/>
        <v>445</v>
      </c>
      <c r="C32" s="13">
        <v>3000</v>
      </c>
      <c r="D32" s="19">
        <v>160</v>
      </c>
      <c r="E32" s="22">
        <v>120</v>
      </c>
      <c r="F32" s="22">
        <v>120</v>
      </c>
      <c r="G32" s="21">
        <v>45</v>
      </c>
      <c r="M32" s="8"/>
      <c r="N32" s="7" t="s">
        <v>29</v>
      </c>
      <c r="O32" s="35">
        <f t="shared" ref="O32:O38" si="3">Q32/R32</f>
        <v>0.82407407407407396</v>
      </c>
      <c r="P32" s="15">
        <v>3</v>
      </c>
      <c r="Q32" s="15">
        <f t="shared" si="1"/>
        <v>13350</v>
      </c>
      <c r="R32" s="16">
        <f t="shared" si="2"/>
        <v>16200.000000000002</v>
      </c>
    </row>
    <row r="33" spans="2:18" x14ac:dyDescent="0.25">
      <c r="B33" s="7">
        <f t="shared" si="0"/>
        <v>445</v>
      </c>
      <c r="C33" s="13">
        <v>10500</v>
      </c>
      <c r="D33" s="19">
        <v>160</v>
      </c>
      <c r="E33" s="23">
        <v>120</v>
      </c>
      <c r="F33" s="23">
        <v>120</v>
      </c>
      <c r="G33" s="21">
        <v>45</v>
      </c>
      <c r="M33" s="8"/>
      <c r="N33" s="7" t="s">
        <v>30</v>
      </c>
      <c r="O33" s="35">
        <f t="shared" si="3"/>
        <v>0.82407407407407396</v>
      </c>
      <c r="P33" s="15">
        <v>27</v>
      </c>
      <c r="Q33" s="15">
        <f t="shared" si="1"/>
        <v>46725</v>
      </c>
      <c r="R33" s="16">
        <f t="shared" si="2"/>
        <v>56700.000000000007</v>
      </c>
    </row>
    <row r="34" spans="2:18" x14ac:dyDescent="0.25">
      <c r="B34" s="7">
        <f t="shared" si="0"/>
        <v>444</v>
      </c>
      <c r="C34" s="13">
        <v>2500</v>
      </c>
      <c r="D34" s="19">
        <v>160</v>
      </c>
      <c r="E34">
        <v>105</v>
      </c>
      <c r="F34" s="20">
        <v>90</v>
      </c>
      <c r="G34" s="24">
        <v>89</v>
      </c>
      <c r="M34" s="8"/>
      <c r="N34" s="7" t="s">
        <v>31</v>
      </c>
      <c r="O34" s="35">
        <f t="shared" si="3"/>
        <v>0.82222222222222219</v>
      </c>
      <c r="P34" s="15">
        <v>8</v>
      </c>
      <c r="Q34" s="15">
        <f t="shared" si="1"/>
        <v>11100</v>
      </c>
      <c r="R34" s="16">
        <f t="shared" si="2"/>
        <v>13500</v>
      </c>
    </row>
    <row r="35" spans="2:18" x14ac:dyDescent="0.25">
      <c r="B35" s="7">
        <f t="shared" si="0"/>
        <v>440</v>
      </c>
      <c r="C35" s="13">
        <v>2000</v>
      </c>
      <c r="D35" s="19">
        <v>160</v>
      </c>
      <c r="E35" s="19">
        <v>160</v>
      </c>
      <c r="F35" s="23">
        <v>120</v>
      </c>
      <c r="M35" s="8"/>
      <c r="N35" s="7" t="s">
        <v>32</v>
      </c>
      <c r="O35" s="35">
        <f t="shared" si="3"/>
        <v>0.81481481481481477</v>
      </c>
      <c r="P35" s="15">
        <v>14</v>
      </c>
      <c r="Q35" s="15">
        <f t="shared" si="1"/>
        <v>8800</v>
      </c>
      <c r="R35" s="16">
        <f t="shared" si="2"/>
        <v>10800</v>
      </c>
    </row>
    <row r="36" spans="2:18" x14ac:dyDescent="0.25">
      <c r="B36" s="7">
        <f t="shared" si="0"/>
        <v>420</v>
      </c>
      <c r="C36" s="13">
        <v>3000</v>
      </c>
      <c r="D36" s="23">
        <v>120</v>
      </c>
      <c r="E36" s="25">
        <v>100</v>
      </c>
      <c r="F36" s="25">
        <v>100</v>
      </c>
      <c r="G36" s="25">
        <v>100</v>
      </c>
      <c r="M36" s="8"/>
      <c r="N36" s="7" t="s">
        <v>33</v>
      </c>
      <c r="O36" s="35">
        <f t="shared" si="3"/>
        <v>0.77777777777777768</v>
      </c>
      <c r="P36" s="15">
        <v>1</v>
      </c>
      <c r="Q36" s="15">
        <f t="shared" si="1"/>
        <v>12600</v>
      </c>
      <c r="R36" s="16">
        <f t="shared" si="2"/>
        <v>16200.000000000002</v>
      </c>
    </row>
    <row r="37" spans="2:18" x14ac:dyDescent="0.25">
      <c r="B37" s="7">
        <f t="shared" si="0"/>
        <v>400</v>
      </c>
      <c r="C37" s="13">
        <v>16000</v>
      </c>
      <c r="D37" s="25">
        <v>100</v>
      </c>
      <c r="E37" s="25">
        <v>100</v>
      </c>
      <c r="F37" s="25">
        <v>100</v>
      </c>
      <c r="G37" s="25">
        <v>100</v>
      </c>
      <c r="M37" s="8"/>
      <c r="N37" s="7" t="s">
        <v>34</v>
      </c>
      <c r="O37" s="35">
        <f t="shared" si="3"/>
        <v>0.7407407407407407</v>
      </c>
      <c r="P37" s="15">
        <v>43</v>
      </c>
      <c r="Q37" s="15">
        <f t="shared" si="1"/>
        <v>64000</v>
      </c>
      <c r="R37" s="16">
        <f t="shared" si="2"/>
        <v>86400</v>
      </c>
    </row>
    <row r="38" spans="2:18" x14ac:dyDescent="0.25">
      <c r="B38" s="9">
        <f t="shared" si="0"/>
        <v>400</v>
      </c>
      <c r="C38" s="14">
        <v>24000</v>
      </c>
      <c r="D38" s="18">
        <v>100</v>
      </c>
      <c r="E38" s="18">
        <v>100</v>
      </c>
      <c r="F38" s="18">
        <v>100</v>
      </c>
      <c r="G38" s="18">
        <v>100</v>
      </c>
      <c r="H38" s="10"/>
      <c r="I38" s="10"/>
      <c r="J38" s="10"/>
      <c r="K38" s="10"/>
      <c r="L38" s="10"/>
      <c r="M38" s="11"/>
      <c r="N38" s="7" t="s">
        <v>35</v>
      </c>
      <c r="O38" s="35">
        <f t="shared" si="3"/>
        <v>0.7407407407407407</v>
      </c>
      <c r="P38" s="15">
        <v>1</v>
      </c>
      <c r="Q38" s="15">
        <f t="shared" si="1"/>
        <v>96000</v>
      </c>
      <c r="R38" s="16">
        <f t="shared" si="2"/>
        <v>129600.00000000001</v>
      </c>
    </row>
    <row r="39" spans="2:18" x14ac:dyDescent="0.25">
      <c r="O39" s="32">
        <f>Q39/R39</f>
        <v>0.76814814814814814</v>
      </c>
      <c r="P39" s="17">
        <f>SUM(P31:P38)</f>
        <v>102</v>
      </c>
      <c r="Q39" s="17">
        <f>SUM(Q31:Q38)</f>
        <v>259250</v>
      </c>
      <c r="R39" s="17">
        <f>SUM(R31:R38)</f>
        <v>337500</v>
      </c>
    </row>
    <row r="40" spans="2:18" x14ac:dyDescent="0.25">
      <c r="O40" s="33">
        <f>1-O39</f>
        <v>0.23185185185185186</v>
      </c>
      <c r="P40" s="15"/>
      <c r="Q40" s="15" t="s">
        <v>36</v>
      </c>
      <c r="R40" s="15">
        <f>R39-Q39</f>
        <v>78250</v>
      </c>
    </row>
    <row r="41" spans="2:18" x14ac:dyDescent="0.25">
      <c r="R41" s="31">
        <f>R40/(LARG_ROL*LONG_ROL)</f>
        <v>12.075617283950617</v>
      </c>
    </row>
  </sheetData>
  <sortState xmlns:xlrd2="http://schemas.microsoft.com/office/spreadsheetml/2017/richdata2" ref="A2:R10">
    <sortCondition descending="1" ref="B2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Z91"/>
  <sheetViews>
    <sheetView workbookViewId="0"/>
  </sheetViews>
  <sheetFormatPr defaultColWidth="11.42578125" defaultRowHeight="15" x14ac:dyDescent="0.25"/>
  <cols>
    <col min="1" max="9" width="11.5703125" customWidth="1"/>
    <col min="10" max="10" width="3" bestFit="1" customWidth="1"/>
    <col min="11" max="11" width="2" bestFit="1" customWidth="1"/>
    <col min="12" max="12" width="4" bestFit="1" customWidth="1"/>
    <col min="13" max="13" width="6" bestFit="1" customWidth="1"/>
    <col min="14" max="14" width="2" bestFit="1" customWidth="1"/>
    <col min="15" max="15" width="3" bestFit="1" customWidth="1"/>
    <col min="16" max="16" width="2" bestFit="1" customWidth="1"/>
    <col min="17" max="19" width="3" bestFit="1" customWidth="1"/>
    <col min="20" max="20" width="2" bestFit="1" customWidth="1"/>
    <col min="21" max="22" width="3" bestFit="1" customWidth="1"/>
    <col min="23" max="23" width="2" bestFit="1" customWidth="1"/>
    <col min="24" max="24" width="3" bestFit="1" customWidth="1"/>
    <col min="25" max="25" width="2" bestFit="1" customWidth="1"/>
    <col min="26" max="26" width="3.28515625" bestFit="1" customWidth="1"/>
    <col min="27" max="33" width="4.7109375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9</v>
      </c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x14ac:dyDescent="0.25">
      <c r="A2">
        <v>540</v>
      </c>
      <c r="B2">
        <v>142220</v>
      </c>
      <c r="C2">
        <v>139855</v>
      </c>
      <c r="D2">
        <v>225</v>
      </c>
      <c r="E2" t="s">
        <v>50</v>
      </c>
      <c r="F2">
        <v>1200</v>
      </c>
      <c r="G2">
        <v>84875</v>
      </c>
      <c r="H2">
        <v>37722</v>
      </c>
      <c r="J2" s="27">
        <v>32</v>
      </c>
      <c r="K2" s="27">
        <f>IF($N2=0,0,COUNTIF($N$2:$N$7,$N2))</f>
        <v>0</v>
      </c>
      <c r="L2" s="34">
        <v>225</v>
      </c>
      <c r="M2" s="27">
        <v>37722</v>
      </c>
      <c r="N2" s="28">
        <v>0</v>
      </c>
      <c r="O2" s="27">
        <v>3</v>
      </c>
      <c r="P2" s="27">
        <v>3</v>
      </c>
      <c r="Q2" s="27">
        <v>10</v>
      </c>
      <c r="R2" s="27">
        <v>16</v>
      </c>
      <c r="S2" s="27" t="s">
        <v>37</v>
      </c>
      <c r="T2" s="27" t="s">
        <v>37</v>
      </c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</row>
    <row r="3" spans="1:52" x14ac:dyDescent="0.25">
      <c r="A3">
        <v>540</v>
      </c>
      <c r="B3">
        <v>142220</v>
      </c>
      <c r="C3">
        <v>145088</v>
      </c>
      <c r="D3">
        <v>199</v>
      </c>
      <c r="E3" t="s">
        <v>50</v>
      </c>
      <c r="F3">
        <v>1200</v>
      </c>
      <c r="G3">
        <v>5144</v>
      </c>
      <c r="H3">
        <v>2585</v>
      </c>
      <c r="I3" s="1"/>
      <c r="J3" s="27">
        <v>3</v>
      </c>
      <c r="K3" s="27">
        <f>IF($N3=0,0,COUNTIF($N$2:$N$7,$N3))</f>
        <v>0</v>
      </c>
      <c r="L3" s="34">
        <v>199</v>
      </c>
      <c r="M3" s="27">
        <v>2585</v>
      </c>
      <c r="N3" s="29">
        <v>0</v>
      </c>
      <c r="O3" s="27">
        <v>3</v>
      </c>
      <c r="P3" s="27" t="s">
        <v>37</v>
      </c>
      <c r="Q3" s="27" t="s">
        <v>37</v>
      </c>
      <c r="R3" s="27" t="s">
        <v>37</v>
      </c>
      <c r="S3" s="27" t="s">
        <v>37</v>
      </c>
      <c r="T3" s="27" t="s">
        <v>37</v>
      </c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</row>
    <row r="4" spans="1:52" x14ac:dyDescent="0.25">
      <c r="A4">
        <v>540</v>
      </c>
      <c r="B4">
        <v>142220</v>
      </c>
      <c r="C4">
        <v>139854</v>
      </c>
      <c r="D4">
        <v>189</v>
      </c>
      <c r="E4" t="s">
        <v>50</v>
      </c>
      <c r="F4">
        <v>1200</v>
      </c>
      <c r="G4">
        <v>6804</v>
      </c>
      <c r="H4">
        <v>3600</v>
      </c>
      <c r="J4" s="27">
        <v>3</v>
      </c>
      <c r="K4" s="27">
        <f>IF($N4=0,0,COUNTIF($N$2:$N$7,$N4))</f>
        <v>0</v>
      </c>
      <c r="L4" s="34">
        <v>189</v>
      </c>
      <c r="M4" s="27">
        <v>3600</v>
      </c>
      <c r="N4" s="29">
        <v>0</v>
      </c>
      <c r="O4" s="27" t="s">
        <v>37</v>
      </c>
      <c r="P4" s="27">
        <v>3</v>
      </c>
      <c r="Q4" s="27" t="s">
        <v>37</v>
      </c>
      <c r="R4" s="27" t="s">
        <v>37</v>
      </c>
      <c r="S4" s="27" t="s">
        <v>37</v>
      </c>
      <c r="T4" s="27" t="s">
        <v>37</v>
      </c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</row>
    <row r="5" spans="1:52" x14ac:dyDescent="0.25">
      <c r="A5">
        <v>540</v>
      </c>
      <c r="B5">
        <v>142220</v>
      </c>
      <c r="C5">
        <v>149770</v>
      </c>
      <c r="D5">
        <v>184</v>
      </c>
      <c r="E5" t="s">
        <v>50</v>
      </c>
      <c r="F5">
        <v>1200</v>
      </c>
      <c r="G5">
        <v>22080</v>
      </c>
      <c r="H5">
        <v>12000</v>
      </c>
      <c r="J5" s="27">
        <v>10</v>
      </c>
      <c r="K5" s="27">
        <f>IF($N5=0,0,COUNTIF($N$2:$N$7,$N5))</f>
        <v>0</v>
      </c>
      <c r="L5" s="34">
        <v>184</v>
      </c>
      <c r="M5" s="27">
        <v>12000</v>
      </c>
      <c r="N5" s="29">
        <v>0</v>
      </c>
      <c r="O5" s="27" t="s">
        <v>37</v>
      </c>
      <c r="P5" s="27" t="s">
        <v>37</v>
      </c>
      <c r="Q5" s="27">
        <v>10</v>
      </c>
      <c r="R5" s="27" t="s">
        <v>37</v>
      </c>
      <c r="S5" s="27" t="s">
        <v>37</v>
      </c>
      <c r="T5" s="27" t="s">
        <v>37</v>
      </c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</row>
    <row r="6" spans="1:52" x14ac:dyDescent="0.25">
      <c r="A6">
        <v>540</v>
      </c>
      <c r="B6">
        <v>142220</v>
      </c>
      <c r="C6">
        <v>139853</v>
      </c>
      <c r="D6">
        <v>170</v>
      </c>
      <c r="E6" t="s">
        <v>50</v>
      </c>
      <c r="F6">
        <v>1200</v>
      </c>
      <c r="G6">
        <v>56253</v>
      </c>
      <c r="H6">
        <v>33090</v>
      </c>
      <c r="J6" s="27">
        <v>28</v>
      </c>
      <c r="K6" s="27">
        <f>IF($N6=0,0,COUNTIF($N$2:$N$7,$N6))</f>
        <v>0</v>
      </c>
      <c r="L6" s="34">
        <v>170</v>
      </c>
      <c r="M6" s="27">
        <v>33090</v>
      </c>
      <c r="N6" s="29">
        <v>0</v>
      </c>
      <c r="O6" s="27" t="s">
        <v>37</v>
      </c>
      <c r="P6" s="27" t="s">
        <v>37</v>
      </c>
      <c r="Q6" s="27" t="s">
        <v>37</v>
      </c>
      <c r="R6" s="27">
        <v>16</v>
      </c>
      <c r="S6" s="27">
        <v>12</v>
      </c>
      <c r="T6" s="27" t="s">
        <v>37</v>
      </c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</row>
    <row r="7" spans="1:52" ht="15" customHeight="1" x14ac:dyDescent="0.25">
      <c r="A7">
        <v>540</v>
      </c>
      <c r="B7">
        <v>142220</v>
      </c>
      <c r="C7">
        <v>139852</v>
      </c>
      <c r="D7">
        <v>155</v>
      </c>
      <c r="E7" t="s">
        <v>50</v>
      </c>
      <c r="F7">
        <v>1200</v>
      </c>
      <c r="G7">
        <v>22922</v>
      </c>
      <c r="H7">
        <v>14789</v>
      </c>
      <c r="J7" s="27">
        <v>13</v>
      </c>
      <c r="K7" s="27">
        <f>IF($N7=0,0,COUNTIF($N$2:$N$7,$N7))</f>
        <v>0</v>
      </c>
      <c r="L7" s="34">
        <v>155</v>
      </c>
      <c r="M7" s="27">
        <v>14789</v>
      </c>
      <c r="N7" s="30">
        <v>0</v>
      </c>
      <c r="O7" s="27" t="s">
        <v>37</v>
      </c>
      <c r="P7" s="27" t="s">
        <v>37</v>
      </c>
      <c r="Q7" s="27" t="s">
        <v>37</v>
      </c>
      <c r="R7" s="27" t="s">
        <v>37</v>
      </c>
      <c r="S7" s="27">
        <v>12</v>
      </c>
      <c r="T7" s="27">
        <v>1</v>
      </c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ht="15" customHeight="1" x14ac:dyDescent="0.25"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</row>
    <row r="9" spans="1:52" ht="15" customHeight="1" x14ac:dyDescent="0.25">
      <c r="J9" s="27"/>
      <c r="K9" s="27"/>
      <c r="L9" s="27"/>
      <c r="M9" s="27"/>
      <c r="N9" s="27">
        <f>SUM(N2:N7)</f>
        <v>0</v>
      </c>
      <c r="O9" s="27">
        <v>3</v>
      </c>
      <c r="P9" s="27">
        <v>3</v>
      </c>
      <c r="Q9" s="27">
        <v>10</v>
      </c>
      <c r="R9" s="27">
        <v>16</v>
      </c>
      <c r="S9" s="27">
        <v>12</v>
      </c>
      <c r="T9" s="27">
        <v>1</v>
      </c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</row>
    <row r="10" spans="1:52" ht="15" customHeight="1" x14ac:dyDescent="0.25">
      <c r="J10" s="27"/>
      <c r="K10" s="27"/>
      <c r="L10" s="27"/>
      <c r="M10" s="27"/>
      <c r="N10" s="27"/>
      <c r="O10" s="27">
        <f>SUM(O9:AZ9)</f>
        <v>45</v>
      </c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</row>
    <row r="11" spans="1:52" ht="15" customHeight="1" x14ac:dyDescent="0.25"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</row>
    <row r="12" spans="1:52" ht="15" customHeight="1" x14ac:dyDescent="0.25"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</row>
    <row r="13" spans="1:52" ht="15" customHeight="1" x14ac:dyDescent="0.25"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</row>
    <row r="14" spans="1:52" ht="15" customHeight="1" x14ac:dyDescent="0.25"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</row>
    <row r="15" spans="1:52" ht="15" customHeight="1" x14ac:dyDescent="0.25"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</row>
    <row r="16" spans="1:52" ht="15" customHeight="1" x14ac:dyDescent="0.25"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</row>
    <row r="17" spans="10:52" ht="15" customHeight="1" x14ac:dyDescent="0.25"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</row>
    <row r="18" spans="10:52" ht="15" customHeight="1" x14ac:dyDescent="0.25"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</row>
    <row r="19" spans="10:52" ht="15" customHeight="1" x14ac:dyDescent="0.25"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</row>
    <row r="20" spans="10:52" ht="15" customHeight="1" x14ac:dyDescent="0.25"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</row>
    <row r="21" spans="10:52" ht="15" customHeight="1" x14ac:dyDescent="0.25"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</row>
    <row r="22" spans="10:52" ht="15" customHeight="1" x14ac:dyDescent="0.25"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</row>
    <row r="23" spans="10:52" ht="15" customHeight="1" x14ac:dyDescent="0.25"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</row>
    <row r="24" spans="10:52" ht="15" customHeight="1" x14ac:dyDescent="0.25"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</row>
    <row r="25" spans="10:52" ht="15" customHeight="1" x14ac:dyDescent="0.25"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</row>
    <row r="26" spans="10:52" ht="15" customHeight="1" x14ac:dyDescent="0.25"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</row>
    <row r="27" spans="10:52" ht="15" customHeight="1" x14ac:dyDescent="0.25"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</row>
    <row r="28" spans="10:52" ht="15" customHeight="1" x14ac:dyDescent="0.25"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</row>
    <row r="29" spans="10:52" ht="15" customHeight="1" x14ac:dyDescent="0.25"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</row>
    <row r="30" spans="10:52" ht="15" customHeight="1" x14ac:dyDescent="0.25"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0:52" ht="15" customHeight="1" x14ac:dyDescent="0.25"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0:52" ht="15" customHeight="1" x14ac:dyDescent="0.25"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</row>
    <row r="33" spans="10:52" ht="15" customHeight="1" x14ac:dyDescent="0.25"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</row>
    <row r="34" spans="10:52" ht="15" customHeight="1" x14ac:dyDescent="0.25"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</row>
    <row r="35" spans="10:52" ht="15" customHeight="1" x14ac:dyDescent="0.25"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</row>
    <row r="36" spans="10:52" ht="15" customHeight="1" x14ac:dyDescent="0.25"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</row>
    <row r="37" spans="10:52" ht="15" customHeight="1" x14ac:dyDescent="0.25"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</row>
    <row r="38" spans="10:52" ht="15" customHeight="1" x14ac:dyDescent="0.25"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</row>
    <row r="39" spans="10:52" ht="15" customHeight="1" x14ac:dyDescent="0.25"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</row>
    <row r="40" spans="10:52" ht="15" customHeight="1" x14ac:dyDescent="0.25"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</row>
    <row r="41" spans="10:52" ht="15" customHeight="1" x14ac:dyDescent="0.25"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</row>
    <row r="42" spans="10:52" ht="15" customHeight="1" x14ac:dyDescent="0.25"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</row>
    <row r="43" spans="10:52" ht="15" customHeight="1" x14ac:dyDescent="0.25"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</row>
    <row r="44" spans="10:52" ht="15" customHeight="1" x14ac:dyDescent="0.25"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</row>
    <row r="45" spans="10:52" ht="15" customHeight="1" x14ac:dyDescent="0.25"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</row>
    <row r="46" spans="10:52" ht="15" customHeight="1" x14ac:dyDescent="0.25"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</row>
    <row r="47" spans="10:52" ht="15" customHeight="1" x14ac:dyDescent="0.25"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</row>
    <row r="48" spans="10:52" ht="15" customHeight="1" x14ac:dyDescent="0.25"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</row>
    <row r="49" spans="10:52" ht="15" customHeight="1" x14ac:dyDescent="0.25"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</row>
    <row r="50" spans="10:52" ht="15" customHeight="1" x14ac:dyDescent="0.25"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</row>
    <row r="51" spans="10:52" ht="15" customHeight="1" x14ac:dyDescent="0.25"/>
    <row r="52" spans="10:52" ht="15" customHeight="1" x14ac:dyDescent="0.25"/>
    <row r="53" spans="10:52" ht="15" customHeight="1" x14ac:dyDescent="0.25"/>
    <row r="54" spans="10:52" ht="15" customHeight="1" x14ac:dyDescent="0.25"/>
    <row r="55" spans="10:52" ht="15" customHeight="1" x14ac:dyDescent="0.25"/>
    <row r="56" spans="10:52" ht="15" customHeight="1" x14ac:dyDescent="0.25"/>
    <row r="57" spans="10:52" ht="15" customHeight="1" x14ac:dyDescent="0.25"/>
    <row r="58" spans="10:52" ht="15" customHeight="1" x14ac:dyDescent="0.25"/>
    <row r="59" spans="10:52" ht="15" customHeight="1" x14ac:dyDescent="0.25"/>
    <row r="60" spans="10:52" ht="15" customHeight="1" x14ac:dyDescent="0.25"/>
    <row r="61" spans="10:52" ht="15" customHeight="1" x14ac:dyDescent="0.25"/>
    <row r="62" spans="10:52" ht="15" customHeight="1" x14ac:dyDescent="0.25"/>
    <row r="63" spans="10:52" ht="15" customHeight="1" x14ac:dyDescent="0.25"/>
    <row r="64" spans="10:52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</sheetData>
  <sortState xmlns:xlrd2="http://schemas.microsoft.com/office/spreadsheetml/2017/richdata2" ref="J2:T8">
    <sortCondition descending="1" ref="L2"/>
  </sortState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mdOK1">
          <controlPr defaultSize="0" autoLine="0" r:id="rId5">
            <anchor>
              <from>
                <xdr:col>0</xdr:col>
                <xdr:colOff>161925</xdr:colOff>
                <xdr:row>1</xdr:row>
                <xdr:rowOff>66675</xdr:rowOff>
              </from>
              <to>
                <xdr:col>0</xdr:col>
                <xdr:colOff>419100</xdr:colOff>
                <xdr:row>2</xdr:row>
                <xdr:rowOff>114300</xdr:rowOff>
              </to>
            </anchor>
          </controlPr>
        </control>
      </mc:Choice>
      <mc:Fallback>
        <control shapeId="5122" r:id="rId4" name="cmdOK1"/>
      </mc:Fallback>
    </mc:AlternateContent>
    <mc:AlternateContent xmlns:mc="http://schemas.openxmlformats.org/markup-compatibility/2006">
      <mc:Choice Requires="x14">
        <control shapeId="5126" r:id="rId6" name="cmdOK2">
          <controlPr defaultSize="0" autoLine="0" r:id="rId7">
            <anchor>
              <from>
                <xdr:col>0</xdr:col>
                <xdr:colOff>161925</xdr:colOff>
                <xdr:row>3</xdr:row>
                <xdr:rowOff>19050</xdr:rowOff>
              </from>
              <to>
                <xdr:col>0</xdr:col>
                <xdr:colOff>419100</xdr:colOff>
                <xdr:row>4</xdr:row>
                <xdr:rowOff>66675</xdr:rowOff>
              </to>
            </anchor>
          </controlPr>
        </control>
      </mc:Choice>
      <mc:Fallback>
        <control shapeId="5126" r:id="rId6" name="cmdOK2"/>
      </mc:Fallback>
    </mc:AlternateContent>
    <mc:AlternateContent xmlns:mc="http://schemas.openxmlformats.org/markup-compatibility/2006">
      <mc:Choice Requires="x14">
        <control shapeId="5128" r:id="rId8" name="cmdOK3">
          <controlPr defaultSize="0" autoLine="0" r:id="rId9">
            <anchor>
              <from>
                <xdr:col>0</xdr:col>
                <xdr:colOff>161925</xdr:colOff>
                <xdr:row>5</xdr:row>
                <xdr:rowOff>28575</xdr:rowOff>
              </from>
              <to>
                <xdr:col>0</xdr:col>
                <xdr:colOff>419100</xdr:colOff>
                <xdr:row>6</xdr:row>
                <xdr:rowOff>76200</xdr:rowOff>
              </to>
            </anchor>
          </controlPr>
        </control>
      </mc:Choice>
      <mc:Fallback>
        <control shapeId="5128" r:id="rId8" name="cmdOK3"/>
      </mc:Fallback>
    </mc:AlternateContent>
    <mc:AlternateContent xmlns:mc="http://schemas.openxmlformats.org/markup-compatibility/2006">
      <mc:Choice Requires="x14">
        <control shapeId="5124" r:id="rId10" name="Button 4">
          <controlPr defaultSize="0" print="0" autoFill="0" autoPict="0" macro="[1]!RassemblerParNumeroArticle">
            <anchor moveWithCells="1" sizeWithCells="1">
              <from>
                <xdr:col>0</xdr:col>
                <xdr:colOff>152400</xdr:colOff>
                <xdr:row>8</xdr:row>
                <xdr:rowOff>95250</xdr:rowOff>
              </from>
              <to>
                <xdr:col>0</xdr:col>
                <xdr:colOff>381000</xdr:colOff>
                <xdr:row>9</xdr:row>
                <xdr:rowOff>142875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89867-E90C-45BE-BB6D-E8E8A76A00D1}">
  <sheetPr codeName="Blad1">
    <pageSetUpPr fitToPage="1"/>
  </sheetPr>
  <dimension ref="A1:BU206"/>
  <sheetViews>
    <sheetView workbookViewId="0">
      <selection activeCell="R2" sqref="R2"/>
    </sheetView>
  </sheetViews>
  <sheetFormatPr defaultColWidth="11.7109375" defaultRowHeight="15" x14ac:dyDescent="0.25"/>
  <cols>
    <col min="1" max="1" width="2.85546875" style="65" bestFit="1" customWidth="1"/>
    <col min="2" max="2" width="9.28515625" style="65" bestFit="1" customWidth="1"/>
    <col min="3" max="3" width="7.5703125" style="65" bestFit="1" customWidth="1"/>
    <col min="4" max="4" width="8.85546875" style="65" bestFit="1" customWidth="1"/>
    <col min="5" max="5" width="5.85546875" style="65" bestFit="1" customWidth="1"/>
    <col min="6" max="6" width="11.7109375" style="65"/>
    <col min="7" max="7" width="2.85546875" style="65" bestFit="1" customWidth="1"/>
    <col min="8" max="8" width="9.28515625" style="65" bestFit="1" customWidth="1"/>
    <col min="9" max="9" width="11.42578125" style="65" bestFit="1" customWidth="1"/>
    <col min="10" max="10" width="8.85546875" style="65" bestFit="1" customWidth="1"/>
    <col min="11" max="11" width="5.85546875" style="65" bestFit="1" customWidth="1"/>
    <col min="12" max="12" width="9.28515625" style="65" bestFit="1" customWidth="1"/>
    <col min="13" max="13" width="10" style="74" bestFit="1" customWidth="1"/>
    <col min="14" max="14" width="25.7109375" style="74" customWidth="1"/>
    <col min="15" max="15" width="5.5703125" style="74" bestFit="1" customWidth="1"/>
    <col min="16" max="16" width="15" style="65" bestFit="1" customWidth="1"/>
    <col min="17" max="17" width="8.5703125" style="65" customWidth="1"/>
    <col min="18" max="18" width="4.5703125" style="65" bestFit="1" customWidth="1"/>
    <col min="19" max="19" width="6.85546875" style="65" bestFit="1" customWidth="1"/>
    <col min="20" max="20" width="8.28515625" style="65" bestFit="1" customWidth="1"/>
    <col min="21" max="21" width="9.28515625" style="65" bestFit="1" customWidth="1"/>
    <col min="22" max="22" width="11.42578125" style="65" bestFit="1" customWidth="1"/>
    <col min="23" max="23" width="12.140625" style="65" bestFit="1" customWidth="1"/>
    <col min="24" max="24" width="11.42578125" style="73" bestFit="1" customWidth="1"/>
    <col min="25" max="27" width="4.5703125" style="65" customWidth="1"/>
    <col min="28" max="28" width="4.5703125" style="65" bestFit="1" customWidth="1"/>
    <col min="29" max="33" width="2.85546875" style="65" bestFit="1" customWidth="1"/>
    <col min="34" max="34" width="3.85546875" style="65" bestFit="1" customWidth="1"/>
    <col min="35" max="35" width="22" style="72" bestFit="1" customWidth="1"/>
    <col min="36" max="36" width="17.140625" style="72" bestFit="1" customWidth="1"/>
    <col min="37" max="37" width="11.28515625" style="65" bestFit="1" customWidth="1"/>
    <col min="38" max="38" width="6.7109375" style="65" bestFit="1" customWidth="1"/>
    <col min="39" max="39" width="2.85546875" style="65" customWidth="1"/>
    <col min="40" max="40" width="18.42578125" style="65" bestFit="1" customWidth="1"/>
    <col min="41" max="41" width="21.42578125" style="65" bestFit="1" customWidth="1"/>
    <col min="42" max="42" width="6.42578125" style="65" customWidth="1"/>
    <col min="43" max="43" width="5.85546875" style="65" customWidth="1"/>
    <col min="44" max="44" width="9.28515625" style="65" bestFit="1" customWidth="1"/>
    <col min="45" max="51" width="7.28515625" style="65" customWidth="1"/>
    <col min="52" max="52" width="7.28515625" customWidth="1"/>
    <col min="53" max="53" width="30.140625" style="182" bestFit="1" customWidth="1"/>
    <col min="54" max="54" width="11.5703125" style="182" bestFit="1" customWidth="1"/>
    <col min="55" max="55" width="14.28515625" style="182" bestFit="1" customWidth="1"/>
    <col min="56" max="56" width="8.7109375" style="182" bestFit="1" customWidth="1"/>
    <col min="57" max="57" width="14.28515625" style="182" bestFit="1" customWidth="1"/>
    <col min="58" max="58" width="11.7109375" style="182"/>
    <col min="59" max="59" width="12.140625" style="182" bestFit="1" customWidth="1"/>
    <col min="60" max="60" width="11.5703125" style="182" bestFit="1" customWidth="1"/>
    <col min="61" max="61" width="7" style="182" bestFit="1" customWidth="1"/>
    <col min="62" max="62" width="6.42578125" style="182" bestFit="1" customWidth="1"/>
    <col min="63" max="63" width="12.140625" style="65" bestFit="1" customWidth="1"/>
    <col min="64" max="64" width="11.5703125" style="65" bestFit="1" customWidth="1"/>
    <col min="65" max="65" width="7" style="65" bestFit="1" customWidth="1"/>
    <col min="66" max="66" width="6.42578125" style="65" bestFit="1" customWidth="1"/>
    <col min="67" max="67" width="14.28515625" style="65" bestFit="1" customWidth="1"/>
    <col min="68" max="68" width="11.7109375" style="65"/>
    <col min="69" max="69" width="12.140625" style="65" bestFit="1" customWidth="1"/>
    <col min="70" max="70" width="11.5703125" style="65" bestFit="1" customWidth="1"/>
    <col min="71" max="71" width="7" style="65" bestFit="1" customWidth="1"/>
    <col min="72" max="72" width="6.42578125" style="65" bestFit="1" customWidth="1"/>
    <col min="73" max="73" width="14.28515625" style="65" bestFit="1" customWidth="1"/>
    <col min="74" max="16384" width="11.7109375" style="65"/>
  </cols>
  <sheetData>
    <row r="1" spans="1:73" ht="18.75" x14ac:dyDescent="0.3">
      <c r="H1" s="131">
        <f>ROWS(tbl_Ordres[Longueur])</f>
        <v>10</v>
      </c>
      <c r="I1" s="130">
        <f>SUMPRODUCT(tbl_Ordres[Longueur],tbl_Ordres[Largeur],tbl_Ordres[Quantité])/100</f>
        <v>198078.6</v>
      </c>
      <c r="J1" s="129">
        <f>SUM(tbl_Ordres[Quantité])</f>
        <v>89</v>
      </c>
      <c r="M1" s="128">
        <f>SUM(tbl_Ordres[surface])</f>
        <v>198078.6</v>
      </c>
      <c r="N1" s="128"/>
      <c r="O1" s="128"/>
      <c r="R1" s="127">
        <f>+(1-X1)*T1</f>
        <v>4.4323148148148155</v>
      </c>
      <c r="S1" s="126">
        <f>ROWS(tbl_Resultat[Layout])</f>
        <v>9</v>
      </c>
      <c r="T1" s="126">
        <f>SUM(tbl_Resultat[Nombre])</f>
        <v>35</v>
      </c>
      <c r="V1" s="125">
        <f>SUMPRODUCT(tbl_Resultat[Nombre],tbl_Resultat[Longueur],tbl_Resultat[Largeur])/100*X1</f>
        <v>198078.6</v>
      </c>
      <c r="X1" s="124">
        <f>SUMPRODUCT(tbl_Resultat[Rendement],tbl_Resultat[Nombre])/SUM(tbl_Resultat[Nombre])</f>
        <v>0.87336243386243384</v>
      </c>
      <c r="Y1" s="140" t="str">
        <f>T1 &amp; " Rouleaux et " &amp;S1 &amp; " coupes"</f>
        <v>35 Rouleaux et 9 coupes</v>
      </c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23">
        <f>SUM(tbl_Resultat[Destination])</f>
        <v>89</v>
      </c>
      <c r="AL1" s="123">
        <f ca="1">MAX(tbl_Resultat[Coupe])</f>
        <v>9</v>
      </c>
    </row>
    <row r="2" spans="1:73" ht="15.75" thickBot="1" x14ac:dyDescent="0.3">
      <c r="A2" s="65" t="s">
        <v>113</v>
      </c>
      <c r="B2" s="65" t="s">
        <v>27</v>
      </c>
      <c r="C2" s="65" t="s">
        <v>10</v>
      </c>
      <c r="D2" s="65" t="s">
        <v>112</v>
      </c>
      <c r="E2" s="65" t="s">
        <v>111</v>
      </c>
      <c r="G2" s="65" t="s">
        <v>113</v>
      </c>
      <c r="H2" s="65" t="s">
        <v>27</v>
      </c>
      <c r="I2" s="65" t="s">
        <v>10</v>
      </c>
      <c r="J2" s="65" t="s">
        <v>112</v>
      </c>
      <c r="K2" s="65" t="s">
        <v>111</v>
      </c>
      <c r="L2" s="65" t="s">
        <v>110</v>
      </c>
      <c r="M2" s="74" t="s">
        <v>109</v>
      </c>
      <c r="N2" s="74" t="s">
        <v>108</v>
      </c>
      <c r="O2" s="74" t="s">
        <v>107</v>
      </c>
      <c r="S2" s="65" t="s">
        <v>106</v>
      </c>
      <c r="T2" s="65" t="s">
        <v>105</v>
      </c>
      <c r="U2" s="65" t="s">
        <v>27</v>
      </c>
      <c r="V2" s="65" t="s">
        <v>10</v>
      </c>
      <c r="W2" s="65" t="s">
        <v>104</v>
      </c>
      <c r="X2" s="73" t="s">
        <v>103</v>
      </c>
      <c r="Y2" s="122" t="s">
        <v>102</v>
      </c>
      <c r="Z2" s="122" t="s">
        <v>101</v>
      </c>
      <c r="AA2" s="122" t="s">
        <v>100</v>
      </c>
      <c r="AB2" s="122" t="s">
        <v>99</v>
      </c>
      <c r="AC2" s="122" t="s">
        <v>98</v>
      </c>
      <c r="AD2" s="122" t="s">
        <v>97</v>
      </c>
      <c r="AE2" s="122" t="s">
        <v>96</v>
      </c>
      <c r="AF2" s="122" t="s">
        <v>95</v>
      </c>
      <c r="AG2" s="122" t="s">
        <v>94</v>
      </c>
      <c r="AH2" s="122" t="s">
        <v>93</v>
      </c>
      <c r="AI2" s="121" t="s">
        <v>87</v>
      </c>
      <c r="AJ2" s="121" t="s">
        <v>92</v>
      </c>
      <c r="AK2" s="65" t="s">
        <v>91</v>
      </c>
      <c r="AL2" s="65" t="s">
        <v>88</v>
      </c>
      <c r="AN2" s="120" t="s">
        <v>90</v>
      </c>
      <c r="AO2"/>
      <c r="AP2"/>
      <c r="AQ2"/>
      <c r="AR2" t="s">
        <v>27</v>
      </c>
      <c r="AS2"/>
      <c r="BA2" s="182" t="s">
        <v>89</v>
      </c>
    </row>
    <row r="3" spans="1:73" ht="15.75" thickBot="1" x14ac:dyDescent="0.3">
      <c r="A3" s="65" t="s">
        <v>66</v>
      </c>
      <c r="B3" s="65">
        <v>500</v>
      </c>
      <c r="C3" s="65">
        <v>450</v>
      </c>
      <c r="E3" s="65" t="s">
        <v>60</v>
      </c>
      <c r="G3" s="65" t="s">
        <v>67</v>
      </c>
      <c r="H3" s="65">
        <v>1200</v>
      </c>
      <c r="I3" s="65">
        <v>225</v>
      </c>
      <c r="J3" s="65">
        <v>31</v>
      </c>
      <c r="K3" s="65" t="s">
        <v>60</v>
      </c>
      <c r="L3" s="65">
        <v>139855</v>
      </c>
      <c r="M3" s="74">
        <f>+tbl_Ordres[[#This Row],[Longueur]]*tbl_Ordres[[#This Row],[Largeur]]*tbl_Ordres[[#This Row],[Quantité]]/100</f>
        <v>83700</v>
      </c>
      <c r="N3" s="74">
        <f t="shared" ref="N3:N12" ca="1" si="0">RAND()</f>
        <v>0.92254093660874736</v>
      </c>
      <c r="O3" s="74">
        <f ca="1">RANK(tbl_Ordres[[#This Row],[alea]],tbl_Ordres[alea])</f>
        <v>1</v>
      </c>
      <c r="S3" s="105" t="s">
        <v>75</v>
      </c>
      <c r="T3" s="105">
        <v>15</v>
      </c>
      <c r="U3" s="105">
        <v>1200</v>
      </c>
      <c r="V3" s="105">
        <v>540</v>
      </c>
      <c r="W3" s="105">
        <v>450</v>
      </c>
      <c r="X3" s="108">
        <v>0.83333333333333337</v>
      </c>
      <c r="Y3" s="114">
        <v>225</v>
      </c>
      <c r="Z3" s="114">
        <v>225</v>
      </c>
      <c r="AA3" s="106"/>
      <c r="AB3" s="106"/>
      <c r="AC3" s="106"/>
      <c r="AD3" s="106"/>
      <c r="AE3" s="106"/>
      <c r="AF3" s="106"/>
      <c r="AG3" s="106"/>
      <c r="AH3" s="106"/>
      <c r="AI3" s="107" t="s">
        <v>182</v>
      </c>
      <c r="AJ3" s="107" t="s">
        <v>183</v>
      </c>
      <c r="AK3" s="183">
        <f>COUNT(tbl_Resultat[[#This Row],[L1]:[L10]])*tbl_Resultat[[#This Row],[Nombre]]</f>
        <v>30</v>
      </c>
      <c r="AL3" s="184">
        <f ca="1">SUM(AL2,tbl_Resultat[[#This Row],[Largeurs]]&lt;&gt;OFFSET(tbl_Resultat[[#This Row],[Largeurs]],-1,))</f>
        <v>1</v>
      </c>
      <c r="AN3" s="120" t="s">
        <v>88</v>
      </c>
      <c r="AO3" s="120" t="s">
        <v>87</v>
      </c>
      <c r="AP3" t="s">
        <v>86</v>
      </c>
      <c r="AQ3"/>
      <c r="AR3" s="119">
        <v>225</v>
      </c>
      <c r="AS3"/>
      <c r="BA3" s="182" t="s">
        <v>63</v>
      </c>
      <c r="BB3" s="182" t="s">
        <v>62</v>
      </c>
      <c r="BC3" s="182" t="s">
        <v>61</v>
      </c>
      <c r="BD3" s="182" t="s">
        <v>85</v>
      </c>
      <c r="BK3" s="104" t="s">
        <v>65</v>
      </c>
      <c r="BL3" s="103" t="s">
        <v>64</v>
      </c>
      <c r="BM3" s="103" t="s">
        <v>63</v>
      </c>
      <c r="BN3" s="103" t="s">
        <v>62</v>
      </c>
      <c r="BO3" s="102" t="s">
        <v>61</v>
      </c>
      <c r="BQ3" s="104" t="s">
        <v>65</v>
      </c>
      <c r="BR3" s="103" t="s">
        <v>64</v>
      </c>
      <c r="BS3" s="103" t="s">
        <v>63</v>
      </c>
      <c r="BT3" s="103" t="s">
        <v>62</v>
      </c>
      <c r="BU3" s="102" t="s">
        <v>61</v>
      </c>
    </row>
    <row r="4" spans="1:73" ht="15.75" thickBot="1" x14ac:dyDescent="0.3">
      <c r="A4" s="65" t="s">
        <v>66</v>
      </c>
      <c r="B4" s="65">
        <v>1300</v>
      </c>
      <c r="C4" s="65">
        <v>450</v>
      </c>
      <c r="E4" s="65" t="s">
        <v>60</v>
      </c>
      <c r="G4" s="65" t="s">
        <v>67</v>
      </c>
      <c r="H4" s="65">
        <v>522</v>
      </c>
      <c r="I4" s="65">
        <v>225</v>
      </c>
      <c r="J4" s="65">
        <v>1</v>
      </c>
      <c r="K4" s="65" t="s">
        <v>60</v>
      </c>
      <c r="L4" s="65">
        <v>139855</v>
      </c>
      <c r="M4" s="74">
        <f>+tbl_Ordres[[#This Row],[Longueur]]*tbl_Ordres[[#This Row],[Largeur]]*tbl_Ordres[[#This Row],[Quantité]]/100</f>
        <v>1174.5</v>
      </c>
      <c r="N4" s="74">
        <f t="shared" ca="1" si="0"/>
        <v>0.11204865351153381</v>
      </c>
      <c r="O4" s="74">
        <f ca="1">RANK(tbl_Ordres[[#This Row],[alea]],tbl_Ordres[alea])</f>
        <v>9</v>
      </c>
      <c r="S4" s="105" t="s">
        <v>74</v>
      </c>
      <c r="T4" s="105">
        <v>1</v>
      </c>
      <c r="U4" s="105">
        <v>1200</v>
      </c>
      <c r="V4" s="105">
        <v>540</v>
      </c>
      <c r="W4" s="105">
        <v>424</v>
      </c>
      <c r="X4" s="108">
        <v>0.78518518518518521</v>
      </c>
      <c r="Y4" s="114">
        <v>225</v>
      </c>
      <c r="Z4" s="188">
        <v>199</v>
      </c>
      <c r="AA4" s="106"/>
      <c r="AB4" s="106"/>
      <c r="AC4" s="106"/>
      <c r="AD4" s="106"/>
      <c r="AE4" s="106"/>
      <c r="AF4" s="106"/>
      <c r="AG4" s="106"/>
      <c r="AH4" s="106"/>
      <c r="AI4" s="107" t="s">
        <v>312</v>
      </c>
      <c r="AJ4" s="107" t="s">
        <v>313</v>
      </c>
      <c r="AK4" s="183">
        <f>COUNT(tbl_Resultat[[#This Row],[L1]:[L10]])*tbl_Resultat[[#This Row],[Nombre]]</f>
        <v>2</v>
      </c>
      <c r="AL4" s="184">
        <f ca="1">SUM(AL3,tbl_Resultat[[#This Row],[Largeurs]]&lt;&gt;OFFSET(tbl_Resultat[[#This Row],[Largeurs]],-1,))</f>
        <v>2</v>
      </c>
      <c r="AN4">
        <v>8</v>
      </c>
      <c r="AO4" t="s">
        <v>308</v>
      </c>
      <c r="AP4" s="186">
        <v>1</v>
      </c>
      <c r="AQ4"/>
      <c r="AR4" s="71">
        <v>225</v>
      </c>
      <c r="AS4"/>
      <c r="BA4" s="182">
        <v>1200</v>
      </c>
      <c r="BB4" s="182">
        <v>540</v>
      </c>
      <c r="BC4" s="182" t="s">
        <v>60</v>
      </c>
      <c r="BD4" s="182">
        <v>35</v>
      </c>
      <c r="BK4" s="101" t="s">
        <v>75</v>
      </c>
      <c r="BL4" s="100">
        <v>15</v>
      </c>
      <c r="BM4" s="100">
        <v>1200</v>
      </c>
      <c r="BN4" s="100">
        <v>540</v>
      </c>
      <c r="BO4" s="99" t="s">
        <v>60</v>
      </c>
      <c r="BQ4" s="101" t="s">
        <v>76</v>
      </c>
      <c r="BR4" s="100">
        <v>3</v>
      </c>
      <c r="BS4" s="100">
        <v>1200</v>
      </c>
      <c r="BT4" s="100">
        <v>540</v>
      </c>
      <c r="BU4" s="99" t="s">
        <v>60</v>
      </c>
    </row>
    <row r="5" spans="1:73" ht="15.75" thickBot="1" x14ac:dyDescent="0.3">
      <c r="A5" s="65" t="s">
        <v>66</v>
      </c>
      <c r="B5" s="65">
        <v>1200</v>
      </c>
      <c r="C5" s="65">
        <v>540</v>
      </c>
      <c r="D5" s="65">
        <v>1000</v>
      </c>
      <c r="E5" s="65" t="s">
        <v>60</v>
      </c>
      <c r="G5" s="65" t="s">
        <v>67</v>
      </c>
      <c r="H5" s="65">
        <v>1200</v>
      </c>
      <c r="I5" s="65">
        <v>199</v>
      </c>
      <c r="J5" s="65">
        <v>2</v>
      </c>
      <c r="K5" s="65" t="s">
        <v>60</v>
      </c>
      <c r="L5" s="65">
        <v>145088</v>
      </c>
      <c r="M5" s="74">
        <f>+tbl_Ordres[[#This Row],[Longueur]]*tbl_Ordres[[#This Row],[Largeur]]*tbl_Ordres[[#This Row],[Quantité]]/100</f>
        <v>4776</v>
      </c>
      <c r="N5" s="74">
        <f t="shared" ca="1" si="0"/>
        <v>0.1017585215456619</v>
      </c>
      <c r="O5" s="74">
        <f ca="1">RANK(tbl_Ordres[[#This Row],[alea]],tbl_Ordres[alea])</f>
        <v>10</v>
      </c>
      <c r="S5" s="105" t="s">
        <v>73</v>
      </c>
      <c r="T5" s="105">
        <v>1</v>
      </c>
      <c r="U5" s="105">
        <v>1200</v>
      </c>
      <c r="V5" s="105">
        <v>540</v>
      </c>
      <c r="W5" s="105">
        <v>388</v>
      </c>
      <c r="X5" s="108">
        <v>0.71851851851851856</v>
      </c>
      <c r="Y5" s="188">
        <v>199</v>
      </c>
      <c r="Z5" s="187">
        <v>189</v>
      </c>
      <c r="AA5" s="106"/>
      <c r="AB5" s="106"/>
      <c r="AC5" s="106"/>
      <c r="AD5" s="106"/>
      <c r="AE5" s="106"/>
      <c r="AF5" s="106"/>
      <c r="AG5" s="106"/>
      <c r="AH5" s="106"/>
      <c r="AI5" s="107" t="s">
        <v>314</v>
      </c>
      <c r="AJ5" s="107" t="s">
        <v>315</v>
      </c>
      <c r="AK5" s="183">
        <f>COUNT(tbl_Resultat[[#This Row],[L1]:[L10]])*tbl_Resultat[[#This Row],[Nombre]]</f>
        <v>2</v>
      </c>
      <c r="AL5" s="184">
        <f ca="1">SUM(AL4,tbl_Resultat[[#This Row],[Largeurs]]&lt;&gt;OFFSET(tbl_Resultat[[#This Row],[Largeurs]],-1,))</f>
        <v>3</v>
      </c>
      <c r="AN5">
        <v>6</v>
      </c>
      <c r="AO5" t="s">
        <v>316</v>
      </c>
      <c r="AP5" s="186">
        <v>1</v>
      </c>
      <c r="AQ5"/>
      <c r="AR5" s="118">
        <v>199</v>
      </c>
      <c r="AS5"/>
      <c r="BA5" s="182" t="s">
        <v>84</v>
      </c>
      <c r="BB5" s="182" t="s">
        <v>54</v>
      </c>
      <c r="BC5" s="182" t="s">
        <v>54</v>
      </c>
      <c r="BD5" s="182">
        <v>35</v>
      </c>
      <c r="BK5" s="98" t="s">
        <v>59</v>
      </c>
      <c r="BL5" s="97" t="s">
        <v>58</v>
      </c>
      <c r="BM5" s="97" t="s">
        <v>57</v>
      </c>
      <c r="BN5" s="97" t="s">
        <v>56</v>
      </c>
      <c r="BO5" s="96" t="s">
        <v>55</v>
      </c>
      <c r="BQ5" s="98" t="s">
        <v>59</v>
      </c>
      <c r="BR5" s="97" t="s">
        <v>58</v>
      </c>
      <c r="BS5" s="97" t="s">
        <v>57</v>
      </c>
      <c r="BT5" s="97" t="s">
        <v>56</v>
      </c>
      <c r="BU5" s="96" t="s">
        <v>55</v>
      </c>
    </row>
    <row r="6" spans="1:73" ht="15.75" thickBot="1" x14ac:dyDescent="0.3">
      <c r="A6" s="65" t="s">
        <v>66</v>
      </c>
      <c r="B6" s="65">
        <v>750</v>
      </c>
      <c r="C6" s="65">
        <v>291</v>
      </c>
      <c r="E6" s="65" t="s">
        <v>60</v>
      </c>
      <c r="G6" s="65" t="s">
        <v>67</v>
      </c>
      <c r="H6" s="65">
        <v>185</v>
      </c>
      <c r="I6" s="65">
        <v>199</v>
      </c>
      <c r="J6" s="65">
        <v>1</v>
      </c>
      <c r="K6" s="65" t="s">
        <v>60</v>
      </c>
      <c r="L6" s="65">
        <v>145088</v>
      </c>
      <c r="M6" s="74">
        <f>+tbl_Ordres[[#This Row],[Longueur]]*tbl_Ordres[[#This Row],[Largeur]]*tbl_Ordres[[#This Row],[Quantité]]/100</f>
        <v>368.15</v>
      </c>
      <c r="N6" s="74">
        <f t="shared" ca="1" si="0"/>
        <v>0.49938209153354274</v>
      </c>
      <c r="O6" s="74">
        <f ca="1">RANK(tbl_Ordres[[#This Row],[alea]],tbl_Ordres[alea])</f>
        <v>5</v>
      </c>
      <c r="S6" s="105" t="s">
        <v>79</v>
      </c>
      <c r="T6" s="105">
        <v>1</v>
      </c>
      <c r="U6" s="105">
        <v>1200</v>
      </c>
      <c r="V6" s="105">
        <v>540</v>
      </c>
      <c r="W6" s="105">
        <v>533</v>
      </c>
      <c r="X6" s="108">
        <v>0.98703703703703705</v>
      </c>
      <c r="Y6" s="187">
        <v>189</v>
      </c>
      <c r="Z6" s="187">
        <v>189</v>
      </c>
      <c r="AA6" s="189">
        <v>155</v>
      </c>
      <c r="AB6" s="106"/>
      <c r="AC6" s="106"/>
      <c r="AD6" s="106"/>
      <c r="AE6" s="106"/>
      <c r="AF6" s="106"/>
      <c r="AG6" s="106"/>
      <c r="AH6" s="106"/>
      <c r="AI6" s="107" t="s">
        <v>304</v>
      </c>
      <c r="AJ6" s="107" t="s">
        <v>305</v>
      </c>
      <c r="AK6" s="183">
        <f>COUNT(tbl_Resultat[[#This Row],[L1]:[L10]])*tbl_Resultat[[#This Row],[Nombre]]</f>
        <v>3</v>
      </c>
      <c r="AL6" s="184">
        <f ca="1">SUM(AL5,tbl_Resultat[[#This Row],[Largeurs]]&lt;&gt;OFFSET(tbl_Resultat[[#This Row],[Largeurs]],-1,))</f>
        <v>4</v>
      </c>
      <c r="AN6">
        <v>1</v>
      </c>
      <c r="AO6" t="s">
        <v>182</v>
      </c>
      <c r="AP6" s="186">
        <v>1</v>
      </c>
      <c r="AQ6"/>
      <c r="AR6" s="117">
        <v>199</v>
      </c>
      <c r="AS6"/>
      <c r="BA6" s="182" t="s">
        <v>54</v>
      </c>
      <c r="BK6" s="95">
        <v>1200</v>
      </c>
      <c r="BL6" s="94">
        <v>225</v>
      </c>
      <c r="BM6" s="94">
        <v>0</v>
      </c>
      <c r="BN6" s="94">
        <v>0</v>
      </c>
      <c r="BO6" s="93" t="s">
        <v>300</v>
      </c>
      <c r="BQ6" s="95">
        <v>1200</v>
      </c>
      <c r="BR6" s="94">
        <v>155</v>
      </c>
      <c r="BS6" s="94">
        <v>0</v>
      </c>
      <c r="BT6" s="94">
        <v>0</v>
      </c>
      <c r="BU6" s="93" t="s">
        <v>299</v>
      </c>
    </row>
    <row r="7" spans="1:73" ht="15.75" thickBot="1" x14ac:dyDescent="0.3">
      <c r="A7" s="65" t="s">
        <v>66</v>
      </c>
      <c r="B7" s="65">
        <v>500</v>
      </c>
      <c r="C7" s="65">
        <v>460</v>
      </c>
      <c r="E7" s="65" t="s">
        <v>60</v>
      </c>
      <c r="G7" s="65" t="s">
        <v>67</v>
      </c>
      <c r="H7" s="65">
        <v>1200</v>
      </c>
      <c r="I7" s="65">
        <v>189</v>
      </c>
      <c r="J7" s="65">
        <v>3</v>
      </c>
      <c r="K7" s="65" t="s">
        <v>60</v>
      </c>
      <c r="L7" s="65">
        <v>139854</v>
      </c>
      <c r="M7" s="74">
        <f>+tbl_Ordres[[#This Row],[Longueur]]*tbl_Ordres[[#This Row],[Largeur]]*tbl_Ordres[[#This Row],[Quantité]]/100</f>
        <v>6804</v>
      </c>
      <c r="N7" s="74">
        <f t="shared" ca="1" si="0"/>
        <v>0.2364009890873614</v>
      </c>
      <c r="O7" s="74">
        <f ca="1">RANK(tbl_Ordres[[#This Row],[alea]],tbl_Ordres[alea])</f>
        <v>7</v>
      </c>
      <c r="P7" s="116" t="s">
        <v>83</v>
      </c>
      <c r="Q7" s="116"/>
      <c r="S7" s="105" t="s">
        <v>81</v>
      </c>
      <c r="T7" s="105">
        <v>5</v>
      </c>
      <c r="U7" s="105">
        <v>1200</v>
      </c>
      <c r="V7" s="105">
        <v>540</v>
      </c>
      <c r="W7" s="105">
        <v>538</v>
      </c>
      <c r="X7" s="108">
        <v>0.99629629629629635</v>
      </c>
      <c r="Y7" s="151">
        <v>184</v>
      </c>
      <c r="Z7" s="151">
        <v>184</v>
      </c>
      <c r="AA7" s="152">
        <v>170</v>
      </c>
      <c r="AB7" s="106"/>
      <c r="AC7" s="106"/>
      <c r="AD7" s="106"/>
      <c r="AE7" s="106"/>
      <c r="AF7" s="106"/>
      <c r="AG7" s="106"/>
      <c r="AH7" s="106"/>
      <c r="AI7" s="107" t="s">
        <v>302</v>
      </c>
      <c r="AJ7" s="107" t="s">
        <v>303</v>
      </c>
      <c r="AK7" s="183">
        <f>COUNT(tbl_Resultat[[#This Row],[L1]:[L10]])*tbl_Resultat[[#This Row],[Nombre]]</f>
        <v>15</v>
      </c>
      <c r="AL7" s="184">
        <f ca="1">SUM(AL6,tbl_Resultat[[#This Row],[Largeurs]]&lt;&gt;OFFSET(tbl_Resultat[[#This Row],[Largeurs]],-1,))</f>
        <v>5</v>
      </c>
      <c r="AN7">
        <v>2</v>
      </c>
      <c r="AO7" t="s">
        <v>312</v>
      </c>
      <c r="AP7" s="186">
        <v>1</v>
      </c>
      <c r="AQ7"/>
      <c r="AR7" s="19">
        <v>189</v>
      </c>
      <c r="AS7"/>
      <c r="BA7" s="182" t="s">
        <v>54</v>
      </c>
      <c r="BK7" s="92">
        <v>1200</v>
      </c>
      <c r="BL7" s="91">
        <v>225</v>
      </c>
      <c r="BM7" s="91">
        <v>0</v>
      </c>
      <c r="BN7" s="91">
        <v>225</v>
      </c>
      <c r="BO7" s="90" t="s">
        <v>300</v>
      </c>
      <c r="BQ7" s="95">
        <v>1200</v>
      </c>
      <c r="BR7" s="94">
        <v>155</v>
      </c>
      <c r="BS7" s="94">
        <v>0</v>
      </c>
      <c r="BT7" s="94">
        <v>155</v>
      </c>
      <c r="BU7" s="93" t="s">
        <v>299</v>
      </c>
    </row>
    <row r="8" spans="1:73" ht="15.75" thickBot="1" x14ac:dyDescent="0.3">
      <c r="A8" s="65" t="s">
        <v>66</v>
      </c>
      <c r="B8" s="65">
        <v>300</v>
      </c>
      <c r="C8" s="65">
        <v>450</v>
      </c>
      <c r="E8" s="65" t="s">
        <v>60</v>
      </c>
      <c r="G8" s="65" t="s">
        <v>67</v>
      </c>
      <c r="H8" s="65">
        <v>1200</v>
      </c>
      <c r="I8" s="65">
        <v>184</v>
      </c>
      <c r="J8" s="65">
        <v>10</v>
      </c>
      <c r="K8" s="65" t="s">
        <v>60</v>
      </c>
      <c r="L8" s="65">
        <v>149770</v>
      </c>
      <c r="M8" s="74">
        <f>+tbl_Ordres[[#This Row],[Longueur]]*tbl_Ordres[[#This Row],[Largeur]]*tbl_Ordres[[#This Row],[Quantité]]/100</f>
        <v>22080</v>
      </c>
      <c r="N8" s="74">
        <f t="shared" ca="1" si="0"/>
        <v>0.51467237220906292</v>
      </c>
      <c r="O8" s="74">
        <f ca="1">RANK(tbl_Ordres[[#This Row],[alea]],tbl_Ordres[alea])</f>
        <v>4</v>
      </c>
      <c r="S8" s="105" t="s">
        <v>72</v>
      </c>
      <c r="T8" s="105">
        <v>1</v>
      </c>
      <c r="U8" s="105">
        <v>1200</v>
      </c>
      <c r="V8" s="105">
        <v>540</v>
      </c>
      <c r="W8" s="105">
        <v>749</v>
      </c>
      <c r="X8" s="108">
        <v>0.5121296296296296</v>
      </c>
      <c r="Y8" s="152">
        <v>170</v>
      </c>
      <c r="Z8" s="114">
        <v>225</v>
      </c>
      <c r="AA8" s="189">
        <v>155</v>
      </c>
      <c r="AB8" s="188">
        <v>199</v>
      </c>
      <c r="AC8" s="106"/>
      <c r="AD8" s="106"/>
      <c r="AE8" s="106"/>
      <c r="AF8" s="106"/>
      <c r="AG8" s="106"/>
      <c r="AH8" s="106"/>
      <c r="AI8" s="107" t="s">
        <v>316</v>
      </c>
      <c r="AJ8" s="107" t="s">
        <v>317</v>
      </c>
      <c r="AK8" s="183">
        <f>COUNT(tbl_Resultat[[#This Row],[L1]:[L10]])*tbl_Resultat[[#This Row],[Nombre]]</f>
        <v>4</v>
      </c>
      <c r="AL8" s="184">
        <f ca="1">SUM(AL7,tbl_Resultat[[#This Row],[Largeurs]]&lt;&gt;OFFSET(tbl_Resultat[[#This Row],[Largeurs]],-1,))</f>
        <v>6</v>
      </c>
      <c r="AN8">
        <v>7</v>
      </c>
      <c r="AO8" t="s">
        <v>306</v>
      </c>
      <c r="AP8" s="186">
        <v>1</v>
      </c>
      <c r="AQ8"/>
      <c r="AR8" s="115">
        <v>184</v>
      </c>
      <c r="AS8"/>
      <c r="BA8" s="182" t="s">
        <v>82</v>
      </c>
      <c r="BQ8" s="92">
        <v>1200</v>
      </c>
      <c r="BR8" s="91">
        <v>155</v>
      </c>
      <c r="BS8" s="91">
        <v>0</v>
      </c>
      <c r="BT8" s="91">
        <v>310</v>
      </c>
      <c r="BU8" s="90" t="s">
        <v>299</v>
      </c>
    </row>
    <row r="9" spans="1:73" ht="15.75" thickBot="1" x14ac:dyDescent="0.3">
      <c r="A9" s="65" t="s">
        <v>66</v>
      </c>
      <c r="B9" s="65">
        <v>750</v>
      </c>
      <c r="C9" s="65">
        <v>450</v>
      </c>
      <c r="E9" s="65" t="s">
        <v>60</v>
      </c>
      <c r="G9" s="65" t="s">
        <v>67</v>
      </c>
      <c r="H9" s="65">
        <v>1200</v>
      </c>
      <c r="I9" s="65">
        <v>170</v>
      </c>
      <c r="J9" s="65">
        <v>27</v>
      </c>
      <c r="K9" s="65" t="s">
        <v>60</v>
      </c>
      <c r="L9" s="65">
        <v>139853</v>
      </c>
      <c r="M9" s="74">
        <f>+tbl_Ordres[[#This Row],[Longueur]]*tbl_Ordres[[#This Row],[Largeur]]*tbl_Ordres[[#This Row],[Quantité]]/100</f>
        <v>55080</v>
      </c>
      <c r="N9" s="74">
        <f t="shared" ca="1" si="0"/>
        <v>0.80182688570814298</v>
      </c>
      <c r="O9" s="74">
        <f ca="1">RANK(tbl_Ordres[[#This Row],[alea]],tbl_Ordres[alea])</f>
        <v>3</v>
      </c>
      <c r="S9" s="105" t="s">
        <v>78</v>
      </c>
      <c r="T9" s="105">
        <v>7</v>
      </c>
      <c r="U9" s="105">
        <v>1200</v>
      </c>
      <c r="V9" s="105">
        <v>540</v>
      </c>
      <c r="W9" s="105">
        <v>510</v>
      </c>
      <c r="X9" s="108">
        <v>0.94444444444444442</v>
      </c>
      <c r="Y9" s="152">
        <v>170</v>
      </c>
      <c r="Z9" s="152">
        <v>170</v>
      </c>
      <c r="AA9" s="152">
        <v>170</v>
      </c>
      <c r="AB9" s="106"/>
      <c r="AC9" s="106"/>
      <c r="AD9" s="106"/>
      <c r="AE9" s="106"/>
      <c r="AF9" s="106"/>
      <c r="AG9" s="106"/>
      <c r="AH9" s="106"/>
      <c r="AI9" s="107" t="s">
        <v>306</v>
      </c>
      <c r="AJ9" s="107" t="s">
        <v>307</v>
      </c>
      <c r="AK9" s="183">
        <f>COUNT(tbl_Resultat[[#This Row],[L1]:[L10]])*tbl_Resultat[[#This Row],[Nombre]]</f>
        <v>21</v>
      </c>
      <c r="AL9" s="184">
        <f ca="1">SUM(AL8,tbl_Resultat[[#This Row],[Largeurs]]&lt;&gt;OFFSET(tbl_Resultat[[#This Row],[Largeurs]],-1,))</f>
        <v>7</v>
      </c>
      <c r="AN9">
        <v>3</v>
      </c>
      <c r="AO9" t="s">
        <v>314</v>
      </c>
      <c r="AP9" s="186">
        <v>1</v>
      </c>
      <c r="AQ9"/>
      <c r="AR9" s="113">
        <v>170</v>
      </c>
      <c r="AS9"/>
      <c r="BA9" s="182" t="s">
        <v>54</v>
      </c>
      <c r="BK9" s="104" t="s">
        <v>65</v>
      </c>
      <c r="BL9" s="103" t="s">
        <v>64</v>
      </c>
      <c r="BM9" s="103" t="s">
        <v>63</v>
      </c>
      <c r="BN9" s="103" t="s">
        <v>62</v>
      </c>
      <c r="BO9" s="102" t="s">
        <v>61</v>
      </c>
    </row>
    <row r="10" spans="1:73" ht="15.75" thickBot="1" x14ac:dyDescent="0.3">
      <c r="G10" s="65" t="s">
        <v>67</v>
      </c>
      <c r="H10" s="65">
        <v>690</v>
      </c>
      <c r="I10" s="65">
        <v>170</v>
      </c>
      <c r="J10" s="65">
        <v>1</v>
      </c>
      <c r="K10" s="65" t="s">
        <v>60</v>
      </c>
      <c r="L10" s="65">
        <v>139853</v>
      </c>
      <c r="M10" s="74">
        <f>+tbl_Ordres[[#This Row],[Longueur]]*tbl_Ordres[[#This Row],[Largeur]]*tbl_Ordres[[#This Row],[Quantité]]/100</f>
        <v>1173</v>
      </c>
      <c r="N10" s="74">
        <f t="shared" ca="1" si="0"/>
        <v>0.2006544981653331</v>
      </c>
      <c r="O10" s="74">
        <f ca="1">RANK(tbl_Ordres[[#This Row],[alea]],tbl_Ordres[alea])</f>
        <v>8</v>
      </c>
      <c r="S10" s="105" t="s">
        <v>77</v>
      </c>
      <c r="T10" s="105">
        <v>1</v>
      </c>
      <c r="U10" s="105">
        <v>1200</v>
      </c>
      <c r="V10" s="105">
        <v>540</v>
      </c>
      <c r="W10" s="105">
        <v>480</v>
      </c>
      <c r="X10" s="108">
        <v>0.88888888888888884</v>
      </c>
      <c r="Y10" s="152">
        <v>170</v>
      </c>
      <c r="Z10" s="189">
        <v>155</v>
      </c>
      <c r="AA10" s="189">
        <v>155</v>
      </c>
      <c r="AB10" s="106"/>
      <c r="AC10" s="106"/>
      <c r="AD10" s="106"/>
      <c r="AE10" s="106"/>
      <c r="AF10" s="106"/>
      <c r="AG10" s="106"/>
      <c r="AH10" s="106"/>
      <c r="AI10" s="107" t="s">
        <v>308</v>
      </c>
      <c r="AJ10" s="107" t="s">
        <v>309</v>
      </c>
      <c r="AK10" s="183">
        <f>COUNT(tbl_Resultat[[#This Row],[L1]:[L10]])*tbl_Resultat[[#This Row],[Nombre]]</f>
        <v>3</v>
      </c>
      <c r="AL10" s="184">
        <f ca="1">SUM(AL9,tbl_Resultat[[#This Row],[Largeurs]]&lt;&gt;OFFSET(tbl_Resultat[[#This Row],[Largeurs]],-1,))</f>
        <v>8</v>
      </c>
      <c r="AN10">
        <v>9</v>
      </c>
      <c r="AO10" t="s">
        <v>310</v>
      </c>
      <c r="AP10" s="186">
        <v>1</v>
      </c>
      <c r="AQ10"/>
      <c r="AR10" s="112">
        <v>170</v>
      </c>
      <c r="AS10"/>
      <c r="BA10" s="89" t="s">
        <v>65</v>
      </c>
      <c r="BB10" s="88" t="s">
        <v>64</v>
      </c>
      <c r="BC10" s="88" t="s">
        <v>63</v>
      </c>
      <c r="BD10" s="88" t="s">
        <v>62</v>
      </c>
      <c r="BE10" s="87" t="s">
        <v>61</v>
      </c>
      <c r="BK10" s="101" t="s">
        <v>74</v>
      </c>
      <c r="BL10" s="100">
        <v>1</v>
      </c>
      <c r="BM10" s="100">
        <v>1200</v>
      </c>
      <c r="BN10" s="100">
        <v>540</v>
      </c>
      <c r="BO10" s="99" t="s">
        <v>60</v>
      </c>
    </row>
    <row r="11" spans="1:73" ht="15.75" thickBot="1" x14ac:dyDescent="0.3">
      <c r="G11" s="65" t="s">
        <v>67</v>
      </c>
      <c r="H11" s="65">
        <v>1200</v>
      </c>
      <c r="I11" s="65">
        <v>155</v>
      </c>
      <c r="J11" s="65">
        <v>12</v>
      </c>
      <c r="K11" s="65" t="s">
        <v>60</v>
      </c>
      <c r="L11" s="65">
        <v>139852</v>
      </c>
      <c r="M11" s="74">
        <f>+tbl_Ordres[[#This Row],[Longueur]]*tbl_Ordres[[#This Row],[Largeur]]*tbl_Ordres[[#This Row],[Quantité]]/100</f>
        <v>22320</v>
      </c>
      <c r="N11" s="74">
        <f t="shared" ca="1" si="0"/>
        <v>0.84516583326688577</v>
      </c>
      <c r="O11" s="74">
        <f ca="1">RANK(tbl_Ordres[[#This Row],[alea]],tbl_Ordres[alea])</f>
        <v>2</v>
      </c>
      <c r="S11" s="105" t="s">
        <v>76</v>
      </c>
      <c r="T11" s="105">
        <v>3</v>
      </c>
      <c r="U11" s="105">
        <v>1200</v>
      </c>
      <c r="V11" s="105">
        <v>540</v>
      </c>
      <c r="W11" s="105">
        <v>465</v>
      </c>
      <c r="X11" s="108">
        <v>0.86111111111111116</v>
      </c>
      <c r="Y11" s="189">
        <v>155</v>
      </c>
      <c r="Z11" s="189">
        <v>155</v>
      </c>
      <c r="AA11" s="189">
        <v>155</v>
      </c>
      <c r="AB11" s="106"/>
      <c r="AC11" s="106"/>
      <c r="AD11" s="106"/>
      <c r="AE11" s="106"/>
      <c r="AF11" s="106"/>
      <c r="AG11" s="106"/>
      <c r="AH11" s="106"/>
      <c r="AI11" s="107" t="s">
        <v>310</v>
      </c>
      <c r="AJ11" s="107" t="s">
        <v>311</v>
      </c>
      <c r="AK11" s="183">
        <f>COUNT(tbl_Resultat[[#This Row],[L1]:[L10]])*tbl_Resultat[[#This Row],[Nombre]]</f>
        <v>9</v>
      </c>
      <c r="AL11" s="184">
        <f ca="1">SUM(AL10,tbl_Resultat[[#This Row],[Largeurs]]&lt;&gt;OFFSET(tbl_Resultat[[#This Row],[Largeurs]],-1,))</f>
        <v>9</v>
      </c>
      <c r="AN11">
        <v>4</v>
      </c>
      <c r="AO11" t="s">
        <v>304</v>
      </c>
      <c r="AP11" s="186">
        <v>1</v>
      </c>
      <c r="AQ11"/>
      <c r="AR11" s="111">
        <v>155</v>
      </c>
      <c r="AS11"/>
      <c r="BA11" s="86" t="s">
        <v>81</v>
      </c>
      <c r="BB11" s="85">
        <v>5</v>
      </c>
      <c r="BC11" s="85">
        <v>1200</v>
      </c>
      <c r="BD11" s="85">
        <v>540</v>
      </c>
      <c r="BE11" s="84" t="s">
        <v>60</v>
      </c>
      <c r="BK11" s="98" t="s">
        <v>59</v>
      </c>
      <c r="BL11" s="97" t="s">
        <v>58</v>
      </c>
      <c r="BM11" s="97" t="s">
        <v>57</v>
      </c>
      <c r="BN11" s="97" t="s">
        <v>56</v>
      </c>
      <c r="BO11" s="96" t="s">
        <v>55</v>
      </c>
    </row>
    <row r="12" spans="1:73" x14ac:dyDescent="0.25">
      <c r="G12" s="65" t="s">
        <v>67</v>
      </c>
      <c r="H12" s="65">
        <v>389</v>
      </c>
      <c r="I12" s="65">
        <v>155</v>
      </c>
      <c r="J12" s="65">
        <v>1</v>
      </c>
      <c r="K12" s="65" t="s">
        <v>60</v>
      </c>
      <c r="L12" s="65">
        <v>139852</v>
      </c>
      <c r="M12" s="74">
        <f>+tbl_Ordres[[#This Row],[Longueur]]*tbl_Ordres[[#This Row],[Largeur]]*tbl_Ordres[[#This Row],[Quantité]]/100</f>
        <v>602.95000000000005</v>
      </c>
      <c r="N12" s="74">
        <f t="shared" ca="1" si="0"/>
        <v>0.43656079803546688</v>
      </c>
      <c r="O12" s="74">
        <f ca="1">RANK(tbl_Ordres[[#This Row],[alea]],tbl_Ordres[alea])</f>
        <v>6</v>
      </c>
      <c r="AN12">
        <v>5</v>
      </c>
      <c r="AO12" t="s">
        <v>302</v>
      </c>
      <c r="AP12" s="186">
        <v>1</v>
      </c>
      <c r="AQ12"/>
      <c r="AR12">
        <v>155</v>
      </c>
      <c r="AS12"/>
      <c r="BA12" s="83" t="s">
        <v>59</v>
      </c>
      <c r="BB12" s="82" t="s">
        <v>58</v>
      </c>
      <c r="BC12" s="82" t="s">
        <v>57</v>
      </c>
      <c r="BD12" s="82" t="s">
        <v>56</v>
      </c>
      <c r="BE12" s="81" t="s">
        <v>55</v>
      </c>
      <c r="BK12" s="95">
        <v>1200</v>
      </c>
      <c r="BL12" s="94">
        <v>225</v>
      </c>
      <c r="BM12" s="94">
        <v>0</v>
      </c>
      <c r="BN12" s="94">
        <v>0</v>
      </c>
      <c r="BO12" s="93" t="s">
        <v>300</v>
      </c>
    </row>
    <row r="13" spans="1:73" ht="15.75" thickBot="1" x14ac:dyDescent="0.3">
      <c r="AN13" t="s">
        <v>80</v>
      </c>
      <c r="AO13"/>
      <c r="AP13" s="186">
        <v>9</v>
      </c>
      <c r="AQ13"/>
      <c r="AR13"/>
      <c r="AS13"/>
      <c r="BA13" s="80">
        <v>1200</v>
      </c>
      <c r="BB13" s="79">
        <v>184</v>
      </c>
      <c r="BC13" s="79">
        <v>0</v>
      </c>
      <c r="BD13" s="79">
        <v>0</v>
      </c>
      <c r="BE13" s="78" t="s">
        <v>296</v>
      </c>
      <c r="BK13" s="92">
        <v>1200</v>
      </c>
      <c r="BL13" s="91">
        <v>199</v>
      </c>
      <c r="BM13" s="91">
        <v>0</v>
      </c>
      <c r="BN13" s="91">
        <v>225</v>
      </c>
      <c r="BO13" s="90" t="s">
        <v>301</v>
      </c>
    </row>
    <row r="14" spans="1:73" ht="15.75" thickBot="1" x14ac:dyDescent="0.3">
      <c r="AN14"/>
      <c r="AO14"/>
      <c r="AP14"/>
      <c r="AQ14"/>
      <c r="AR14"/>
      <c r="AS14"/>
      <c r="BA14" s="80">
        <v>1200</v>
      </c>
      <c r="BB14" s="79">
        <v>184</v>
      </c>
      <c r="BC14" s="79">
        <v>0</v>
      </c>
      <c r="BD14" s="79">
        <v>184</v>
      </c>
      <c r="BE14" s="78" t="s">
        <v>296</v>
      </c>
    </row>
    <row r="15" spans="1:73" ht="15.75" thickBot="1" x14ac:dyDescent="0.3">
      <c r="AN15"/>
      <c r="AO15"/>
      <c r="AP15"/>
      <c r="AQ15"/>
      <c r="AR15"/>
      <c r="AS15"/>
      <c r="BA15" s="77">
        <v>1200</v>
      </c>
      <c r="BB15" s="76">
        <v>170</v>
      </c>
      <c r="BC15" s="76">
        <v>0</v>
      </c>
      <c r="BD15" s="76">
        <v>368</v>
      </c>
      <c r="BE15" s="75" t="s">
        <v>297</v>
      </c>
      <c r="BK15" s="104" t="s">
        <v>65</v>
      </c>
      <c r="BL15" s="103" t="s">
        <v>64</v>
      </c>
      <c r="BM15" s="103" t="s">
        <v>63</v>
      </c>
      <c r="BN15" s="103" t="s">
        <v>62</v>
      </c>
      <c r="BO15" s="102" t="s">
        <v>61</v>
      </c>
    </row>
    <row r="16" spans="1:73" ht="15.75" thickBot="1" x14ac:dyDescent="0.3">
      <c r="P16"/>
      <c r="Q16"/>
      <c r="AN16"/>
      <c r="AO16"/>
      <c r="AP16"/>
      <c r="AQ16"/>
      <c r="AR16"/>
      <c r="AS16"/>
      <c r="BA16" s="182" t="s">
        <v>54</v>
      </c>
      <c r="BK16" s="101" t="s">
        <v>73</v>
      </c>
      <c r="BL16" s="100">
        <v>1</v>
      </c>
      <c r="BM16" s="100">
        <v>1200</v>
      </c>
      <c r="BN16" s="100">
        <v>540</v>
      </c>
      <c r="BO16" s="99" t="s">
        <v>60</v>
      </c>
    </row>
    <row r="17" spans="16:67" x14ac:dyDescent="0.25">
      <c r="P17"/>
      <c r="Q17"/>
      <c r="AN17"/>
      <c r="AO17"/>
      <c r="AP17"/>
      <c r="AQ17"/>
      <c r="AR17"/>
      <c r="AS17"/>
      <c r="BA17" s="89" t="s">
        <v>65</v>
      </c>
      <c r="BB17" s="88" t="s">
        <v>64</v>
      </c>
      <c r="BC17" s="88" t="s">
        <v>63</v>
      </c>
      <c r="BD17" s="88" t="s">
        <v>62</v>
      </c>
      <c r="BE17" s="87" t="s">
        <v>61</v>
      </c>
      <c r="BK17" s="98" t="s">
        <v>59</v>
      </c>
      <c r="BL17" s="97" t="s">
        <v>58</v>
      </c>
      <c r="BM17" s="97" t="s">
        <v>57</v>
      </c>
      <c r="BN17" s="97" t="s">
        <v>56</v>
      </c>
      <c r="BO17" s="96" t="s">
        <v>55</v>
      </c>
    </row>
    <row r="18" spans="16:67" x14ac:dyDescent="0.25">
      <c r="P18"/>
      <c r="Q18"/>
      <c r="AN18"/>
      <c r="AO18"/>
      <c r="AP18"/>
      <c r="AQ18"/>
      <c r="AR18"/>
      <c r="AS18"/>
      <c r="BA18" s="86" t="s">
        <v>79</v>
      </c>
      <c r="BB18" s="85">
        <v>1</v>
      </c>
      <c r="BC18" s="85">
        <v>1200</v>
      </c>
      <c r="BD18" s="85">
        <v>540</v>
      </c>
      <c r="BE18" s="84" t="s">
        <v>60</v>
      </c>
      <c r="BK18" s="95">
        <v>1200</v>
      </c>
      <c r="BL18" s="94">
        <v>199</v>
      </c>
      <c r="BM18" s="94">
        <v>0</v>
      </c>
      <c r="BN18" s="94">
        <v>0</v>
      </c>
      <c r="BO18" s="93" t="s">
        <v>301</v>
      </c>
    </row>
    <row r="19" spans="16:67" ht="15.75" thickBot="1" x14ac:dyDescent="0.3">
      <c r="P19"/>
      <c r="Q19"/>
      <c r="AN19"/>
      <c r="AO19"/>
      <c r="AP19"/>
      <c r="AQ19"/>
      <c r="AR19"/>
      <c r="AS19"/>
      <c r="BA19" s="83" t="s">
        <v>59</v>
      </c>
      <c r="BB19" s="82" t="s">
        <v>58</v>
      </c>
      <c r="BC19" s="82" t="s">
        <v>57</v>
      </c>
      <c r="BD19" s="82" t="s">
        <v>56</v>
      </c>
      <c r="BE19" s="81" t="s">
        <v>55</v>
      </c>
      <c r="BK19" s="92">
        <v>1200</v>
      </c>
      <c r="BL19" s="91">
        <v>189</v>
      </c>
      <c r="BM19" s="91">
        <v>0</v>
      </c>
      <c r="BN19" s="91">
        <v>199</v>
      </c>
      <c r="BO19" s="90" t="s">
        <v>298</v>
      </c>
    </row>
    <row r="20" spans="16:67" ht="15.75" thickBot="1" x14ac:dyDescent="0.3">
      <c r="P20"/>
      <c r="Q20"/>
      <c r="AN20"/>
      <c r="AO20"/>
      <c r="AP20"/>
      <c r="AQ20"/>
      <c r="AR20"/>
      <c r="AS20"/>
      <c r="BA20" s="80">
        <v>1200</v>
      </c>
      <c r="BB20" s="79">
        <v>189</v>
      </c>
      <c r="BC20" s="79">
        <v>0</v>
      </c>
      <c r="BD20" s="79">
        <v>0</v>
      </c>
      <c r="BE20" s="78" t="s">
        <v>298</v>
      </c>
    </row>
    <row r="21" spans="16:67" x14ac:dyDescent="0.25">
      <c r="P21"/>
      <c r="Q21"/>
      <c r="AN21"/>
      <c r="AO21"/>
      <c r="AP21"/>
      <c r="AQ21"/>
      <c r="AR21"/>
      <c r="AS21"/>
      <c r="BA21" s="80">
        <v>1200</v>
      </c>
      <c r="BB21" s="79">
        <v>189</v>
      </c>
      <c r="BC21" s="79">
        <v>0</v>
      </c>
      <c r="BD21" s="79">
        <v>189</v>
      </c>
      <c r="BE21" s="78" t="s">
        <v>298</v>
      </c>
      <c r="BK21" s="104" t="s">
        <v>65</v>
      </c>
      <c r="BL21" s="103" t="s">
        <v>64</v>
      </c>
      <c r="BM21" s="103" t="s">
        <v>63</v>
      </c>
      <c r="BN21" s="103" t="s">
        <v>62</v>
      </c>
      <c r="BO21" s="102" t="s">
        <v>61</v>
      </c>
    </row>
    <row r="22" spans="16:67" ht="15.75" thickBot="1" x14ac:dyDescent="0.3">
      <c r="P22"/>
      <c r="Q22"/>
      <c r="AN22"/>
      <c r="AO22"/>
      <c r="AP22"/>
      <c r="AQ22"/>
      <c r="AR22"/>
      <c r="AS22"/>
      <c r="BA22" s="77">
        <v>1200</v>
      </c>
      <c r="BB22" s="76">
        <v>155</v>
      </c>
      <c r="BC22" s="76">
        <v>0</v>
      </c>
      <c r="BD22" s="76">
        <v>378</v>
      </c>
      <c r="BE22" s="75" t="s">
        <v>299</v>
      </c>
      <c r="BK22" s="101" t="s">
        <v>79</v>
      </c>
      <c r="BL22" s="100">
        <v>1</v>
      </c>
      <c r="BM22" s="100">
        <v>1200</v>
      </c>
      <c r="BN22" s="100">
        <v>540</v>
      </c>
      <c r="BO22" s="99" t="s">
        <v>60</v>
      </c>
    </row>
    <row r="23" spans="16:67" ht="15.75" thickBot="1" x14ac:dyDescent="0.3">
      <c r="P23"/>
      <c r="Q23"/>
      <c r="AN23"/>
      <c r="AO23"/>
      <c r="AP23"/>
      <c r="AQ23"/>
      <c r="AR23"/>
      <c r="AS23"/>
      <c r="BA23" s="182" t="s">
        <v>54</v>
      </c>
      <c r="BK23" s="98" t="s">
        <v>59</v>
      </c>
      <c r="BL23" s="97" t="s">
        <v>58</v>
      </c>
      <c r="BM23" s="97" t="s">
        <v>57</v>
      </c>
      <c r="BN23" s="97" t="s">
        <v>56</v>
      </c>
      <c r="BO23" s="96" t="s">
        <v>55</v>
      </c>
    </row>
    <row r="24" spans="16:67" x14ac:dyDescent="0.25">
      <c r="P24"/>
      <c r="Q24"/>
      <c r="AN24"/>
      <c r="AO24"/>
      <c r="AP24"/>
      <c r="AQ24"/>
      <c r="AR24"/>
      <c r="AS24"/>
      <c r="BA24" s="89" t="s">
        <v>65</v>
      </c>
      <c r="BB24" s="88" t="s">
        <v>64</v>
      </c>
      <c r="BC24" s="88" t="s">
        <v>63</v>
      </c>
      <c r="BD24" s="88" t="s">
        <v>62</v>
      </c>
      <c r="BE24" s="87" t="s">
        <v>61</v>
      </c>
      <c r="BK24" s="95">
        <v>1200</v>
      </c>
      <c r="BL24" s="94">
        <v>189</v>
      </c>
      <c r="BM24" s="94">
        <v>0</v>
      </c>
      <c r="BN24" s="94">
        <v>0</v>
      </c>
      <c r="BO24" s="93" t="s">
        <v>298</v>
      </c>
    </row>
    <row r="25" spans="16:67" x14ac:dyDescent="0.25">
      <c r="P25"/>
      <c r="Q25"/>
      <c r="AN25"/>
      <c r="AO25"/>
      <c r="AP25"/>
      <c r="AQ25"/>
      <c r="AR25"/>
      <c r="AS25"/>
      <c r="BA25" s="86" t="s">
        <v>78</v>
      </c>
      <c r="BB25" s="85">
        <v>7</v>
      </c>
      <c r="BC25" s="85">
        <v>1200</v>
      </c>
      <c r="BD25" s="85">
        <v>540</v>
      </c>
      <c r="BE25" s="84" t="s">
        <v>60</v>
      </c>
      <c r="BK25" s="95">
        <v>1200</v>
      </c>
      <c r="BL25" s="94">
        <v>189</v>
      </c>
      <c r="BM25" s="94">
        <v>0</v>
      </c>
      <c r="BN25" s="94">
        <v>189</v>
      </c>
      <c r="BO25" s="93" t="s">
        <v>298</v>
      </c>
    </row>
    <row r="26" spans="16:67" ht="15.75" thickBot="1" x14ac:dyDescent="0.3">
      <c r="P26"/>
      <c r="Q26"/>
      <c r="AN26"/>
      <c r="AO26"/>
      <c r="AP26"/>
      <c r="AQ26"/>
      <c r="AR26"/>
      <c r="AS26"/>
      <c r="BA26" s="83" t="s">
        <v>59</v>
      </c>
      <c r="BB26" s="82" t="s">
        <v>58</v>
      </c>
      <c r="BC26" s="82" t="s">
        <v>57</v>
      </c>
      <c r="BD26" s="82" t="s">
        <v>56</v>
      </c>
      <c r="BE26" s="81" t="s">
        <v>55</v>
      </c>
      <c r="BK26" s="92">
        <v>1200</v>
      </c>
      <c r="BL26" s="91">
        <v>155</v>
      </c>
      <c r="BM26" s="91">
        <v>0</v>
      </c>
      <c r="BN26" s="91">
        <v>378</v>
      </c>
      <c r="BO26" s="90" t="s">
        <v>299</v>
      </c>
    </row>
    <row r="27" spans="16:67" ht="15.75" thickBot="1" x14ac:dyDescent="0.3">
      <c r="P27"/>
      <c r="Q27"/>
      <c r="AN27"/>
      <c r="AO27"/>
      <c r="AP27"/>
      <c r="AQ27"/>
      <c r="AR27"/>
      <c r="AS27"/>
      <c r="BA27" s="80">
        <v>1200</v>
      </c>
      <c r="BB27" s="79">
        <v>170</v>
      </c>
      <c r="BC27" s="79">
        <v>0</v>
      </c>
      <c r="BD27" s="79">
        <v>0</v>
      </c>
      <c r="BE27" s="78" t="s">
        <v>297</v>
      </c>
    </row>
    <row r="28" spans="16:67" x14ac:dyDescent="0.25">
      <c r="AN28"/>
      <c r="AO28"/>
      <c r="AP28"/>
      <c r="AQ28"/>
      <c r="AR28"/>
      <c r="AS28"/>
      <c r="BA28" s="80">
        <v>1200</v>
      </c>
      <c r="BB28" s="79">
        <v>170</v>
      </c>
      <c r="BC28" s="79">
        <v>0</v>
      </c>
      <c r="BD28" s="79">
        <v>170</v>
      </c>
      <c r="BE28" s="78" t="s">
        <v>297</v>
      </c>
      <c r="BK28" s="104" t="s">
        <v>65</v>
      </c>
      <c r="BL28" s="103" t="s">
        <v>64</v>
      </c>
      <c r="BM28" s="103" t="s">
        <v>63</v>
      </c>
      <c r="BN28" s="103" t="s">
        <v>62</v>
      </c>
      <c r="BO28" s="102" t="s">
        <v>61</v>
      </c>
    </row>
    <row r="29" spans="16:67" ht="15.75" thickBot="1" x14ac:dyDescent="0.3">
      <c r="AN29"/>
      <c r="AO29"/>
      <c r="AP29"/>
      <c r="AQ29"/>
      <c r="AR29"/>
      <c r="AS29"/>
      <c r="BA29" s="77">
        <v>1200</v>
      </c>
      <c r="BB29" s="76">
        <v>170</v>
      </c>
      <c r="BC29" s="76">
        <v>0</v>
      </c>
      <c r="BD29" s="76">
        <v>340</v>
      </c>
      <c r="BE29" s="75" t="s">
        <v>297</v>
      </c>
      <c r="BK29" s="101" t="s">
        <v>81</v>
      </c>
      <c r="BL29" s="100">
        <v>5</v>
      </c>
      <c r="BM29" s="100">
        <v>1200</v>
      </c>
      <c r="BN29" s="100">
        <v>540</v>
      </c>
      <c r="BO29" s="99" t="s">
        <v>60</v>
      </c>
    </row>
    <row r="30" spans="16:67" ht="15.75" thickBot="1" x14ac:dyDescent="0.3">
      <c r="AN30"/>
      <c r="AO30"/>
      <c r="AP30"/>
      <c r="AQ30"/>
      <c r="AR30"/>
      <c r="AS30"/>
      <c r="BA30" s="182" t="s">
        <v>54</v>
      </c>
      <c r="BK30" s="98" t="s">
        <v>59</v>
      </c>
      <c r="BL30" s="97" t="s">
        <v>58</v>
      </c>
      <c r="BM30" s="97" t="s">
        <v>57</v>
      </c>
      <c r="BN30" s="97" t="s">
        <v>56</v>
      </c>
      <c r="BO30" s="96" t="s">
        <v>55</v>
      </c>
    </row>
    <row r="31" spans="16:67" x14ac:dyDescent="0.25">
      <c r="AN31"/>
      <c r="AO31"/>
      <c r="AP31"/>
      <c r="AQ31"/>
      <c r="AR31"/>
      <c r="AS31"/>
      <c r="BA31" s="89" t="s">
        <v>65</v>
      </c>
      <c r="BB31" s="88" t="s">
        <v>64</v>
      </c>
      <c r="BC31" s="88" t="s">
        <v>63</v>
      </c>
      <c r="BD31" s="88" t="s">
        <v>62</v>
      </c>
      <c r="BE31" s="87" t="s">
        <v>61</v>
      </c>
      <c r="BK31" s="95">
        <v>1200</v>
      </c>
      <c r="BL31" s="94">
        <v>184</v>
      </c>
      <c r="BM31" s="94">
        <v>0</v>
      </c>
      <c r="BN31" s="94">
        <v>0</v>
      </c>
      <c r="BO31" s="93" t="s">
        <v>296</v>
      </c>
    </row>
    <row r="32" spans="16:67" x14ac:dyDescent="0.25">
      <c r="AN32"/>
      <c r="AP32"/>
      <c r="AQ32"/>
      <c r="AR32"/>
      <c r="AS32"/>
      <c r="BA32" s="86" t="s">
        <v>77</v>
      </c>
      <c r="BB32" s="85">
        <v>1</v>
      </c>
      <c r="BC32" s="85">
        <v>1200</v>
      </c>
      <c r="BD32" s="85">
        <v>540</v>
      </c>
      <c r="BE32" s="84" t="s">
        <v>60</v>
      </c>
      <c r="BK32" s="95">
        <v>1200</v>
      </c>
      <c r="BL32" s="94">
        <v>184</v>
      </c>
      <c r="BM32" s="94">
        <v>0</v>
      </c>
      <c r="BN32" s="94">
        <v>184</v>
      </c>
      <c r="BO32" s="93" t="s">
        <v>296</v>
      </c>
    </row>
    <row r="33" spans="40:67" ht="15.75" thickBot="1" x14ac:dyDescent="0.3">
      <c r="AN33"/>
      <c r="AP33"/>
      <c r="AQ33"/>
      <c r="AR33"/>
      <c r="AS33"/>
      <c r="BA33" s="83" t="s">
        <v>59</v>
      </c>
      <c r="BB33" s="82" t="s">
        <v>58</v>
      </c>
      <c r="BC33" s="82" t="s">
        <v>57</v>
      </c>
      <c r="BD33" s="82" t="s">
        <v>56</v>
      </c>
      <c r="BE33" s="81" t="s">
        <v>55</v>
      </c>
      <c r="BK33" s="92">
        <v>1200</v>
      </c>
      <c r="BL33" s="91">
        <v>170</v>
      </c>
      <c r="BM33" s="91">
        <v>0</v>
      </c>
      <c r="BN33" s="91">
        <v>368</v>
      </c>
      <c r="BO33" s="90" t="s">
        <v>297</v>
      </c>
    </row>
    <row r="34" spans="40:67" ht="15.75" thickBot="1" x14ac:dyDescent="0.3">
      <c r="AN34"/>
      <c r="AP34"/>
      <c r="AQ34"/>
      <c r="AR34"/>
      <c r="AS34"/>
      <c r="BA34" s="80">
        <v>1200</v>
      </c>
      <c r="BB34" s="79">
        <v>170</v>
      </c>
      <c r="BC34" s="79">
        <v>0</v>
      </c>
      <c r="BD34" s="79">
        <v>0</v>
      </c>
      <c r="BE34" s="78" t="s">
        <v>297</v>
      </c>
    </row>
    <row r="35" spans="40:67" x14ac:dyDescent="0.25">
      <c r="AN35"/>
      <c r="AP35"/>
      <c r="AQ35"/>
      <c r="AR35"/>
      <c r="AS35"/>
      <c r="BA35" s="80">
        <v>1200</v>
      </c>
      <c r="BB35" s="79">
        <v>155</v>
      </c>
      <c r="BC35" s="79">
        <v>0</v>
      </c>
      <c r="BD35" s="79">
        <v>170</v>
      </c>
      <c r="BE35" s="78" t="s">
        <v>299</v>
      </c>
      <c r="BK35" s="104" t="s">
        <v>65</v>
      </c>
      <c r="BL35" s="103" t="s">
        <v>64</v>
      </c>
      <c r="BM35" s="103" t="s">
        <v>63</v>
      </c>
      <c r="BN35" s="103" t="s">
        <v>62</v>
      </c>
      <c r="BO35" s="102" t="s">
        <v>61</v>
      </c>
    </row>
    <row r="36" spans="40:67" ht="15.75" thickBot="1" x14ac:dyDescent="0.3">
      <c r="AN36"/>
      <c r="AP36"/>
      <c r="AQ36"/>
      <c r="AR36"/>
      <c r="AS36"/>
      <c r="BA36" s="77">
        <v>1200</v>
      </c>
      <c r="BB36" s="76">
        <v>155</v>
      </c>
      <c r="BC36" s="76">
        <v>0</v>
      </c>
      <c r="BD36" s="76">
        <v>325</v>
      </c>
      <c r="BE36" s="75" t="s">
        <v>299</v>
      </c>
      <c r="BK36" s="101" t="s">
        <v>72</v>
      </c>
      <c r="BL36" s="100">
        <v>1</v>
      </c>
      <c r="BM36" s="100">
        <v>1200</v>
      </c>
      <c r="BN36" s="100">
        <v>540</v>
      </c>
      <c r="BO36" s="99" t="s">
        <v>60</v>
      </c>
    </row>
    <row r="37" spans="40:67" ht="15.75" thickBot="1" x14ac:dyDescent="0.3">
      <c r="AN37"/>
      <c r="AP37"/>
      <c r="AQ37"/>
      <c r="AR37"/>
      <c r="AS37"/>
      <c r="BA37" s="182" t="s">
        <v>54</v>
      </c>
      <c r="BK37" s="98" t="s">
        <v>59</v>
      </c>
      <c r="BL37" s="97" t="s">
        <v>58</v>
      </c>
      <c r="BM37" s="97" t="s">
        <v>57</v>
      </c>
      <c r="BN37" s="97" t="s">
        <v>56</v>
      </c>
      <c r="BO37" s="96" t="s">
        <v>55</v>
      </c>
    </row>
    <row r="38" spans="40:67" x14ac:dyDescent="0.25">
      <c r="AN38"/>
      <c r="AP38"/>
      <c r="AQ38"/>
      <c r="AR38"/>
      <c r="AS38"/>
      <c r="BA38" s="89" t="s">
        <v>65</v>
      </c>
      <c r="BB38" s="88" t="s">
        <v>64</v>
      </c>
      <c r="BC38" s="88" t="s">
        <v>63</v>
      </c>
      <c r="BD38" s="88" t="s">
        <v>62</v>
      </c>
      <c r="BE38" s="87" t="s">
        <v>61</v>
      </c>
      <c r="BK38" s="185">
        <v>690</v>
      </c>
      <c r="BL38" s="94">
        <v>170</v>
      </c>
      <c r="BM38" s="94">
        <v>0</v>
      </c>
      <c r="BN38" s="94">
        <v>0</v>
      </c>
      <c r="BO38" s="93" t="s">
        <v>297</v>
      </c>
    </row>
    <row r="39" spans="40:67" x14ac:dyDescent="0.25">
      <c r="AN39"/>
      <c r="AP39"/>
      <c r="AQ39"/>
      <c r="AR39"/>
      <c r="AS39"/>
      <c r="BA39" s="86" t="s">
        <v>76</v>
      </c>
      <c r="BB39" s="85">
        <v>3</v>
      </c>
      <c r="BC39" s="85">
        <v>1200</v>
      </c>
      <c r="BD39" s="85">
        <v>540</v>
      </c>
      <c r="BE39" s="84" t="s">
        <v>60</v>
      </c>
      <c r="BK39" s="185">
        <v>522</v>
      </c>
      <c r="BL39" s="94">
        <v>225</v>
      </c>
      <c r="BM39" s="94">
        <v>0</v>
      </c>
      <c r="BN39" s="94">
        <v>170</v>
      </c>
      <c r="BO39" s="93" t="s">
        <v>300</v>
      </c>
    </row>
    <row r="40" spans="40:67" x14ac:dyDescent="0.25">
      <c r="AN40"/>
      <c r="AP40"/>
      <c r="AQ40"/>
      <c r="AR40"/>
      <c r="AS40"/>
      <c r="BA40" s="83" t="s">
        <v>59</v>
      </c>
      <c r="BB40" s="82" t="s">
        <v>58</v>
      </c>
      <c r="BC40" s="82" t="s">
        <v>57</v>
      </c>
      <c r="BD40" s="82" t="s">
        <v>56</v>
      </c>
      <c r="BE40" s="81" t="s">
        <v>55</v>
      </c>
      <c r="BK40" s="185">
        <v>389</v>
      </c>
      <c r="BL40" s="94">
        <v>155</v>
      </c>
      <c r="BM40" s="94">
        <v>690</v>
      </c>
      <c r="BN40" s="94">
        <v>0</v>
      </c>
      <c r="BO40" s="93" t="s">
        <v>299</v>
      </c>
    </row>
    <row r="41" spans="40:67" ht="15.75" thickBot="1" x14ac:dyDescent="0.3">
      <c r="AN41"/>
      <c r="AP41"/>
      <c r="AQ41"/>
      <c r="AR41"/>
      <c r="AS41"/>
      <c r="BA41" s="80">
        <v>1200</v>
      </c>
      <c r="BB41" s="79">
        <v>155</v>
      </c>
      <c r="BC41" s="79">
        <v>0</v>
      </c>
      <c r="BD41" s="79">
        <v>0</v>
      </c>
      <c r="BE41" s="78" t="s">
        <v>299</v>
      </c>
      <c r="BK41" s="110">
        <v>185</v>
      </c>
      <c r="BL41" s="91">
        <v>199</v>
      </c>
      <c r="BM41" s="91">
        <v>522</v>
      </c>
      <c r="BN41" s="91">
        <v>170</v>
      </c>
      <c r="BO41" s="90" t="s">
        <v>301</v>
      </c>
    </row>
    <row r="42" spans="40:67" ht="15.75" thickBot="1" x14ac:dyDescent="0.3">
      <c r="AN42"/>
      <c r="AP42"/>
      <c r="AQ42"/>
      <c r="AR42"/>
      <c r="AS42"/>
      <c r="BA42" s="80">
        <v>1200</v>
      </c>
      <c r="BB42" s="79">
        <v>155</v>
      </c>
      <c r="BC42" s="79">
        <v>0</v>
      </c>
      <c r="BD42" s="79">
        <v>155</v>
      </c>
      <c r="BE42" s="78" t="s">
        <v>299</v>
      </c>
    </row>
    <row r="43" spans="40:67" ht="15.75" thickBot="1" x14ac:dyDescent="0.3">
      <c r="AP43"/>
      <c r="AQ43"/>
      <c r="AR43"/>
      <c r="AS43"/>
      <c r="BA43" s="77">
        <v>1200</v>
      </c>
      <c r="BB43" s="76">
        <v>155</v>
      </c>
      <c r="BC43" s="76">
        <v>0</v>
      </c>
      <c r="BD43" s="76">
        <v>310</v>
      </c>
      <c r="BE43" s="75" t="s">
        <v>299</v>
      </c>
      <c r="BK43" s="104" t="s">
        <v>65</v>
      </c>
      <c r="BL43" s="103" t="s">
        <v>64</v>
      </c>
      <c r="BM43" s="103" t="s">
        <v>63</v>
      </c>
      <c r="BN43" s="103" t="s">
        <v>62</v>
      </c>
      <c r="BO43" s="102" t="s">
        <v>61</v>
      </c>
    </row>
    <row r="44" spans="40:67" ht="15.75" thickBot="1" x14ac:dyDescent="0.3">
      <c r="BA44" s="182" t="s">
        <v>54</v>
      </c>
      <c r="BK44" s="101" t="s">
        <v>78</v>
      </c>
      <c r="BL44" s="100">
        <v>7</v>
      </c>
      <c r="BM44" s="100">
        <v>1200</v>
      </c>
      <c r="BN44" s="100">
        <v>540</v>
      </c>
      <c r="BO44" s="99" t="s">
        <v>60</v>
      </c>
    </row>
    <row r="45" spans="40:67" x14ac:dyDescent="0.25">
      <c r="BA45" s="89" t="s">
        <v>65</v>
      </c>
      <c r="BB45" s="88" t="s">
        <v>64</v>
      </c>
      <c r="BC45" s="88" t="s">
        <v>63</v>
      </c>
      <c r="BD45" s="88" t="s">
        <v>62</v>
      </c>
      <c r="BE45" s="87" t="s">
        <v>61</v>
      </c>
      <c r="BK45" s="98" t="s">
        <v>59</v>
      </c>
      <c r="BL45" s="97" t="s">
        <v>58</v>
      </c>
      <c r="BM45" s="97" t="s">
        <v>57</v>
      </c>
      <c r="BN45" s="97" t="s">
        <v>56</v>
      </c>
      <c r="BO45" s="96" t="s">
        <v>55</v>
      </c>
    </row>
    <row r="46" spans="40:67" x14ac:dyDescent="0.25">
      <c r="BA46" s="86" t="s">
        <v>75</v>
      </c>
      <c r="BB46" s="85">
        <v>15</v>
      </c>
      <c r="BC46" s="85">
        <v>1200</v>
      </c>
      <c r="BD46" s="85">
        <v>540</v>
      </c>
      <c r="BE46" s="84" t="s">
        <v>60</v>
      </c>
      <c r="BK46" s="95">
        <v>1200</v>
      </c>
      <c r="BL46" s="94">
        <v>170</v>
      </c>
      <c r="BM46" s="94">
        <v>0</v>
      </c>
      <c r="BN46" s="94">
        <v>0</v>
      </c>
      <c r="BO46" s="93" t="s">
        <v>297</v>
      </c>
    </row>
    <row r="47" spans="40:67" x14ac:dyDescent="0.25">
      <c r="BA47" s="83" t="s">
        <v>59</v>
      </c>
      <c r="BB47" s="82" t="s">
        <v>58</v>
      </c>
      <c r="BC47" s="82" t="s">
        <v>57</v>
      </c>
      <c r="BD47" s="82" t="s">
        <v>56</v>
      </c>
      <c r="BE47" s="81" t="s">
        <v>55</v>
      </c>
      <c r="BK47" s="95">
        <v>1200</v>
      </c>
      <c r="BL47" s="94">
        <v>170</v>
      </c>
      <c r="BM47" s="94">
        <v>0</v>
      </c>
      <c r="BN47" s="94">
        <v>170</v>
      </c>
      <c r="BO47" s="93" t="s">
        <v>297</v>
      </c>
    </row>
    <row r="48" spans="40:67" ht="15.75" thickBot="1" x14ac:dyDescent="0.3">
      <c r="BA48" s="80">
        <v>1200</v>
      </c>
      <c r="BB48" s="79">
        <v>225</v>
      </c>
      <c r="BC48" s="79">
        <v>0</v>
      </c>
      <c r="BD48" s="79">
        <v>0</v>
      </c>
      <c r="BE48" s="78" t="s">
        <v>300</v>
      </c>
      <c r="BK48" s="92">
        <v>1200</v>
      </c>
      <c r="BL48" s="91">
        <v>170</v>
      </c>
      <c r="BM48" s="91">
        <v>0</v>
      </c>
      <c r="BN48" s="91">
        <v>340</v>
      </c>
      <c r="BO48" s="90" t="s">
        <v>297</v>
      </c>
    </row>
    <row r="49" spans="53:67" ht="15.75" thickBot="1" x14ac:dyDescent="0.3">
      <c r="BA49" s="77">
        <v>1200</v>
      </c>
      <c r="BB49" s="76">
        <v>225</v>
      </c>
      <c r="BC49" s="76">
        <v>0</v>
      </c>
      <c r="BD49" s="76">
        <v>225</v>
      </c>
      <c r="BE49" s="75" t="s">
        <v>300</v>
      </c>
    </row>
    <row r="50" spans="53:67" ht="15.75" thickBot="1" x14ac:dyDescent="0.3">
      <c r="BA50" s="182" t="s">
        <v>54</v>
      </c>
      <c r="BK50" s="104" t="s">
        <v>65</v>
      </c>
      <c r="BL50" s="103" t="s">
        <v>64</v>
      </c>
      <c r="BM50" s="103" t="s">
        <v>63</v>
      </c>
      <c r="BN50" s="103" t="s">
        <v>62</v>
      </c>
      <c r="BO50" s="102" t="s">
        <v>61</v>
      </c>
    </row>
    <row r="51" spans="53:67" x14ac:dyDescent="0.25">
      <c r="BA51" s="89" t="s">
        <v>65</v>
      </c>
      <c r="BB51" s="88" t="s">
        <v>64</v>
      </c>
      <c r="BC51" s="88" t="s">
        <v>63</v>
      </c>
      <c r="BD51" s="88" t="s">
        <v>62</v>
      </c>
      <c r="BE51" s="87" t="s">
        <v>61</v>
      </c>
      <c r="BK51" s="101" t="s">
        <v>77</v>
      </c>
      <c r="BL51" s="100">
        <v>1</v>
      </c>
      <c r="BM51" s="100">
        <v>1200</v>
      </c>
      <c r="BN51" s="100">
        <v>540</v>
      </c>
      <c r="BO51" s="99" t="s">
        <v>60</v>
      </c>
    </row>
    <row r="52" spans="53:67" x14ac:dyDescent="0.25">
      <c r="BA52" s="86" t="s">
        <v>74</v>
      </c>
      <c r="BB52" s="85">
        <v>1</v>
      </c>
      <c r="BC52" s="85">
        <v>1200</v>
      </c>
      <c r="BD52" s="85">
        <v>540</v>
      </c>
      <c r="BE52" s="84" t="s">
        <v>60</v>
      </c>
      <c r="BK52" s="98" t="s">
        <v>59</v>
      </c>
      <c r="BL52" s="97" t="s">
        <v>58</v>
      </c>
      <c r="BM52" s="97" t="s">
        <v>57</v>
      </c>
      <c r="BN52" s="97" t="s">
        <v>56</v>
      </c>
      <c r="BO52" s="96" t="s">
        <v>55</v>
      </c>
    </row>
    <row r="53" spans="53:67" x14ac:dyDescent="0.25">
      <c r="BA53" s="83" t="s">
        <v>59</v>
      </c>
      <c r="BB53" s="82" t="s">
        <v>58</v>
      </c>
      <c r="BC53" s="82" t="s">
        <v>57</v>
      </c>
      <c r="BD53" s="82" t="s">
        <v>56</v>
      </c>
      <c r="BE53" s="81" t="s">
        <v>55</v>
      </c>
      <c r="BK53" s="95">
        <v>1200</v>
      </c>
      <c r="BL53" s="94">
        <v>170</v>
      </c>
      <c r="BM53" s="94">
        <v>0</v>
      </c>
      <c r="BN53" s="94">
        <v>0</v>
      </c>
      <c r="BO53" s="93" t="s">
        <v>297</v>
      </c>
    </row>
    <row r="54" spans="53:67" x14ac:dyDescent="0.25">
      <c r="BA54" s="80">
        <v>1200</v>
      </c>
      <c r="BB54" s="79">
        <v>225</v>
      </c>
      <c r="BC54" s="79">
        <v>0</v>
      </c>
      <c r="BD54" s="79">
        <v>0</v>
      </c>
      <c r="BE54" s="78" t="s">
        <v>300</v>
      </c>
      <c r="BK54" s="95">
        <v>1200</v>
      </c>
      <c r="BL54" s="94">
        <v>155</v>
      </c>
      <c r="BM54" s="94">
        <v>0</v>
      </c>
      <c r="BN54" s="94">
        <v>170</v>
      </c>
      <c r="BO54" s="93" t="s">
        <v>299</v>
      </c>
    </row>
    <row r="55" spans="53:67" ht="15.75" thickBot="1" x14ac:dyDescent="0.3">
      <c r="BA55" s="77">
        <v>1200</v>
      </c>
      <c r="BB55" s="76">
        <v>199</v>
      </c>
      <c r="BC55" s="76">
        <v>0</v>
      </c>
      <c r="BD55" s="76">
        <v>225</v>
      </c>
      <c r="BE55" s="75" t="s">
        <v>301</v>
      </c>
      <c r="BK55" s="92">
        <v>1200</v>
      </c>
      <c r="BL55" s="91">
        <v>155</v>
      </c>
      <c r="BM55" s="91">
        <v>0</v>
      </c>
      <c r="BN55" s="91">
        <v>325</v>
      </c>
      <c r="BO55" s="90" t="s">
        <v>299</v>
      </c>
    </row>
    <row r="56" spans="53:67" ht="15.75" thickBot="1" x14ac:dyDescent="0.3">
      <c r="BA56" s="182" t="s">
        <v>54</v>
      </c>
    </row>
    <row r="57" spans="53:67" x14ac:dyDescent="0.25">
      <c r="BA57" s="89" t="s">
        <v>65</v>
      </c>
      <c r="BB57" s="88" t="s">
        <v>64</v>
      </c>
      <c r="BC57" s="88" t="s">
        <v>63</v>
      </c>
      <c r="BD57" s="88" t="s">
        <v>62</v>
      </c>
      <c r="BE57" s="87" t="s">
        <v>61</v>
      </c>
    </row>
    <row r="58" spans="53:67" x14ac:dyDescent="0.25">
      <c r="BA58" s="86" t="s">
        <v>73</v>
      </c>
      <c r="BB58" s="85">
        <v>1</v>
      </c>
      <c r="BC58" s="85">
        <v>1200</v>
      </c>
      <c r="BD58" s="85">
        <v>540</v>
      </c>
      <c r="BE58" s="84" t="s">
        <v>60</v>
      </c>
    </row>
    <row r="59" spans="53:67" x14ac:dyDescent="0.25">
      <c r="BA59" s="83" t="s">
        <v>59</v>
      </c>
      <c r="BB59" s="82" t="s">
        <v>58</v>
      </c>
      <c r="BC59" s="82" t="s">
        <v>57</v>
      </c>
      <c r="BD59" s="82" t="s">
        <v>56</v>
      </c>
      <c r="BE59" s="81" t="s">
        <v>55</v>
      </c>
    </row>
    <row r="60" spans="53:67" x14ac:dyDescent="0.25">
      <c r="BA60" s="80">
        <v>1200</v>
      </c>
      <c r="BB60" s="79">
        <v>199</v>
      </c>
      <c r="BC60" s="79">
        <v>0</v>
      </c>
      <c r="BD60" s="79">
        <v>0</v>
      </c>
      <c r="BE60" s="78" t="s">
        <v>301</v>
      </c>
    </row>
    <row r="61" spans="53:67" ht="15.75" thickBot="1" x14ac:dyDescent="0.3">
      <c r="BA61" s="77">
        <v>1200</v>
      </c>
      <c r="BB61" s="76">
        <v>189</v>
      </c>
      <c r="BC61" s="76">
        <v>0</v>
      </c>
      <c r="BD61" s="76">
        <v>199</v>
      </c>
      <c r="BE61" s="75" t="s">
        <v>298</v>
      </c>
    </row>
    <row r="62" spans="53:67" ht="15.75" thickBot="1" x14ac:dyDescent="0.3">
      <c r="BA62" s="182" t="s">
        <v>54</v>
      </c>
    </row>
    <row r="63" spans="53:67" x14ac:dyDescent="0.25">
      <c r="BA63" s="89" t="s">
        <v>65</v>
      </c>
      <c r="BB63" s="88" t="s">
        <v>64</v>
      </c>
      <c r="BC63" s="88" t="s">
        <v>63</v>
      </c>
      <c r="BD63" s="88" t="s">
        <v>62</v>
      </c>
      <c r="BE63" s="87" t="s">
        <v>61</v>
      </c>
    </row>
    <row r="64" spans="53:67" x14ac:dyDescent="0.25">
      <c r="BA64" s="86" t="s">
        <v>72</v>
      </c>
      <c r="BB64" s="85">
        <v>1</v>
      </c>
      <c r="BC64" s="85">
        <v>1200</v>
      </c>
      <c r="BD64" s="85">
        <v>540</v>
      </c>
      <c r="BE64" s="84" t="s">
        <v>60</v>
      </c>
    </row>
    <row r="65" spans="53:57" x14ac:dyDescent="0.25">
      <c r="BA65" s="83" t="s">
        <v>59</v>
      </c>
      <c r="BB65" s="82" t="s">
        <v>58</v>
      </c>
      <c r="BC65" s="82" t="s">
        <v>57</v>
      </c>
      <c r="BD65" s="82" t="s">
        <v>56</v>
      </c>
      <c r="BE65" s="81" t="s">
        <v>55</v>
      </c>
    </row>
    <row r="66" spans="53:57" x14ac:dyDescent="0.25">
      <c r="BA66" s="80">
        <v>690</v>
      </c>
      <c r="BB66" s="79">
        <v>170</v>
      </c>
      <c r="BC66" s="79">
        <v>0</v>
      </c>
      <c r="BD66" s="79">
        <v>0</v>
      </c>
      <c r="BE66" s="78" t="s">
        <v>297</v>
      </c>
    </row>
    <row r="67" spans="53:57" x14ac:dyDescent="0.25">
      <c r="BA67" s="80">
        <v>522</v>
      </c>
      <c r="BB67" s="79">
        <v>225</v>
      </c>
      <c r="BC67" s="79">
        <v>0</v>
      </c>
      <c r="BD67" s="79">
        <v>170</v>
      </c>
      <c r="BE67" s="78" t="s">
        <v>300</v>
      </c>
    </row>
    <row r="68" spans="53:57" x14ac:dyDescent="0.25">
      <c r="BA68" s="80">
        <v>389</v>
      </c>
      <c r="BB68" s="79">
        <v>155</v>
      </c>
      <c r="BC68" s="79">
        <v>690</v>
      </c>
      <c r="BD68" s="79">
        <v>0</v>
      </c>
      <c r="BE68" s="78" t="s">
        <v>299</v>
      </c>
    </row>
    <row r="69" spans="53:57" ht="15.75" thickBot="1" x14ac:dyDescent="0.3">
      <c r="BA69" s="77">
        <v>185</v>
      </c>
      <c r="BB69" s="76">
        <v>199</v>
      </c>
      <c r="BC69" s="76">
        <v>522</v>
      </c>
      <c r="BD69" s="76">
        <v>170</v>
      </c>
      <c r="BE69" s="75" t="s">
        <v>301</v>
      </c>
    </row>
    <row r="70" spans="53:57" x14ac:dyDescent="0.25">
      <c r="BA70" s="182" t="s">
        <v>54</v>
      </c>
    </row>
    <row r="71" spans="53:57" x14ac:dyDescent="0.25">
      <c r="BA71" s="182" t="s">
        <v>53</v>
      </c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</sheetData>
  <sortState xmlns:xlrd2="http://schemas.microsoft.com/office/spreadsheetml/2017/richdata2" ref="S2:AL11">
    <sortCondition descending="1" ref="AI3"/>
  </sortState>
  <conditionalFormatting sqref="W3:W11">
    <cfRule type="expression" dxfId="14" priority="152">
      <formula>$W3&lt;320</formula>
    </cfRule>
  </conditionalFormatting>
  <conditionalFormatting sqref="S3:AL11">
    <cfRule type="expression" dxfId="13" priority="151">
      <formula>$AI3=OFFSET($AI3,1,)</formula>
    </cfRule>
  </conditionalFormatting>
  <conditionalFormatting sqref="BA1:BA200">
    <cfRule type="expression" dxfId="12" priority="150">
      <formula>AND(ISNUMBER(BA1),BA1&lt;&gt;$BA$4)</formula>
    </cfRule>
  </conditionalFormatting>
  <conditionalFormatting sqref="H1">
    <cfRule type="expression" dxfId="11" priority="149">
      <formula>$H$1&gt;20</formula>
    </cfRule>
  </conditionalFormatting>
  <conditionalFormatting sqref="J1">
    <cfRule type="expression" dxfId="10" priority="148">
      <formula>$J$1&gt;500</formula>
    </cfRule>
  </conditionalFormatting>
  <conditionalFormatting sqref="X2:X11">
    <cfRule type="dataBar" priority="18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{C753CB18-7DEC-4B05-92B0-E930A3317AA5}</x14:id>
        </ext>
      </extLst>
    </cfRule>
  </conditionalFormatting>
  <conditionalFormatting sqref="BK3:BK7">
    <cfRule type="expression" dxfId="9" priority="9">
      <formula>AND(ISNUMBER(BK3),BK3&lt;&gt;$BA$4)</formula>
    </cfRule>
  </conditionalFormatting>
  <conditionalFormatting sqref="BK9:BK13">
    <cfRule type="expression" dxfId="8" priority="8">
      <formula>AND(ISNUMBER(BK9),BK9&lt;&gt;$BA$4)</formula>
    </cfRule>
  </conditionalFormatting>
  <conditionalFormatting sqref="BK15:BK19">
    <cfRule type="expression" dxfId="7" priority="7">
      <formula>AND(ISNUMBER(BK15),BK15&lt;&gt;$BA$4)</formula>
    </cfRule>
  </conditionalFormatting>
  <conditionalFormatting sqref="BK21:BK26">
    <cfRule type="expression" dxfId="6" priority="6">
      <formula>AND(ISNUMBER(BK21),BK21&lt;&gt;$BA$4)</formula>
    </cfRule>
  </conditionalFormatting>
  <conditionalFormatting sqref="BK28:BK33">
    <cfRule type="expression" dxfId="5" priority="5">
      <formula>AND(ISNUMBER(BK28),BK28&lt;&gt;$BA$4)</formula>
    </cfRule>
  </conditionalFormatting>
  <conditionalFormatting sqref="BK35:BK41">
    <cfRule type="expression" dxfId="4" priority="4">
      <formula>AND(ISNUMBER(BK35),BK35&lt;&gt;$BA$4)</formula>
    </cfRule>
  </conditionalFormatting>
  <conditionalFormatting sqref="BK43:BK48">
    <cfRule type="expression" dxfId="3" priority="3">
      <formula>AND(ISNUMBER(BK43),BK43&lt;&gt;$BA$4)</formula>
    </cfRule>
  </conditionalFormatting>
  <conditionalFormatting sqref="BK50:BK55">
    <cfRule type="expression" dxfId="2" priority="2">
      <formula>AND(ISNUMBER(BK50),BK50&lt;&gt;$BA$4)</formula>
    </cfRule>
  </conditionalFormatting>
  <conditionalFormatting sqref="BQ3:BQ8">
    <cfRule type="expression" dxfId="1" priority="1">
      <formula>AND(ISNUMBER(BQ3),BQ3&lt;&gt;$BA$4)</formula>
    </cfRule>
  </conditionalFormatting>
  <hyperlinks>
    <hyperlink ref="P7" r:id="rId2" location="form" xr:uid="{B9E2B5B7-48FB-4346-808F-8A4DAB37D267}"/>
  </hyperlinks>
  <printOptions horizontalCentered="1" verticalCentered="1"/>
  <pageMargins left="0" right="0" top="0.59055118110236227" bottom="0" header="0.19685039370078741" footer="0"/>
  <pageSetup paperSize="9" scale="91" orientation="portrait" horizontalDpi="300" verticalDpi="300" r:id="rId3"/>
  <headerFooter>
    <oddHeader>&amp;L&amp;D &amp;T&amp;C&amp;F&amp;R&amp;P /&amp;N</oddHeader>
  </headerFooter>
  <drawing r:id="rId4"/>
  <tableParts count="4"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753CB18-7DEC-4B05-92B0-E930A3317AA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X2:X11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5A302-B56C-40AC-83A9-D495FCFC25D6}">
  <sheetPr codeName="Blad5"/>
  <dimension ref="A1:AA13"/>
  <sheetViews>
    <sheetView workbookViewId="0">
      <selection activeCell="T4" sqref="T4"/>
    </sheetView>
  </sheetViews>
  <sheetFormatPr defaultRowHeight="15" x14ac:dyDescent="0.25"/>
  <cols>
    <col min="2" max="2" width="10.42578125" customWidth="1"/>
    <col min="3" max="3" width="11.42578125" customWidth="1"/>
    <col min="4" max="4" width="9.7109375" customWidth="1"/>
    <col min="5" max="5" width="14.28515625" customWidth="1"/>
    <col min="6" max="6" width="13.5703125" hidden="1" customWidth="1"/>
    <col min="17" max="17" width="27.140625" hidden="1" customWidth="1"/>
    <col min="18" max="18" width="21.140625" hidden="1" customWidth="1"/>
    <col min="19" max="19" width="11.28515625" style="60" bestFit="1" customWidth="1"/>
    <col min="20" max="20" width="12.28515625" style="60" bestFit="1" customWidth="1"/>
    <col min="21" max="21" width="12.28515625" style="60" customWidth="1"/>
    <col min="22" max="22" width="12.28515625" style="57" customWidth="1"/>
    <col min="23" max="26" width="12.28515625" style="178" customWidth="1"/>
    <col min="27" max="27" width="9.140625" style="179"/>
  </cols>
  <sheetData>
    <row r="1" spans="1:27" ht="18.75" x14ac:dyDescent="0.3">
      <c r="D1">
        <f>+D2/D3</f>
        <v>0.89904956427015248</v>
      </c>
      <c r="E1" s="153">
        <f>+T3</f>
        <v>34</v>
      </c>
      <c r="G1" s="138" t="str">
        <f>T3&amp;" Rouleaux et "&amp;U3&amp;" Coupes (" &amp; TEXT(D1,"0,0%") &amp; ")"</f>
        <v>34 Rouleaux et 6 Coupes (89,9%)</v>
      </c>
      <c r="H1" s="149"/>
      <c r="I1" s="149"/>
      <c r="J1" s="149"/>
      <c r="K1" s="149"/>
      <c r="L1" s="149"/>
      <c r="M1" s="149"/>
      <c r="N1" s="149"/>
      <c r="O1" s="149"/>
      <c r="P1" s="149"/>
      <c r="R1">
        <f>COLUMN()</f>
        <v>18</v>
      </c>
      <c r="S1" s="60">
        <f>COUNTIF(tbl_Solveur7[nombre2],1)</f>
        <v>5</v>
      </c>
      <c r="U1" s="60">
        <f>ROWS(tbl_Solveur7[utilisé])</f>
        <v>9</v>
      </c>
      <c r="V1" s="178">
        <f t="shared" ref="V1:AA1" si="0">+V3*2</f>
        <v>64</v>
      </c>
      <c r="W1" s="178">
        <f t="shared" ref="W1:AA1" si="1">+W3*2</f>
        <v>6</v>
      </c>
      <c r="X1" s="178">
        <f t="shared" si="1"/>
        <v>6</v>
      </c>
      <c r="Y1" s="178">
        <f t="shared" si="1"/>
        <v>20</v>
      </c>
      <c r="Z1" s="178">
        <f t="shared" si="1"/>
        <v>56</v>
      </c>
      <c r="AA1" s="178">
        <f t="shared" si="1"/>
        <v>26</v>
      </c>
    </row>
    <row r="2" spans="1:27" x14ac:dyDescent="0.25">
      <c r="D2" s="154">
        <f>+OptiCutter!M1</f>
        <v>198078.6</v>
      </c>
      <c r="S2" s="60">
        <f>COUNTIF(tbl_Solveur7[nombre2],2)</f>
        <v>0</v>
      </c>
      <c r="T2" s="60">
        <f>U3*10+T3</f>
        <v>94</v>
      </c>
      <c r="V2" s="178">
        <f>SUMPRODUCT(Solveur,tbl_Solveur7[225])</f>
        <v>32</v>
      </c>
      <c r="W2" s="178">
        <f>SUMPRODUCT(Solveur,tbl_Solveur7[199])</f>
        <v>6</v>
      </c>
      <c r="X2" s="178">
        <f>SUMPRODUCT(Solveur,tbl_Solveur7[189])</f>
        <v>6</v>
      </c>
      <c r="Y2" s="178">
        <f>SUMPRODUCT(Solveur,tbl_Solveur7[184])</f>
        <v>10</v>
      </c>
      <c r="Z2" s="178">
        <f>SUMPRODUCT(Solveur,tbl_Solveur7[170])</f>
        <v>28</v>
      </c>
      <c r="AA2" s="178">
        <f>SUMPRODUCT(Solveur,tbl_Solveur7[155])</f>
        <v>13</v>
      </c>
    </row>
    <row r="3" spans="1:27" x14ac:dyDescent="0.25">
      <c r="D3">
        <f>SUMPRODUCT(tbl_Solveur7[Largeur],tbl_Solveur7[Longueur],tbl_Solveur7[Solveur])/100</f>
        <v>220320</v>
      </c>
      <c r="E3">
        <f>SUMPRODUCT(tbl_Solveur7[Largeur utile],tbl_Solveur7[Longueur],tbl_Solveur7[Solveur])/100</f>
        <v>217716</v>
      </c>
      <c r="S3" s="60">
        <f>SUM(tbl_Solveur7[nombre2])</f>
        <v>35</v>
      </c>
      <c r="T3" s="60">
        <f>SUM(tbl_Solveur7[Solveur])</f>
        <v>34</v>
      </c>
      <c r="U3" s="60">
        <f>SUM(tbl_Solveur7[utilisé])</f>
        <v>6</v>
      </c>
      <c r="V3" s="178">
        <v>32</v>
      </c>
      <c r="W3" s="178">
        <v>3</v>
      </c>
      <c r="X3" s="178">
        <v>3</v>
      </c>
      <c r="Y3" s="178">
        <v>10</v>
      </c>
      <c r="Z3" s="178">
        <v>28</v>
      </c>
      <c r="AA3" s="179">
        <v>13</v>
      </c>
    </row>
    <row r="4" spans="1:27" x14ac:dyDescent="0.25">
      <c r="A4" s="65" t="s">
        <v>106</v>
      </c>
      <c r="B4" s="65" t="s">
        <v>105</v>
      </c>
      <c r="C4" s="65" t="s">
        <v>27</v>
      </c>
      <c r="D4" s="65" t="s">
        <v>10</v>
      </c>
      <c r="E4" s="65" t="s">
        <v>104</v>
      </c>
      <c r="F4" s="73" t="s">
        <v>103</v>
      </c>
      <c r="G4" s="65" t="s">
        <v>102</v>
      </c>
      <c r="H4" s="65" t="s">
        <v>101</v>
      </c>
      <c r="I4" s="65" t="s">
        <v>100</v>
      </c>
      <c r="J4" s="65" t="s">
        <v>99</v>
      </c>
      <c r="K4" s="65" t="s">
        <v>98</v>
      </c>
      <c r="L4" s="65" t="s">
        <v>97</v>
      </c>
      <c r="M4" s="65" t="s">
        <v>96</v>
      </c>
      <c r="N4" s="65" t="s">
        <v>95</v>
      </c>
      <c r="O4" s="65" t="s">
        <v>94</v>
      </c>
      <c r="P4" s="65" t="s">
        <v>93</v>
      </c>
      <c r="Q4" s="133" t="s">
        <v>87</v>
      </c>
      <c r="R4" s="133" t="s">
        <v>92</v>
      </c>
      <c r="S4" s="132" t="s">
        <v>114</v>
      </c>
      <c r="T4" s="132" t="s">
        <v>44</v>
      </c>
      <c r="U4" s="132" t="s">
        <v>45</v>
      </c>
      <c r="V4" s="57" t="s">
        <v>143</v>
      </c>
      <c r="W4" s="178" t="s">
        <v>290</v>
      </c>
      <c r="X4" s="178" t="s">
        <v>291</v>
      </c>
      <c r="Y4" s="178" t="s">
        <v>292</v>
      </c>
      <c r="Z4" s="178" t="s">
        <v>293</v>
      </c>
      <c r="AA4" s="66" t="s">
        <v>294</v>
      </c>
    </row>
    <row r="5" spans="1:27" x14ac:dyDescent="0.25">
      <c r="A5" s="170" t="s">
        <v>75</v>
      </c>
      <c r="B5" s="170">
        <v>15</v>
      </c>
      <c r="C5" s="170">
        <v>1200</v>
      </c>
      <c r="D5" s="170">
        <v>540</v>
      </c>
      <c r="E5" s="170">
        <v>450</v>
      </c>
      <c r="F5" s="171">
        <v>0.83333333333333337</v>
      </c>
      <c r="G5" s="172">
        <v>225</v>
      </c>
      <c r="H5" s="172">
        <v>225</v>
      </c>
      <c r="I5" s="172"/>
      <c r="J5" s="172"/>
      <c r="K5" s="172"/>
      <c r="L5" s="170"/>
      <c r="M5" s="170"/>
      <c r="N5" s="170"/>
      <c r="O5" s="170"/>
      <c r="P5" s="170"/>
      <c r="Q5" s="173" t="s">
        <v>182</v>
      </c>
      <c r="R5" s="173" t="s">
        <v>183</v>
      </c>
      <c r="S5" s="175">
        <f>SUMIFS(tbl_Resultat[Nombre],tbl_Resultat[Largeurs],tbl_Solveur7[[#This Row],[Largeurs]])</f>
        <v>15</v>
      </c>
      <c r="T5" s="175">
        <v>13</v>
      </c>
      <c r="U5" s="175">
        <f>--(tbl_Solveur7[[#This Row],[Solveur]]&gt;0)</f>
        <v>1</v>
      </c>
      <c r="V5" s="177">
        <f>COUNTIF(tbl_Solveur7[[#This Row],[L1]:[L10]],--tbl_Solveur7[[#Headers],[225]])</f>
        <v>2</v>
      </c>
      <c r="W5" s="180">
        <f>COUNTIF(tbl_Solveur7[[#This Row],[L1]:[L10]],--tbl_Solveur7[[#Headers],[199]])</f>
        <v>0</v>
      </c>
      <c r="X5" s="180">
        <f>COUNTIF(tbl_Solveur7[[#This Row],[L1]:[L10]],--tbl_Solveur7[[#Headers],[189]])</f>
        <v>0</v>
      </c>
      <c r="Y5" s="180">
        <f>COUNTIF(tbl_Solveur7[[#This Row],[L1]:[L10]],--tbl_Solveur7[[#Headers],[184]])</f>
        <v>0</v>
      </c>
      <c r="Z5" s="180">
        <f>COUNTIF(tbl_Solveur7[[#This Row],[L1]:[L10]],--tbl_Solveur7[[#Headers],[170]])</f>
        <v>0</v>
      </c>
      <c r="AA5" s="180">
        <f>COUNTIF(tbl_Solveur7[[#This Row],[L1]:[L10]],--tbl_Solveur7[[#Headers],[155]])</f>
        <v>0</v>
      </c>
    </row>
    <row r="6" spans="1:27" x14ac:dyDescent="0.25">
      <c r="A6" s="170" t="s">
        <v>74</v>
      </c>
      <c r="B6" s="170">
        <v>1</v>
      </c>
      <c r="C6" s="170">
        <v>1200</v>
      </c>
      <c r="D6" s="170">
        <v>540</v>
      </c>
      <c r="E6" s="170">
        <v>424</v>
      </c>
      <c r="F6" s="171">
        <v>0.78518518518518521</v>
      </c>
      <c r="G6" s="172">
        <v>225</v>
      </c>
      <c r="H6" s="172">
        <v>199</v>
      </c>
      <c r="I6" s="172"/>
      <c r="J6" s="172"/>
      <c r="K6" s="172"/>
      <c r="L6" s="170"/>
      <c r="M6" s="170"/>
      <c r="N6" s="170"/>
      <c r="O6" s="170"/>
      <c r="P6" s="170"/>
      <c r="Q6" s="174" t="s">
        <v>312</v>
      </c>
      <c r="R6" s="174" t="s">
        <v>313</v>
      </c>
      <c r="S6" s="176">
        <f>SUMIFS(tbl_Resultat[Nombre],tbl_Resultat[Largeurs],tbl_Solveur7[[#This Row],[Largeurs]])</f>
        <v>1</v>
      </c>
      <c r="T6" s="176">
        <v>0</v>
      </c>
      <c r="U6" s="176">
        <f>--(tbl_Solveur7[[#This Row],[Solveur]]&gt;0)</f>
        <v>0</v>
      </c>
      <c r="V6" s="177">
        <f>COUNTIF(tbl_Solveur7[[#This Row],[L1]:[L10]],--tbl_Solveur7[[#Headers],[225]])</f>
        <v>1</v>
      </c>
      <c r="W6" s="180">
        <f>COUNTIF(tbl_Solveur7[[#This Row],[L1]:[L10]],--tbl_Solveur7[[#Headers],[199]])</f>
        <v>1</v>
      </c>
      <c r="X6" s="180">
        <f>COUNTIF(tbl_Solveur7[[#This Row],[L1]:[L10]],--tbl_Solveur7[[#Headers],[189]])</f>
        <v>0</v>
      </c>
      <c r="Y6" s="180">
        <f>COUNTIF(tbl_Solveur7[[#This Row],[L1]:[L10]],--tbl_Solveur7[[#Headers],[184]])</f>
        <v>0</v>
      </c>
      <c r="Z6" s="180">
        <f>COUNTIF(tbl_Solveur7[[#This Row],[L1]:[L10]],--tbl_Solveur7[[#Headers],[170]])</f>
        <v>0</v>
      </c>
      <c r="AA6" s="180">
        <f>COUNTIF(tbl_Solveur7[[#This Row],[L1]:[L10]],--tbl_Solveur7[[#Headers],[155]])</f>
        <v>0</v>
      </c>
    </row>
    <row r="7" spans="1:27" x14ac:dyDescent="0.25">
      <c r="A7" s="170" t="s">
        <v>73</v>
      </c>
      <c r="B7" s="170">
        <v>1</v>
      </c>
      <c r="C7" s="170">
        <v>1200</v>
      </c>
      <c r="D7" s="170">
        <v>540</v>
      </c>
      <c r="E7" s="170">
        <v>388</v>
      </c>
      <c r="F7" s="171">
        <v>0.71851851851851856</v>
      </c>
      <c r="G7" s="172">
        <v>199</v>
      </c>
      <c r="H7" s="172">
        <v>189</v>
      </c>
      <c r="I7" s="172"/>
      <c r="J7" s="172"/>
      <c r="K7" s="172"/>
      <c r="L7" s="170"/>
      <c r="M7" s="170"/>
      <c r="N7" s="170"/>
      <c r="O7" s="170"/>
      <c r="P7" s="170"/>
      <c r="Q7" s="174" t="s">
        <v>314</v>
      </c>
      <c r="R7" s="174" t="s">
        <v>315</v>
      </c>
      <c r="S7" s="176">
        <f>SUMIFS(tbl_Resultat[Nombre],tbl_Resultat[Largeurs],tbl_Solveur7[[#This Row],[Largeurs]])</f>
        <v>1</v>
      </c>
      <c r="T7" s="176">
        <v>0</v>
      </c>
      <c r="U7" s="176">
        <f>--(tbl_Solveur7[[#This Row],[Solveur]]&gt;0)</f>
        <v>0</v>
      </c>
      <c r="V7" s="177">
        <f>COUNTIF(tbl_Solveur7[[#This Row],[L1]:[L10]],--tbl_Solveur7[[#Headers],[225]])</f>
        <v>0</v>
      </c>
      <c r="W7" s="180">
        <f>COUNTIF(tbl_Solveur7[[#This Row],[L1]:[L10]],--tbl_Solveur7[[#Headers],[199]])</f>
        <v>1</v>
      </c>
      <c r="X7" s="180">
        <f>COUNTIF(tbl_Solveur7[[#This Row],[L1]:[L10]],--tbl_Solveur7[[#Headers],[189]])</f>
        <v>1</v>
      </c>
      <c r="Y7" s="180">
        <f>COUNTIF(tbl_Solveur7[[#This Row],[L1]:[L10]],--tbl_Solveur7[[#Headers],[184]])</f>
        <v>0</v>
      </c>
      <c r="Z7" s="180">
        <f>COUNTIF(tbl_Solveur7[[#This Row],[L1]:[L10]],--tbl_Solveur7[[#Headers],[170]])</f>
        <v>0</v>
      </c>
      <c r="AA7" s="180">
        <f>COUNTIF(tbl_Solveur7[[#This Row],[L1]:[L10]],--tbl_Solveur7[[#Headers],[155]])</f>
        <v>0</v>
      </c>
    </row>
    <row r="8" spans="1:27" x14ac:dyDescent="0.25">
      <c r="A8" s="170" t="s">
        <v>79</v>
      </c>
      <c r="B8" s="170">
        <v>1</v>
      </c>
      <c r="C8" s="170">
        <v>1200</v>
      </c>
      <c r="D8" s="170">
        <v>540</v>
      </c>
      <c r="E8" s="170">
        <v>533</v>
      </c>
      <c r="F8" s="171">
        <v>0.98703703703703705</v>
      </c>
      <c r="G8" s="172">
        <v>189</v>
      </c>
      <c r="H8" s="172">
        <v>189</v>
      </c>
      <c r="I8" s="172">
        <v>155</v>
      </c>
      <c r="J8" s="172"/>
      <c r="K8" s="172"/>
      <c r="L8" s="170"/>
      <c r="M8" s="170"/>
      <c r="N8" s="170"/>
      <c r="O8" s="170"/>
      <c r="P8" s="170"/>
      <c r="Q8" s="174" t="s">
        <v>304</v>
      </c>
      <c r="R8" s="174" t="s">
        <v>305</v>
      </c>
      <c r="S8" s="176">
        <f>SUMIFS(tbl_Resultat[Nombre],tbl_Resultat[Largeurs],tbl_Solveur7[[#This Row],[Largeurs]])</f>
        <v>1</v>
      </c>
      <c r="T8" s="176">
        <v>3</v>
      </c>
      <c r="U8" s="176">
        <f>--(tbl_Solveur7[[#This Row],[Solveur]]&gt;0)</f>
        <v>1</v>
      </c>
      <c r="V8" s="177">
        <f>COUNTIF(tbl_Solveur7[[#This Row],[L1]:[L10]],--tbl_Solveur7[[#Headers],[225]])</f>
        <v>0</v>
      </c>
      <c r="W8" s="180">
        <f>COUNTIF(tbl_Solveur7[[#This Row],[L1]:[L10]],--tbl_Solveur7[[#Headers],[199]])</f>
        <v>0</v>
      </c>
      <c r="X8" s="180">
        <f>COUNTIF(tbl_Solveur7[[#This Row],[L1]:[L10]],--tbl_Solveur7[[#Headers],[189]])</f>
        <v>2</v>
      </c>
      <c r="Y8" s="180">
        <f>COUNTIF(tbl_Solveur7[[#This Row],[L1]:[L10]],--tbl_Solveur7[[#Headers],[184]])</f>
        <v>0</v>
      </c>
      <c r="Z8" s="180">
        <f>COUNTIF(tbl_Solveur7[[#This Row],[L1]:[L10]],--tbl_Solveur7[[#Headers],[170]])</f>
        <v>0</v>
      </c>
      <c r="AA8" s="180">
        <f>COUNTIF(tbl_Solveur7[[#This Row],[L1]:[L10]],--tbl_Solveur7[[#Headers],[155]])</f>
        <v>1</v>
      </c>
    </row>
    <row r="9" spans="1:27" x14ac:dyDescent="0.25">
      <c r="A9" s="170" t="s">
        <v>81</v>
      </c>
      <c r="B9" s="170">
        <v>5</v>
      </c>
      <c r="C9" s="170">
        <v>1200</v>
      </c>
      <c r="D9" s="170">
        <v>540</v>
      </c>
      <c r="E9" s="170">
        <v>538</v>
      </c>
      <c r="F9" s="171">
        <v>0.99629629629629635</v>
      </c>
      <c r="G9" s="172">
        <v>184</v>
      </c>
      <c r="H9" s="172">
        <v>184</v>
      </c>
      <c r="I9" s="172">
        <v>170</v>
      </c>
      <c r="J9" s="172"/>
      <c r="K9" s="172"/>
      <c r="L9" s="170"/>
      <c r="M9" s="170"/>
      <c r="N9" s="170"/>
      <c r="O9" s="170"/>
      <c r="P9" s="170"/>
      <c r="Q9" s="174" t="s">
        <v>302</v>
      </c>
      <c r="R9" s="174" t="s">
        <v>303</v>
      </c>
      <c r="S9" s="176">
        <f>SUMIFS(tbl_Resultat[Nombre],tbl_Resultat[Largeurs],tbl_Solveur7[[#This Row],[Largeurs]])</f>
        <v>5</v>
      </c>
      <c r="T9" s="176">
        <v>5</v>
      </c>
      <c r="U9" s="176">
        <f>--(tbl_Solveur7[[#This Row],[Solveur]]&gt;0)</f>
        <v>1</v>
      </c>
      <c r="V9" s="177">
        <f>COUNTIF(tbl_Solveur7[[#This Row],[L1]:[L10]],--tbl_Solveur7[[#Headers],[225]])</f>
        <v>0</v>
      </c>
      <c r="W9" s="180">
        <f>COUNTIF(tbl_Solveur7[[#This Row],[L1]:[L10]],--tbl_Solveur7[[#Headers],[199]])</f>
        <v>0</v>
      </c>
      <c r="X9" s="180">
        <f>COUNTIF(tbl_Solveur7[[#This Row],[L1]:[L10]],--tbl_Solveur7[[#Headers],[189]])</f>
        <v>0</v>
      </c>
      <c r="Y9" s="180">
        <f>COUNTIF(tbl_Solveur7[[#This Row],[L1]:[L10]],--tbl_Solveur7[[#Headers],[184]])</f>
        <v>2</v>
      </c>
      <c r="Z9" s="180">
        <f>COUNTIF(tbl_Solveur7[[#This Row],[L1]:[L10]],--tbl_Solveur7[[#Headers],[170]])</f>
        <v>1</v>
      </c>
      <c r="AA9" s="180">
        <f>COUNTIF(tbl_Solveur7[[#This Row],[L1]:[L10]],--tbl_Solveur7[[#Headers],[155]])</f>
        <v>0</v>
      </c>
    </row>
    <row r="10" spans="1:27" x14ac:dyDescent="0.25">
      <c r="A10" s="170" t="s">
        <v>72</v>
      </c>
      <c r="B10" s="170">
        <v>1</v>
      </c>
      <c r="C10" s="170">
        <v>1200</v>
      </c>
      <c r="D10" s="170">
        <v>540</v>
      </c>
      <c r="E10" s="170">
        <v>749</v>
      </c>
      <c r="F10" s="171">
        <v>0.5121296296296296</v>
      </c>
      <c r="G10" s="172">
        <v>170</v>
      </c>
      <c r="H10" s="172">
        <v>225</v>
      </c>
      <c r="I10" s="172">
        <v>155</v>
      </c>
      <c r="J10" s="172">
        <v>199</v>
      </c>
      <c r="K10" s="172"/>
      <c r="L10" s="170"/>
      <c r="M10" s="170"/>
      <c r="N10" s="170"/>
      <c r="O10" s="170"/>
      <c r="P10" s="170"/>
      <c r="Q10" s="174" t="s">
        <v>316</v>
      </c>
      <c r="R10" s="174" t="s">
        <v>317</v>
      </c>
      <c r="S10" s="176">
        <f>SUMIFS(tbl_Resultat[Nombre],tbl_Resultat[Largeurs],tbl_Solveur7[[#This Row],[Largeurs]])</f>
        <v>1</v>
      </c>
      <c r="T10" s="176">
        <v>6</v>
      </c>
      <c r="U10" s="176">
        <f>--(tbl_Solveur7[[#This Row],[Solveur]]&gt;0)</f>
        <v>1</v>
      </c>
      <c r="V10" s="177">
        <f>COUNTIF(tbl_Solveur7[[#This Row],[L1]:[L10]],--tbl_Solveur7[[#Headers],[225]])</f>
        <v>1</v>
      </c>
      <c r="W10" s="180">
        <f>COUNTIF(tbl_Solveur7[[#This Row],[L1]:[L10]],--tbl_Solveur7[[#Headers],[199]])</f>
        <v>1</v>
      </c>
      <c r="X10" s="180">
        <f>COUNTIF(tbl_Solveur7[[#This Row],[L1]:[L10]],--tbl_Solveur7[[#Headers],[189]])</f>
        <v>0</v>
      </c>
      <c r="Y10" s="180">
        <f>COUNTIF(tbl_Solveur7[[#This Row],[L1]:[L10]],--tbl_Solveur7[[#Headers],[184]])</f>
        <v>0</v>
      </c>
      <c r="Z10" s="180">
        <f>COUNTIF(tbl_Solveur7[[#This Row],[L1]:[L10]],--tbl_Solveur7[[#Headers],[170]])</f>
        <v>1</v>
      </c>
      <c r="AA10" s="180">
        <f>COUNTIF(tbl_Solveur7[[#This Row],[L1]:[L10]],--tbl_Solveur7[[#Headers],[155]])</f>
        <v>1</v>
      </c>
    </row>
    <row r="11" spans="1:27" x14ac:dyDescent="0.25">
      <c r="A11" s="170" t="s">
        <v>78</v>
      </c>
      <c r="B11" s="170">
        <v>7</v>
      </c>
      <c r="C11" s="170">
        <v>1200</v>
      </c>
      <c r="D11" s="170">
        <v>540</v>
      </c>
      <c r="E11" s="170">
        <v>510</v>
      </c>
      <c r="F11" s="171">
        <v>0.94444444444444442</v>
      </c>
      <c r="G11" s="172">
        <v>170</v>
      </c>
      <c r="H11" s="172">
        <v>170</v>
      </c>
      <c r="I11" s="172">
        <v>170</v>
      </c>
      <c r="J11" s="172"/>
      <c r="K11" s="172"/>
      <c r="L11" s="170"/>
      <c r="M11" s="170"/>
      <c r="N11" s="170"/>
      <c r="O11" s="170"/>
      <c r="P11" s="170"/>
      <c r="Q11" s="174" t="s">
        <v>306</v>
      </c>
      <c r="R11" s="174" t="s">
        <v>307</v>
      </c>
      <c r="S11" s="176">
        <f>SUMIFS(tbl_Resultat[Nombre],tbl_Resultat[Largeurs],tbl_Solveur7[[#This Row],[Largeurs]])</f>
        <v>7</v>
      </c>
      <c r="T11" s="176">
        <v>5</v>
      </c>
      <c r="U11" s="176">
        <f>--(tbl_Solveur7[[#This Row],[Solveur]]&gt;0)</f>
        <v>1</v>
      </c>
      <c r="V11" s="177">
        <f>COUNTIF(tbl_Solveur7[[#This Row],[L1]:[L10]],--tbl_Solveur7[[#Headers],[225]])</f>
        <v>0</v>
      </c>
      <c r="W11" s="180">
        <f>COUNTIF(tbl_Solveur7[[#This Row],[L1]:[L10]],--tbl_Solveur7[[#Headers],[199]])</f>
        <v>0</v>
      </c>
      <c r="X11" s="180">
        <f>COUNTIF(tbl_Solveur7[[#This Row],[L1]:[L10]],--tbl_Solveur7[[#Headers],[189]])</f>
        <v>0</v>
      </c>
      <c r="Y11" s="180">
        <f>COUNTIF(tbl_Solveur7[[#This Row],[L1]:[L10]],--tbl_Solveur7[[#Headers],[184]])</f>
        <v>0</v>
      </c>
      <c r="Z11" s="180">
        <f>COUNTIF(tbl_Solveur7[[#This Row],[L1]:[L10]],--tbl_Solveur7[[#Headers],[170]])</f>
        <v>3</v>
      </c>
      <c r="AA11" s="180">
        <f>COUNTIF(tbl_Solveur7[[#This Row],[L1]:[L10]],--tbl_Solveur7[[#Headers],[155]])</f>
        <v>0</v>
      </c>
    </row>
    <row r="12" spans="1:27" x14ac:dyDescent="0.25">
      <c r="A12" s="170" t="s">
        <v>77</v>
      </c>
      <c r="B12" s="170">
        <v>1</v>
      </c>
      <c r="C12" s="170">
        <v>1200</v>
      </c>
      <c r="D12" s="170">
        <v>540</v>
      </c>
      <c r="E12" s="170">
        <v>480</v>
      </c>
      <c r="F12" s="171">
        <v>0.88888888888888884</v>
      </c>
      <c r="G12" s="172">
        <v>170</v>
      </c>
      <c r="H12" s="172">
        <v>155</v>
      </c>
      <c r="I12" s="172">
        <v>155</v>
      </c>
      <c r="J12" s="172"/>
      <c r="K12" s="172"/>
      <c r="L12" s="170"/>
      <c r="M12" s="170"/>
      <c r="N12" s="170"/>
      <c r="O12" s="170"/>
      <c r="P12" s="170"/>
      <c r="Q12" s="174" t="s">
        <v>308</v>
      </c>
      <c r="R12" s="174" t="s">
        <v>309</v>
      </c>
      <c r="S12" s="176">
        <f>SUMIFS(tbl_Resultat[Nombre],tbl_Resultat[Largeurs],tbl_Solveur7[[#This Row],[Largeurs]])</f>
        <v>1</v>
      </c>
      <c r="T12" s="176">
        <v>2</v>
      </c>
      <c r="U12" s="176">
        <f>--(tbl_Solveur7[[#This Row],[Solveur]]&gt;0)</f>
        <v>1</v>
      </c>
      <c r="V12" s="177">
        <f>COUNTIF(tbl_Solveur7[[#This Row],[L1]:[L10]],--tbl_Solveur7[[#Headers],[225]])</f>
        <v>0</v>
      </c>
      <c r="W12" s="180">
        <f>COUNTIF(tbl_Solveur7[[#This Row],[L1]:[L10]],--tbl_Solveur7[[#Headers],[199]])</f>
        <v>0</v>
      </c>
      <c r="X12" s="180">
        <f>COUNTIF(tbl_Solveur7[[#This Row],[L1]:[L10]],--tbl_Solveur7[[#Headers],[189]])</f>
        <v>0</v>
      </c>
      <c r="Y12" s="180">
        <f>COUNTIF(tbl_Solveur7[[#This Row],[L1]:[L10]],--tbl_Solveur7[[#Headers],[184]])</f>
        <v>0</v>
      </c>
      <c r="Z12" s="180">
        <f>COUNTIF(tbl_Solveur7[[#This Row],[L1]:[L10]],--tbl_Solveur7[[#Headers],[170]])</f>
        <v>1</v>
      </c>
      <c r="AA12" s="180">
        <f>COUNTIF(tbl_Solveur7[[#This Row],[L1]:[L10]],--tbl_Solveur7[[#Headers],[155]])</f>
        <v>2</v>
      </c>
    </row>
    <row r="13" spans="1:27" x14ac:dyDescent="0.25">
      <c r="A13" s="170" t="s">
        <v>76</v>
      </c>
      <c r="B13" s="170">
        <v>3</v>
      </c>
      <c r="C13" s="170">
        <v>1200</v>
      </c>
      <c r="D13" s="170">
        <v>540</v>
      </c>
      <c r="E13" s="170">
        <v>465</v>
      </c>
      <c r="F13" s="171">
        <v>0.86111111111111116</v>
      </c>
      <c r="G13" s="172">
        <v>155</v>
      </c>
      <c r="H13" s="172">
        <v>155</v>
      </c>
      <c r="I13" s="172">
        <v>155</v>
      </c>
      <c r="J13" s="172"/>
      <c r="K13" s="172"/>
      <c r="L13" s="170"/>
      <c r="M13" s="170"/>
      <c r="N13" s="170"/>
      <c r="O13" s="170"/>
      <c r="P13" s="170"/>
      <c r="Q13" s="174" t="s">
        <v>310</v>
      </c>
      <c r="R13" s="174" t="s">
        <v>311</v>
      </c>
      <c r="S13" s="176">
        <f>SUMIFS(tbl_Resultat[Nombre],tbl_Resultat[Largeurs],tbl_Solveur7[[#This Row],[Largeurs]])</f>
        <v>3</v>
      </c>
      <c r="T13" s="176">
        <v>0</v>
      </c>
      <c r="U13" s="176">
        <f>--(tbl_Solveur7[[#This Row],[Solveur]]&gt;0)</f>
        <v>0</v>
      </c>
      <c r="V13" s="177">
        <f>COUNTIF(tbl_Solveur7[[#This Row],[L1]:[L10]],--tbl_Solveur7[[#Headers],[225]])</f>
        <v>0</v>
      </c>
      <c r="W13" s="180">
        <f>COUNTIF(tbl_Solveur7[[#This Row],[L1]:[L10]],--tbl_Solveur7[[#Headers],[199]])</f>
        <v>0</v>
      </c>
      <c r="X13" s="180">
        <f>COUNTIF(tbl_Solveur7[[#This Row],[L1]:[L10]],--tbl_Solveur7[[#Headers],[189]])</f>
        <v>0</v>
      </c>
      <c r="Y13" s="180">
        <f>COUNTIF(tbl_Solveur7[[#This Row],[L1]:[L10]],--tbl_Solveur7[[#Headers],[184]])</f>
        <v>0</v>
      </c>
      <c r="Z13" s="180">
        <f>COUNTIF(tbl_Solveur7[[#This Row],[L1]:[L10]],--tbl_Solveur7[[#Headers],[170]])</f>
        <v>0</v>
      </c>
      <c r="AA13" s="180">
        <f>COUNTIF(tbl_Solveur7[[#This Row],[L1]:[L10]],--tbl_Solveur7[[#Headers],[155]])</f>
        <v>3</v>
      </c>
    </row>
  </sheetData>
  <phoneticPr fontId="2" type="noConversion"/>
  <conditionalFormatting sqref="V2:AA2">
    <cfRule type="expression" dxfId="0" priority="1">
      <formula>OR(V2&gt;V1,V2&lt;V3)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12</vt:i4>
      </vt:variant>
    </vt:vector>
  </HeadingPairs>
  <TitlesOfParts>
    <vt:vector size="19" baseType="lpstr">
      <vt:lpstr>Exemples</vt:lpstr>
      <vt:lpstr>Blad5</vt:lpstr>
      <vt:lpstr>Solveur</vt:lpstr>
      <vt:lpstr>Séquences</vt:lpstr>
      <vt:lpstr>Résultats Regroupés</vt:lpstr>
      <vt:lpstr>OptiCutter</vt:lpstr>
      <vt:lpstr>Solveur_Opti</vt:lpstr>
      <vt:lpstr>OptiCutter!Afdrukbereik</vt:lpstr>
      <vt:lpstr>CHECK</vt:lpstr>
      <vt:lpstr>LARG_ROL</vt:lpstr>
      <vt:lpstr>LONG_ROL</vt:lpstr>
      <vt:lpstr>ROL</vt:lpstr>
      <vt:lpstr>Solver_Cell</vt:lpstr>
      <vt:lpstr>Exemples!Solveur</vt:lpstr>
      <vt:lpstr>OptiCutter!Solveur</vt:lpstr>
      <vt:lpstr>Solveur_Opti!Solveur</vt:lpstr>
      <vt:lpstr>Solveur</vt:lpstr>
      <vt:lpstr>Solveur_Serie</vt:lpstr>
      <vt:lpstr>Exemples!tbl_Couleurs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cp:lastPrinted>2025-01-03T09:13:22Z</cp:lastPrinted>
  <dcterms:created xsi:type="dcterms:W3CDTF">2022-10-13T13:34:20Z</dcterms:created>
  <dcterms:modified xsi:type="dcterms:W3CDTF">2025-02-08T16:08:13Z</dcterms:modified>
</cp:coreProperties>
</file>