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 codeName="{899C9086-67A9-5B14-2C2D-5A8001700F7D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E813201-546E-4616-927F-8F768CA8DD2B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base" sheetId="1" r:id="rId1"/>
    <sheet name="marge" sheetId="2" r:id="rId2"/>
    <sheet name="calcul avec UG" sheetId="3" r:id="rId3"/>
  </sheets>
  <definedNames>
    <definedName name="base">base!$1:$1048576</definedName>
    <definedName name="marge">marge!$1:$1048576</definedName>
    <definedName name="RDB">base!$C$3</definedName>
    <definedName name="solver_adj" localSheetId="1" hidden="1">marge!$L$4:$L$10</definedName>
    <definedName name="solver_cvg" localSheetId="1" hidden="1">0.0001</definedName>
    <definedName name="solver_drv" localSheetId="1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lhs1" localSheetId="1" hidden="1">marge!$K$1</definedName>
    <definedName name="solver_lhs2" localSheetId="1" hidden="1">marge!$L$4:$L$10</definedName>
    <definedName name="solver_lhs3" localSheetId="1" hidden="1">marge!$L$4:$L$10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3</definedName>
    <definedName name="solver_nwt" localSheetId="1" hidden="1">1</definedName>
    <definedName name="solver_opt" localSheetId="1" hidden="1">marge!$K$1</definedName>
    <definedName name="solver_pre" localSheetId="1" hidden="1">0.000001</definedName>
    <definedName name="solver_rbv" localSheetId="1" hidden="1">1</definedName>
    <definedName name="solver_rel1" localSheetId="1" hidden="1">2</definedName>
    <definedName name="solver_rel2" localSheetId="1" hidden="1">1</definedName>
    <definedName name="solver_rel3" localSheetId="1" hidden="1">3</definedName>
    <definedName name="solver_rhs1" localSheetId="1" hidden="1">marge!$K$2</definedName>
    <definedName name="solver_rhs2" localSheetId="1" hidden="1">marge!$Q$4:$Q$10</definedName>
    <definedName name="solver_rhs3" localSheetId="1" hidden="1">marge!$P$4:$P$10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1</definedName>
    <definedName name="solver_val" localSheetId="1" hidden="1">0</definedName>
    <definedName name="solver_ver" localSheetId="1" hidden="1">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9" i="2" l="1"/>
  <c r="P9" i="2"/>
  <c r="P5" i="2"/>
  <c r="Q5" i="2"/>
  <c r="P6" i="2"/>
  <c r="Q6" i="2"/>
  <c r="P7" i="2"/>
  <c r="Q7" i="2"/>
  <c r="Q4" i="2"/>
  <c r="P4" i="2"/>
  <c r="XFD1048550" i="2"/>
  <c r="XFD1048551" i="2"/>
  <c r="XFD1048552" i="2"/>
  <c r="XFD1048553" i="2"/>
  <c r="XFD1048554" i="2"/>
  <c r="XFD1048555" i="2" a="1"/>
  <c r="XFD1048555" i="2" s="1"/>
  <c r="XFD1048556" i="2"/>
  <c r="XFD1048557" i="2"/>
  <c r="XFD1048558" i="2"/>
  <c r="XFD1048559" i="2"/>
  <c r="XFD1048560" i="2"/>
  <c r="XFD1048561" i="2"/>
  <c r="XFD1048562" i="2" a="1"/>
  <c r="XFD1048562" i="2"/>
  <c r="XFD1048563" i="2" a="1"/>
  <c r="XFD1048563" i="2"/>
  <c r="XFD1048564" i="2" a="1"/>
  <c r="XFD1048564" i="2"/>
  <c r="XFD1048565" i="2" a="1"/>
  <c r="XFD1048565" i="2"/>
  <c r="XFD1048566" i="2" a="1"/>
  <c r="XFD1048566" i="2"/>
  <c r="XFD1048567" i="2" a="1"/>
  <c r="XFD1048567" i="2"/>
  <c r="XFD1048568" i="2" a="1"/>
  <c r="XFD1048568" i="2" s="1"/>
  <c r="XFD1048569" i="2" a="1"/>
  <c r="XFD1048569" i="2" s="1"/>
  <c r="XFD1048570" i="2" a="1"/>
  <c r="XFD1048570" i="2"/>
  <c r="XFD1048571" i="2" a="1"/>
  <c r="XFD1048571" i="2" s="1"/>
  <c r="XFD1048572" i="2" a="1"/>
  <c r="XFD1048572" i="2"/>
  <c r="XFD1048573" i="2" a="1"/>
  <c r="XFD1048573" i="2"/>
  <c r="XFD1048574" i="2" a="1"/>
  <c r="XFD1048574" i="2"/>
  <c r="XFD1048575" i="2" a="1"/>
  <c r="XFD1048575" i="2" s="1"/>
  <c r="J5" i="2"/>
  <c r="J6" i="2"/>
  <c r="J7" i="2"/>
  <c r="J8" i="2"/>
  <c r="J9" i="2"/>
  <c r="J10" i="2"/>
  <c r="J4" i="2"/>
  <c r="B2" i="2"/>
  <c r="B5" i="2"/>
  <c r="B6" i="2"/>
  <c r="B7" i="2"/>
  <c r="B8" i="2"/>
  <c r="B9" i="2"/>
  <c r="B10" i="2"/>
  <c r="G5" i="2"/>
  <c r="G6" i="2"/>
  <c r="G7" i="2"/>
  <c r="G8" i="2"/>
  <c r="G9" i="2"/>
  <c r="G10" i="2"/>
  <c r="H5" i="2"/>
  <c r="H6" i="2"/>
  <c r="H7" i="2"/>
  <c r="H8" i="2"/>
  <c r="H9" i="2"/>
  <c r="H10" i="2"/>
  <c r="I5" i="2"/>
  <c r="K5" i="2" s="1"/>
  <c r="M5" i="2" s="1"/>
  <c r="I6" i="2"/>
  <c r="K6" i="2" s="1"/>
  <c r="M6" i="2" s="1"/>
  <c r="I7" i="2"/>
  <c r="K7" i="2" s="1"/>
  <c r="M7" i="2" s="1"/>
  <c r="I8" i="2"/>
  <c r="K8" i="2" s="1"/>
  <c r="M8" i="2" s="1"/>
  <c r="I9" i="2"/>
  <c r="K9" i="2" s="1"/>
  <c r="M9" i="2" s="1"/>
  <c r="I10" i="2"/>
  <c r="K10" i="2" s="1"/>
  <c r="M10" i="2" s="1"/>
  <c r="F6" i="1"/>
  <c r="F7" i="1"/>
  <c r="F8" i="1"/>
  <c r="F9" i="1"/>
  <c r="F10" i="1"/>
  <c r="F11" i="1"/>
  <c r="A7" i="3" l="1"/>
  <c r="F5" i="1" l="1"/>
  <c r="G4" i="2" l="1"/>
  <c r="B4" i="2" l="1"/>
  <c r="H4" i="2"/>
  <c r="I4" i="2"/>
  <c r="F7" i="3" s="1"/>
  <c r="K4" i="2" l="1"/>
  <c r="D7" i="3" l="1"/>
  <c r="I7" i="3" s="1"/>
  <c r="K7" i="3" s="1"/>
  <c r="C7" i="3"/>
  <c r="M4" i="2"/>
  <c r="K1" i="2" s="1"/>
  <c r="E7" i="3"/>
  <c r="H7" i="3"/>
  <c r="B7" i="3"/>
  <c r="G7" i="3" l="1"/>
  <c r="J7" i="3"/>
  <c r="L7" i="3" l="1"/>
  <c r="D3" i="3" s="1"/>
  <c r="C2" i="3"/>
  <c r="C4" i="3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<sst xmlns="http://schemas.openxmlformats.org/spreadsheetml/2006/main" count="51" uniqueCount="45">
  <si>
    <t>Code A.C.L</t>
  </si>
  <si>
    <t>Produits</t>
  </si>
  <si>
    <t>Prix HT. Euros</t>
  </si>
  <si>
    <t>TVA</t>
  </si>
  <si>
    <t>CIP</t>
  </si>
  <si>
    <t>Désignation</t>
  </si>
  <si>
    <t>contenance</t>
  </si>
  <si>
    <t>PA HT</t>
  </si>
  <si>
    <t>Remise</t>
  </si>
  <si>
    <t>TM</t>
  </si>
  <si>
    <t>PV HT</t>
  </si>
  <si>
    <t>PV TTC</t>
  </si>
  <si>
    <t>TM global</t>
  </si>
  <si>
    <t>TM objectif</t>
  </si>
  <si>
    <t>qté
cdée</t>
  </si>
  <si>
    <t>Stock</t>
  </si>
  <si>
    <t>Qté
totale</t>
  </si>
  <si>
    <t>&lt;=   Ne pas toucher</t>
  </si>
  <si>
    <t>UG</t>
  </si>
  <si>
    <t>TARIF 2018</t>
  </si>
  <si>
    <t>PV 
TTC</t>
  </si>
  <si>
    <t>Qté
cdée</t>
  </si>
  <si>
    <t>Ce que je paye</t>
  </si>
  <si>
    <t>Ce que j'ai réellement (ie produits + UG)</t>
  </si>
  <si>
    <t>Ce qui représente par rapport à la commande</t>
  </si>
  <si>
    <t>Colonne1</t>
  </si>
  <si>
    <t>PA HT
remisé</t>
  </si>
  <si>
    <t>PA remise
HT</t>
  </si>
  <si>
    <t>Total facturé
remisé HT</t>
  </si>
  <si>
    <t>remise de base</t>
  </si>
  <si>
    <t xml:space="preserve">  </t>
  </si>
  <si>
    <t>Total HT
facturé</t>
  </si>
  <si>
    <t>Total HT
des UG</t>
  </si>
  <si>
    <t>Total HT
avec UG</t>
  </si>
  <si>
    <t>ATTENTION Ne pas oublier de modifier
la remsie de base</t>
  </si>
  <si>
    <t>remse</t>
  </si>
  <si>
    <t>Produit 1</t>
  </si>
  <si>
    <t>Produit 2</t>
  </si>
  <si>
    <t>Produit 4</t>
  </si>
  <si>
    <t>Produit 5</t>
  </si>
  <si>
    <t>Produit 6</t>
  </si>
  <si>
    <t>Produit 3</t>
  </si>
  <si>
    <t>Prduit 4</t>
  </si>
  <si>
    <t>lim inf</t>
  </si>
  <si>
    <t>lim 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</si>
</sst>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13" x14ac:knownFonts="1">
    <font>
      <sz val="10"/>
      <name val="Arial"/>
    </font>
    <font>
      <sz val="10"/>
      <name val="Microsoft Sans Serif"/>
      <family val="2"/>
    </font>
    <font>
      <sz val="10"/>
      <name val="Arial"/>
      <family val="2"/>
    </font>
    <font>
      <sz val="9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sz val="2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9" fontId="9" fillId="0" borderId="0" applyFont="0" applyFill="0" applyBorder="0" applyAlignment="0" applyProtection="0"/>
  </cellStyleXfs>
  <cellXfs count="68">
    <xf numFmtId="0" fontId="0" fillId="0" borderId="0" xfId="0" applyNumberFormat="1" applyFont="1" applyFill="1" applyBorder="1" applyAlignment="1" applyProtection="1">
      <alignment vertical="top"/>
    </xf>
    <xf numFmtId="0" fontId="1" fillId="0" borderId="1" xfId="0" applyNumberFormat="1" applyFont="1" applyFill="1" applyBorder="1" applyAlignment="1" applyProtection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 vertical="top"/>
    </xf>
    <xf numFmtId="10" fontId="1" fillId="0" borderId="1" xfId="0" applyNumberFormat="1" applyFont="1" applyFill="1" applyBorder="1" applyAlignment="1" applyProtection="1">
      <alignment horizontal="center" vertical="center"/>
    </xf>
    <xf numFmtId="10" fontId="2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3" fillId="2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10" fontId="3" fillId="0" borderId="0" xfId="0" applyNumberFormat="1" applyFont="1" applyFill="1" applyBorder="1" applyAlignment="1" applyProtection="1">
      <alignment horizontal="center" vertical="center"/>
    </xf>
    <xf numFmtId="4" fontId="3" fillId="0" borderId="0" xfId="0" applyNumberFormat="1" applyFont="1" applyFill="1" applyBorder="1" applyAlignment="1" applyProtection="1">
      <alignment horizontal="center" vertical="center"/>
    </xf>
    <xf numFmtId="4" fontId="3" fillId="0" borderId="0" xfId="0" applyNumberFormat="1" applyFont="1" applyFill="1" applyBorder="1" applyAlignment="1" applyProtection="1">
      <alignment horizontal="center" vertical="center" wrapText="1"/>
    </xf>
    <xf numFmtId="1" fontId="1" fillId="0" borderId="1" xfId="0" applyNumberFormat="1" applyFont="1" applyFill="1" applyBorder="1" applyAlignment="1" applyProtection="1">
      <alignment horizontal="center" vertical="center"/>
    </xf>
    <xf numFmtId="1" fontId="3" fillId="0" borderId="0" xfId="0" applyNumberFormat="1" applyFont="1" applyFill="1" applyBorder="1" applyAlignment="1" applyProtection="1">
      <alignment vertical="top"/>
    </xf>
    <xf numFmtId="1" fontId="3" fillId="0" borderId="0" xfId="0" applyNumberFormat="1" applyFont="1" applyFill="1" applyBorder="1" applyAlignment="1" applyProtection="1">
      <alignment horizontal="center" vertical="center"/>
    </xf>
    <xf numFmtId="4" fontId="4" fillId="0" borderId="0" xfId="0" applyNumberFormat="1" applyFont="1" applyFill="1" applyBorder="1" applyAlignment="1" applyProtection="1">
      <alignment horizontal="center" vertical="top"/>
    </xf>
    <xf numFmtId="4" fontId="5" fillId="0" borderId="0" xfId="0" applyNumberFormat="1" applyFont="1" applyFill="1" applyBorder="1" applyAlignment="1" applyProtection="1">
      <alignment horizontal="center" vertical="top"/>
    </xf>
    <xf numFmtId="10" fontId="3" fillId="2" borderId="0" xfId="0" applyNumberFormat="1" applyFont="1" applyFill="1" applyBorder="1" applyAlignment="1" applyProtection="1">
      <alignment horizontal="center" vertical="top"/>
    </xf>
    <xf numFmtId="10" fontId="3" fillId="0" borderId="0" xfId="0" applyNumberFormat="1" applyFont="1" applyFill="1" applyBorder="1" applyAlignment="1" applyProtection="1">
      <alignment horizontal="center" vertical="top"/>
    </xf>
    <xf numFmtId="10" fontId="4" fillId="0" borderId="0" xfId="0" applyNumberFormat="1" applyFont="1" applyFill="1" applyBorder="1" applyAlignment="1" applyProtection="1">
      <alignment horizontal="center" vertical="top"/>
    </xf>
    <xf numFmtId="10" fontId="5" fillId="2" borderId="0" xfId="0" applyNumberFormat="1" applyFont="1" applyFill="1" applyBorder="1" applyAlignment="1" applyProtection="1">
      <alignment horizontal="center" vertical="top"/>
    </xf>
    <xf numFmtId="4" fontId="3" fillId="0" borderId="0" xfId="0" applyNumberFormat="1" applyFont="1" applyFill="1" applyBorder="1" applyAlignment="1" applyProtection="1">
      <alignment horizontal="center" vertical="top"/>
    </xf>
    <xf numFmtId="4" fontId="6" fillId="0" borderId="0" xfId="0" applyNumberFormat="1" applyFont="1" applyFill="1" applyBorder="1" applyAlignment="1" applyProtection="1">
      <alignment horizontal="center" vertical="top"/>
    </xf>
    <xf numFmtId="4" fontId="6" fillId="0" borderId="0" xfId="0" applyNumberFormat="1" applyFont="1" applyFill="1" applyBorder="1" applyAlignment="1" applyProtection="1">
      <alignment horizontal="center" vertical="center"/>
    </xf>
    <xf numFmtId="4" fontId="7" fillId="0" borderId="0" xfId="0" applyNumberFormat="1" applyFont="1" applyFill="1" applyBorder="1" applyAlignment="1" applyProtection="1">
      <alignment vertical="top"/>
    </xf>
    <xf numFmtId="4" fontId="7" fillId="0" borderId="0" xfId="0" applyNumberFormat="1" applyFont="1" applyFill="1" applyBorder="1" applyAlignment="1" applyProtection="1">
      <alignment horizontal="left" vertical="top"/>
    </xf>
    <xf numFmtId="9" fontId="3" fillId="0" borderId="0" xfId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 vertical="center"/>
    </xf>
    <xf numFmtId="1" fontId="2" fillId="0" borderId="0" xfId="0" applyNumberFormat="1" applyFont="1" applyFill="1" applyBorder="1" applyAlignment="1" applyProtection="1">
      <alignment vertical="top"/>
    </xf>
    <xf numFmtId="1" fontId="0" fillId="0" borderId="0" xfId="0" applyNumberFormat="1" applyFont="1" applyFill="1" applyBorder="1" applyAlignment="1" applyProtection="1">
      <alignment vertical="top"/>
    </xf>
    <xf numFmtId="10" fontId="2" fillId="0" borderId="0" xfId="0" applyNumberFormat="1" applyFont="1" applyFill="1" applyBorder="1" applyAlignment="1" applyProtection="1">
      <alignment horizontal="center" vertical="center"/>
    </xf>
    <xf numFmtId="10" fontId="0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0" fontId="0" fillId="0" borderId="0" xfId="0" applyNumberFormat="1" applyFont="1" applyFill="1" applyBorder="1" applyAlignment="1" applyProtection="1">
      <alignment horizontal="center" vertical="top"/>
    </xf>
    <xf numFmtId="4" fontId="2" fillId="0" borderId="0" xfId="0" applyNumberFormat="1" applyFont="1" applyFill="1" applyBorder="1" applyAlignment="1" applyProtection="1">
      <alignment horizontal="center" vertical="center" wrapText="1"/>
    </xf>
    <xf numFmtId="4" fontId="2" fillId="0" borderId="0" xfId="0" applyNumberFormat="1" applyFont="1" applyFill="1" applyBorder="1" applyAlignment="1" applyProtection="1">
      <alignment horizontal="center" vertical="top" wrapText="1"/>
    </xf>
    <xf numFmtId="4" fontId="0" fillId="0" borderId="0" xfId="0" applyNumberFormat="1" applyFont="1" applyFill="1" applyBorder="1" applyAlignment="1" applyProtection="1">
      <alignment horizontal="center" vertical="top"/>
    </xf>
    <xf numFmtId="10" fontId="2" fillId="0" borderId="0" xfId="0" applyNumberFormat="1" applyFont="1" applyFill="1" applyBorder="1" applyAlignment="1" applyProtection="1">
      <alignment horizontal="center" vertical="top"/>
    </xf>
    <xf numFmtId="10" fontId="0" fillId="0" borderId="0" xfId="0" applyNumberFormat="1" applyFont="1" applyFill="1" applyBorder="1" applyAlignment="1" applyProtection="1">
      <alignment horizontal="center" vertical="top"/>
    </xf>
    <xf numFmtId="1" fontId="0" fillId="0" borderId="0" xfId="0" applyNumberFormat="1" applyFont="1" applyFill="1" applyBorder="1" applyAlignment="1" applyProtection="1">
      <alignment horizontal="center" vertical="top"/>
    </xf>
    <xf numFmtId="4" fontId="2" fillId="0" borderId="0" xfId="0" applyNumberFormat="1" applyFont="1" applyFill="1" applyBorder="1" applyAlignment="1" applyProtection="1">
      <alignment horizontal="center" vertical="center"/>
    </xf>
    <xf numFmtId="4" fontId="2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right" vertical="top"/>
    </xf>
    <xf numFmtId="1" fontId="8" fillId="0" borderId="4" xfId="0" applyNumberFormat="1" applyFont="1" applyFill="1" applyBorder="1" applyAlignment="1" applyProtection="1">
      <alignment horizontal="center" vertical="top"/>
    </xf>
    <xf numFmtId="4" fontId="1" fillId="0" borderId="2" xfId="0" applyNumberFormat="1" applyFont="1" applyFill="1" applyBorder="1" applyAlignment="1" applyProtection="1">
      <alignment horizontal="center" vertical="center" wrapText="1"/>
    </xf>
    <xf numFmtId="9" fontId="12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 wrapText="1"/>
    </xf>
    <xf numFmtId="0" fontId="2" fillId="0" borderId="4" xfId="0" applyNumberFormat="1" applyFont="1" applyFill="1" applyBorder="1" applyAlignment="1" applyProtection="1">
      <alignment vertical="center" wrapText="1"/>
    </xf>
    <xf numFmtId="1" fontId="11" fillId="0" borderId="1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horizontal="left"/>
    </xf>
    <xf numFmtId="1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vertical="top"/>
    </xf>
    <xf numFmtId="1" fontId="2" fillId="0" borderId="1" xfId="0" applyNumberFormat="1" applyFont="1" applyFill="1" applyBorder="1" applyAlignment="1" applyProtection="1">
      <alignment horizontal="center" vertical="top"/>
    </xf>
    <xf numFmtId="4" fontId="1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164" fontId="2" fillId="0" borderId="0" xfId="0" applyNumberFormat="1" applyFont="1" applyFill="1" applyBorder="1" applyAlignment="1" applyProtection="1">
      <alignment horizontal="center" vertical="top"/>
    </xf>
    <xf numFmtId="10" fontId="2" fillId="0" borderId="1" xfId="0" applyNumberFormat="1" applyFont="1" applyFill="1" applyBorder="1" applyAlignment="1" applyProtection="1">
      <alignment vertical="top"/>
    </xf>
    <xf numFmtId="4" fontId="2" fillId="0" borderId="1" xfId="0" applyNumberFormat="1" applyFont="1" applyFill="1" applyBorder="1" applyAlignment="1" applyProtection="1">
      <alignment horizontal="center" vertical="top"/>
    </xf>
    <xf numFmtId="9" fontId="2" fillId="0" borderId="1" xfId="0" applyNumberFormat="1" applyFont="1" applyFill="1" applyBorder="1" applyAlignment="1" applyProtection="1">
      <alignment horizontal="center" vertical="top"/>
    </xf>
    <xf numFmtId="1" fontId="8" fillId="0" borderId="4" xfId="0" applyNumberFormat="1" applyFont="1" applyFill="1" applyBorder="1" applyAlignment="1" applyProtection="1">
      <alignment horizontal="center" vertical="top"/>
    </xf>
    <xf numFmtId="0" fontId="10" fillId="0" borderId="3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vertical="top"/>
    </xf>
  </cellXfs>
  <cellStyles count="2">
    <cellStyle name="Procent" xfId="1" builtinId="5"/>
    <cellStyle name="Standaard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b/>
        <strike val="0"/>
        <outline val="0"/>
        <shadow val="0"/>
        <u val="none"/>
        <vertAlign val="baseline"/>
        <sz val="9"/>
        <color auto="1"/>
      </font>
      <numFmt numFmtId="4" formatCode="#,##0.00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</font>
      <numFmt numFmtId="4" formatCode="#,##0.00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</font>
      <numFmt numFmtId="14" formatCode="0.00%"/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9"/>
        <color auto="1"/>
      </font>
      <numFmt numFmtId="4" formatCode="#,##0.00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</font>
      <numFmt numFmtId="14" formatCode="0.00%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</font>
      <numFmt numFmtId="4" formatCode="#,##0.00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</font>
      <numFmt numFmtId="14" formatCode="0.00%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solid">
          <fgColor indexed="64"/>
          <bgColor rgb="FFFFFF00"/>
        </patternFill>
      </fill>
      <alignment horizontal="center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Microsoft Sans Serif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</font>
    </dxf>
    <dxf>
      <font>
        <strike val="0"/>
        <outline val="0"/>
        <shadow val="0"/>
        <u val="none"/>
        <vertAlign val="baseline"/>
        <sz val="9"/>
        <color auto="1"/>
      </font>
      <alignment horizontal="center" vertical="center" textRotation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3390900</xdr:colOff>
      <xdr:row>1</xdr:row>
      <xdr:rowOff>228600</xdr:rowOff>
    </xdr:from>
    <xdr:to>
      <xdr:col>2</xdr:col>
      <xdr:colOff>333375</xdr:colOff>
      <xdr:row>2</xdr:row>
      <xdr:rowOff>95250</xdr:rowOff>
    </xdr:to>
    <xdr:sp macro="" textlink="">
      <xdr:nvSpPr>
        <xdr:cNvPr id="3" name="Flèche vers le ba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438650" y="571500"/>
          <a:ext cx="371475" cy="3429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N10" totalsRowShown="0" headerRowDxfId="29" dataDxfId="28">
  <autoFilter ref="A3:N10" xr:uid="{00000000-0009-0000-0100-000001000000}"/>
  <tableColumns count="14">
    <tableColumn id="1" xr3:uid="{00000000-0010-0000-0000-000001000000}" name="  " dataDxfId="27"/>
    <tableColumn id="2" xr3:uid="{00000000-0010-0000-0000-000002000000}" name="Désignation" dataDxfId="26">
      <calculatedColumnFormula>VLOOKUP($A4,base,2,0)</calculatedColumnFormula>
    </tableColumn>
    <tableColumn id="3" xr3:uid="{00000000-0010-0000-0000-000003000000}" name="contenance" dataDxfId="25"/>
    <tableColumn id="4" xr3:uid="{00000000-0010-0000-0000-000004000000}" name="qté_x000a_cdée" dataDxfId="24"/>
    <tableColumn id="14" xr3:uid="{00000000-0010-0000-0000-00000E000000}" name="UG" dataDxfId="23"/>
    <tableColumn id="12" xr3:uid="{00000000-0010-0000-0000-00000C000000}" name="Stock" dataDxfId="22"/>
    <tableColumn id="13" xr3:uid="{00000000-0010-0000-0000-00000D000000}" name="Qté_x000a_totale" dataDxfId="21">
      <calculatedColumnFormula>SUM(Tableau1[[#This Row],[Stock]]+Tableau1[[#This Row],[UG]]+Tableau1[[#This Row],[qté
cdée]])</calculatedColumnFormula>
    </tableColumn>
    <tableColumn id="5" xr3:uid="{00000000-0010-0000-0000-000005000000}" name="TVA" dataDxfId="20">
      <calculatedColumnFormula>VLOOKUP($A4,base,4,0)</calculatedColumnFormula>
    </tableColumn>
    <tableColumn id="6" xr3:uid="{00000000-0010-0000-0000-000006000000}" name="PA HT" dataDxfId="19">
      <calculatedColumnFormula>VLOOKUP($A4,base,5,0)</calculatedColumnFormula>
    </tableColumn>
    <tableColumn id="7" xr3:uid="{00000000-0010-0000-0000-000007000000}" name="Remise" dataDxfId="18">
      <calculatedColumnFormula>base!C5</calculatedColumnFormula>
    </tableColumn>
    <tableColumn id="8" xr3:uid="{00000000-0010-0000-0000-000008000000}" name="PA HT_x000a_remisé" dataDxfId="17">
      <calculatedColumnFormula>IF(Tableau1[[#This Row],[UG]]=0,Tableau1[[#This Row],[PA HT]]*(1-Tableau1[[#This Row],[Remise]]),((Tableau1[[#This Row],[PA HT]]*Tableau1[[#This Row],[qté
cdée]])/(Tableau1[[#This Row],[qté
cdée]]+Tableau1[[#This Row],[UG]]))*(1-Tableau1[[#This Row],[Remise]]))</calculatedColumnFormula>
    </tableColumn>
    <tableColumn id="9" xr3:uid="{00000000-0010-0000-0000-000009000000}" name="TM" dataDxfId="16"/>
    <tableColumn id="10" xr3:uid="{00000000-0010-0000-0000-00000A000000}" name="PV HT" dataDxfId="15">
      <calculatedColumnFormula>Tableau1[[#This Row],[PA HT
remisé]]/(1-Tableau1[[#This Row],[TM]])</calculatedColumnFormula>
    </tableColumn>
    <tableColumn id="11" xr3:uid="{00000000-0010-0000-0000-00000B000000}" name="PV TTC" dataDxfId="14"/>
  </tableColumns>
  <tableStyleInfo name="TableStyleLight12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6:L7" totalsRowShown="0" headerRowDxfId="13" dataDxfId="12">
  <autoFilter ref="A6:L7" xr:uid="{00000000-0009-0000-0100-000002000000}"/>
  <tableColumns count="12">
    <tableColumn id="1" xr3:uid="{00000000-0010-0000-0100-000001000000}" name="CIP" dataDxfId="11">
      <calculatedColumnFormula>IF(marge!A4="","",marge!A4)</calculatedColumnFormula>
    </tableColumn>
    <tableColumn id="2" xr3:uid="{00000000-0010-0000-0100-000002000000}" name="Désignation" dataDxfId="10">
      <calculatedColumnFormula>VLOOKUP($A7,base,2,0)</calculatedColumnFormula>
    </tableColumn>
    <tableColumn id="3" xr3:uid="{00000000-0010-0000-0100-000003000000}" name="Qté_x000a_cdée" dataDxfId="9">
      <calculatedColumnFormula>VLOOKUP($A7,marge,4,0)</calculatedColumnFormula>
    </tableColumn>
    <tableColumn id="4" xr3:uid="{00000000-0010-0000-0100-000004000000}" name="UG" dataDxfId="8">
      <calculatedColumnFormula>VLOOKUP($A7,marge,5,0)</calculatedColumnFormula>
    </tableColumn>
    <tableColumn id="8" xr3:uid="{00000000-0010-0000-0100-000008000000}" name="TVA" dataDxfId="7">
      <calculatedColumnFormula>VLOOKUP($A7,marge,8,0)</calculatedColumnFormula>
    </tableColumn>
    <tableColumn id="5" xr3:uid="{00000000-0010-0000-0100-000005000000}" name="PA remise_x000a_HT" dataDxfId="6">
      <calculatedColumnFormula>VLOOKUP($A7,marge,9,0)*(1-VLOOKUP($A7,marge,10,0))</calculatedColumnFormula>
    </tableColumn>
    <tableColumn id="6" xr3:uid="{00000000-0010-0000-0100-000006000000}" name="PV _x000a_TTC" dataDxfId="5">
      <calculatedColumnFormula>VLOOKUP($A7,marge,14,0)</calculatedColumnFormula>
    </tableColumn>
    <tableColumn id="7" xr3:uid="{00000000-0010-0000-0100-000007000000}" name="TM" dataDxfId="4">
      <calculatedColumnFormula>VLOOKUP($A7,marge,12,0)</calculatedColumnFormula>
    </tableColumn>
    <tableColumn id="12" xr3:uid="{00000000-0010-0000-0100-00000C000000}" name="Colonne1" dataDxfId="3">
      <calculatedColumnFormula>IF(Tableau2[UG]=0,Tableau2[PA remise
HT],(Tableau2[PA remise
HT]*Tableau2[Qté
cdée])/(Tableau2[Qté
cdée]+Tableau2[UG]))</calculatedColumnFormula>
    </tableColumn>
    <tableColumn id="9" xr3:uid="{00000000-0010-0000-0100-000009000000}" name="Total HT_x000a_facturé" dataDxfId="2">
      <calculatedColumnFormula>IF(Tableau2[CIP]="","",Tableau2[PA remise
HT]*Tableau2[Qté
cdée])</calculatedColumnFormula>
    </tableColumn>
    <tableColumn id="10" xr3:uid="{00000000-0010-0000-0100-00000A000000}" name="Total HT_x000a_des UG" dataDxfId="1">
      <calculatedColumnFormula>IF(Tableau2[UG]=0,0,Tableau2[Colonne1]*Tableau2[UG])</calculatedColumnFormula>
    </tableColumn>
    <tableColumn id="11" xr3:uid="{00000000-0010-0000-0100-00000B000000}" name="Total HT_x000a_avec UG" dataDxfId="0">
      <calculatedColumnFormula>IF(Tableau2[[#This Row],[UG]]=0,Tableau2[Total HT
facturé],Tableau2[[#This Row],[Total HT
des UG]]+Tableau2[[#This Row],[Total HT
facturé]])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E0D4E45-1DA2-4E4E-BA4A-BD89470E2DE7}">
  <we:reference id="wa104100404" version="3.0.0.1" store="fr-FR" storeType="OMEX"/>
  <we:alternateReferences>
    <we:reference id="wa104100404" version="3.0.0.1" store="wa104100404" storeType="OMEX"/>
  </we:alternateReferences>
  <we:properties>
    <we:property name="UniqueID" value="&quot;20250301738256638273&quot;"/>
    <we:property name="XScxEjx0PBdf" value="&quot;FA1nRw==&quot;"/>
    <we:property name="XScxEjx0ABpZAA0aB1UDFw==" value="&quot;dxQE&quot;"/>
    <we:property name="XScxEjx0PhRNOwEG" value="&quot;AQ==&quot;"/>
    <we:property name="XScxEjx0ABpZAA0aB14IFw==" value="&quot;AQ==&quot;"/>
    <we:property name="XScxEjx0ABpZAA0aB0AfFQ==" value="&quot;AGhzRWllQ0Q=&quot;"/>
    <we:property name="XScxEjx0ABpZAA0aB0MOHA==" value="&quot;AQ==&quot;"/>
    <we:property name="XScxEjx0ABpZAA0aB0IBCA==" value="&quot;AQ==&quot;"/>
    <we:property name="XScxEjx0ABpZAA0aB0QCHA==" value="&quot;AGhzRWlk&quot;"/>
    <we:property name="XScxEjx0ABpZAA0aB1MbFw==" value="&quot;AGhzRWlk&quot;"/>
    <we:property name="XScxEjx0ABpZAA0aB10eHA==" value="&quot;AA==&quot;"/>
    <we:property name="XScxEjx0ABpZAA0aB0MeCg==" value="&quot;AXZz&quot;"/>
    <we:property name="XScxEjx0ABpZAA0aB0IeFA==" value="&quot;AA==&quot;"/>
    <we:property name="XScxEjx0ABpZAA0aB10fBA==" value="&quot;AGhzQmw=&quot;"/>
    <we:property name="XScxEjx0ABpZAA0aB10DGQ==" value="&quot;A3Y=&quot;"/>
    <we:property name="XScxEjx0ABpZAA0aB0IPBg==" value="&quot;AQ==&quot;"/>
    <we:property name="XScxEjx0ABpZAA0aB14ZAg==" value="&quot;Ag==&quot;"/>
    <we:property name="XScxEjx0ABpZAA0aB1EOEw==" value="&quot;AGhzRWg=&quot;"/>
    <we:property name="XScxEjx0ABpZAA0aB0IIAw==" value="&quot;BQ==&quot;"/>
    <we:property name="XScxEjx0ABpZAA0aB1EfAw==" value="&quot;AQ==&quot;"/>
    <we:property name="XScxEjx0ABpZAA0aB0MZEQ==" value="&quot;AA==&quot;"/>
    <we:property name="XScxEjx0ABpZAA0aB10IBA==" value="&quot;Ag==&quot;"/>
    <we:property name="XScxEjx0ABpZAA0aB0MCEw==" value="&quot;AA==&quot;"/>
    <we:property name="XScxEjx0ABpZAA0aB1wdBA==" value="&quot;AA==&quot;"/>
    <we:property name="XScxEjx0ABpZAA0aB1wdAA==" value="&quot;AA==&quot;"/>
    <we:property name="XScxEjx0ABpZAA0aB1cMAA==" value="&quot;AGhzRWllQ0Q=&quot;"/>
    <we:property name="XScxEjx0ABpZAA0aB1kdAw==" value="&quot;AGh6TA==&quot;"/>
    <we:property name="XScxEjx0ABpZAA0aB1YIEQ==" value="&quot;AGhzRWllQ0Q=&quot;"/>
    <we:property name="XScxEjx0ABpZAA0aB1kdGQ==" value="&quot;AQ==&quot;"/>
    <we:property name="XScxEjx0ABpZAA0aB1kdFA==" value="&quot;Aw==&quot;"/>
    <we:property name="XScxEjx0JRRHHwkKNFUe" value="&quot;FAhnQWNxPVEERg==&quot;"/>
    <we:property name="XScxEjx0ABpZAA0aB14YHQ==" value="&quot;Aw==&quot;"/>
    <we:property name="XScxEjx0ABpZAA0aB1wFAwE=" value="&quot;FApnRGk=&quot;"/>
    <we:property name="XScxEjx0ABpZAA0aB0IIHAE=" value="&quot;EHtj&quot;"/>
    <we:property name="XScxEjx0ABpZAA0aB0IFAwE=" value="&quot;AnZm&quot;"/>
    <we:property name="XScxEjx0ABpZAA0aB1wFAwI=" value="&quot;FA1nRw==&quot;"/>
    <we:property name="XScxEjx0ABpZAA0aB0IIHAI=" value="&quot;EHtj&quot;"/>
    <we:property name="XScxEjx0ABpZAA0aB0IFAwI=" value="&quot;BXZm&quot;"/>
    <we:property name="XScxEjx0ABpZAA0aB1wFAwM=" value="&quot;FA1nRA==&quot;"/>
    <we:property name="XScxEjx0ABpZAA0aB0IIHAM=" value="&quot;EHtj&quot;"/>
    <we:property name="XScxEjx0ABpZAA0aB0IFAwM=" value="&quot;FA1nRw==&quot;"/>
    <we:property name="XScxEjx0JRRHHwkKNFUeQA==" value="&quot;&quot;"/>
  </we:properties>
  <we:bindings>
    <we:binding id="refEdit" type="matrix" appref="{4DD9FD0A-3CE8-4F28-A5BA-7C62CF50C4D4}"/>
    <we:binding id="Worker" type="matrix" appref="{4B1BF81D-BD25-4402-A205-7D0A509A8FF8}"/>
    <we:binding id="Obj" type="matrix" appref="{B9C15583-A32D-4505-B400-5B91004471CB}"/>
    <we:binding id="VarL4:L10" type="matrix" appref="{DB8C1CBC-DAB0-4C9B-8BB1-8C469A9CA296}"/>
    <we:binding id="VarN4:N10" type="matrix" appref="{57D84713-D7B2-462E-8992-FB0068A77EF5}"/>
  </we:bindings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1"/>
  <sheetViews>
    <sheetView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C12" sqref="C12"/>
    </sheetView>
  </sheetViews>
  <sheetFormatPr defaultColWidth="11.42578125" defaultRowHeight="12.75" x14ac:dyDescent="0.2"/>
  <cols>
    <col min="1" max="1" width="15.7109375" style="2" bestFit="1" customWidth="1"/>
    <col min="2" max="2" width="51.42578125" style="6" bestFit="1" customWidth="1"/>
    <col min="3" max="3" width="14" style="5" customWidth="1"/>
    <col min="4" max="4" width="7.28515625" style="4" bestFit="1" customWidth="1"/>
    <col min="5" max="5" width="9.85546875" style="47" bestFit="1" customWidth="1"/>
    <col min="6" max="6" width="10.28515625" style="47" bestFit="1" customWidth="1"/>
    <col min="7" max="16384" width="11.42578125" style="6"/>
  </cols>
  <sheetData>
    <row r="1" spans="1:9" ht="27" customHeight="1" x14ac:dyDescent="0.2">
      <c r="A1" s="65" t="s">
        <v>19</v>
      </c>
      <c r="B1" s="65"/>
      <c r="C1" s="65"/>
      <c r="D1" s="65"/>
      <c r="E1" s="65"/>
      <c r="H1" s="52"/>
      <c r="I1" s="52"/>
    </row>
    <row r="2" spans="1:9" ht="37.5" customHeight="1" x14ac:dyDescent="0.2">
      <c r="A2" s="49"/>
      <c r="B2" s="66" t="s">
        <v>34</v>
      </c>
      <c r="C2" s="66"/>
      <c r="D2" s="66"/>
      <c r="E2" s="49"/>
      <c r="H2" s="53"/>
      <c r="I2" s="53"/>
    </row>
    <row r="3" spans="1:9" ht="27" x14ac:dyDescent="0.2">
      <c r="A3" s="49"/>
      <c r="B3" s="54" t="s">
        <v>29</v>
      </c>
      <c r="C3" s="51">
        <v>0</v>
      </c>
      <c r="E3" s="49"/>
    </row>
    <row r="4" spans="1:9" ht="25.5" x14ac:dyDescent="0.2">
      <c r="A4" s="15" t="s">
        <v>0</v>
      </c>
      <c r="B4" s="1" t="s">
        <v>1</v>
      </c>
      <c r="C4" s="1" t="s">
        <v>35</v>
      </c>
      <c r="D4" s="3" t="s">
        <v>3</v>
      </c>
      <c r="E4" s="59" t="s">
        <v>2</v>
      </c>
      <c r="F4" s="50" t="s">
        <v>8</v>
      </c>
    </row>
    <row r="5" spans="1:9" x14ac:dyDescent="0.2">
      <c r="A5" s="58">
        <v>1</v>
      </c>
      <c r="B5" s="55" t="s">
        <v>36</v>
      </c>
      <c r="C5" s="56">
        <v>0.15</v>
      </c>
      <c r="D5" s="62">
        <v>0.1</v>
      </c>
      <c r="E5" s="63">
        <v>3.7</v>
      </c>
      <c r="F5" s="63">
        <f>E5*(1-C5)</f>
        <v>3.145</v>
      </c>
    </row>
    <row r="6" spans="1:9" x14ac:dyDescent="0.2">
      <c r="A6" s="58">
        <v>2</v>
      </c>
      <c r="B6" s="57" t="s">
        <v>37</v>
      </c>
      <c r="C6" s="64">
        <v>0.15</v>
      </c>
      <c r="D6" s="62">
        <v>0.1</v>
      </c>
      <c r="E6" s="63">
        <v>4.2</v>
      </c>
      <c r="F6" s="63">
        <f t="shared" ref="F6:F11" si="0">E6*(1-C6)</f>
        <v>3.57</v>
      </c>
    </row>
    <row r="7" spans="1:9" x14ac:dyDescent="0.2">
      <c r="A7" s="58">
        <v>3</v>
      </c>
      <c r="B7" s="57" t="s">
        <v>41</v>
      </c>
      <c r="C7" s="64">
        <v>0.15</v>
      </c>
      <c r="D7" s="62">
        <v>0.1</v>
      </c>
      <c r="E7" s="63">
        <v>3.8</v>
      </c>
      <c r="F7" s="63">
        <f t="shared" si="0"/>
        <v>3.23</v>
      </c>
    </row>
    <row r="8" spans="1:9" x14ac:dyDescent="0.2">
      <c r="A8" s="58">
        <v>4</v>
      </c>
      <c r="B8" s="57" t="s">
        <v>38</v>
      </c>
      <c r="C8" s="64">
        <v>0.15</v>
      </c>
      <c r="D8" s="62">
        <v>0.1</v>
      </c>
      <c r="E8" s="63">
        <v>4.2</v>
      </c>
      <c r="F8" s="63">
        <f t="shared" si="0"/>
        <v>3.57</v>
      </c>
    </row>
    <row r="9" spans="1:9" x14ac:dyDescent="0.2">
      <c r="A9" s="58">
        <v>5</v>
      </c>
      <c r="B9" s="57" t="s">
        <v>39</v>
      </c>
      <c r="C9" s="64">
        <v>0.15</v>
      </c>
      <c r="D9" s="62">
        <v>0.1</v>
      </c>
      <c r="E9" s="63">
        <v>10.7</v>
      </c>
      <c r="F9" s="63">
        <f t="shared" si="0"/>
        <v>9.0949999999999989</v>
      </c>
    </row>
    <row r="10" spans="1:9" x14ac:dyDescent="0.2">
      <c r="A10" s="58">
        <v>6</v>
      </c>
      <c r="B10" s="57" t="s">
        <v>40</v>
      </c>
      <c r="C10" s="64">
        <v>0.15</v>
      </c>
      <c r="D10" s="62">
        <v>0.1</v>
      </c>
      <c r="E10" s="63">
        <v>7.9</v>
      </c>
      <c r="F10" s="63">
        <f t="shared" si="0"/>
        <v>6.7149999999999999</v>
      </c>
    </row>
    <row r="11" spans="1:9" x14ac:dyDescent="0.2">
      <c r="A11" s="58">
        <v>7</v>
      </c>
      <c r="B11" s="57" t="s">
        <v>42</v>
      </c>
      <c r="C11" s="64">
        <v>0.15</v>
      </c>
      <c r="D11" s="62">
        <v>0.1</v>
      </c>
      <c r="E11" s="63">
        <v>54.1</v>
      </c>
      <c r="F11" s="63">
        <f t="shared" si="0"/>
        <v>45.984999999999999</v>
      </c>
    </row>
  </sheetData>
  <mergeCells count="2">
    <mergeCell ref="A1:E1"/>
    <mergeCell ref="B2:D2"/>
  </mergeCells>
  <pageMargins left="0.78740157499999996" right="0.78740157499999996" top="0.984251969" bottom="0.984251969" header="0.4921259845" footer="0.4921259845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XFD1048575"/>
  <sheetViews>
    <sheetView tabSelected="1" workbookViewId="0">
      <selection activeCell="H14" sqref="H14"/>
    </sheetView>
  </sheetViews>
  <sheetFormatPr defaultColWidth="11.42578125" defaultRowHeight="12" x14ac:dyDescent="0.2"/>
  <cols>
    <col min="1" max="1" width="14.5703125" style="16" bestFit="1" customWidth="1"/>
    <col min="2" max="2" width="39.42578125" style="7" bestFit="1" customWidth="1"/>
    <col min="3" max="3" width="15.140625" style="8" hidden="1" customWidth="1"/>
    <col min="4" max="4" width="9.5703125" style="8" bestFit="1" customWidth="1"/>
    <col min="5" max="5" width="9.5703125" style="8" hidden="1" customWidth="1"/>
    <col min="6" max="6" width="10.28515625" style="8" hidden="1" customWidth="1"/>
    <col min="7" max="7" width="10.140625" style="8" hidden="1" customWidth="1"/>
    <col min="8" max="8" width="8.85546875" style="21" bestFit="1" customWidth="1"/>
    <col min="9" max="9" width="8" style="24" customWidth="1"/>
    <col min="10" max="10" width="11.42578125" style="21"/>
    <col min="11" max="11" width="11.42578125" style="24"/>
    <col min="12" max="12" width="11.42578125" style="21"/>
    <col min="13" max="13" width="10.42578125" style="24" bestFit="1" customWidth="1"/>
    <col min="14" max="14" width="11.85546875" style="25" customWidth="1"/>
    <col min="15" max="16384" width="11.42578125" style="7"/>
  </cols>
  <sheetData>
    <row r="1" spans="1:17" ht="15" x14ac:dyDescent="0.2">
      <c r="D1" s="24"/>
      <c r="J1" s="18" t="s">
        <v>12</v>
      </c>
      <c r="K1" s="22">
        <f>1-SUMPRODUCT(Tableau1[Qté
totale]*Tableau1[PA HT
remisé])/SUMPRODUCT(Tableau1[Qté
totale]*Tableau1[PV HT])</f>
        <v>0.49999987640396348</v>
      </c>
      <c r="L1" s="28" t="s">
        <v>17</v>
      </c>
      <c r="M1" s="27"/>
    </row>
    <row r="2" spans="1:17" ht="15" x14ac:dyDescent="0.2">
      <c r="B2" s="61">
        <f ca="1">TODAY()</f>
        <v>45688</v>
      </c>
      <c r="D2" s="29"/>
      <c r="J2" s="19" t="s">
        <v>13</v>
      </c>
      <c r="K2" s="23">
        <v>0.5</v>
      </c>
      <c r="L2" s="24"/>
      <c r="P2" s="7">
        <v>0.1</v>
      </c>
      <c r="Q2" s="7">
        <v>0.9</v>
      </c>
    </row>
    <row r="3" spans="1:17" s="10" customFormat="1" ht="24" x14ac:dyDescent="0.2">
      <c r="A3" s="17" t="s">
        <v>30</v>
      </c>
      <c r="B3" s="10" t="s">
        <v>5</v>
      </c>
      <c r="C3" s="10" t="s">
        <v>6</v>
      </c>
      <c r="D3" s="11" t="s">
        <v>14</v>
      </c>
      <c r="E3" s="11" t="s">
        <v>18</v>
      </c>
      <c r="F3" s="11" t="s">
        <v>15</v>
      </c>
      <c r="G3" s="11" t="s">
        <v>16</v>
      </c>
      <c r="H3" s="12" t="s">
        <v>3</v>
      </c>
      <c r="I3" s="13" t="s">
        <v>7</v>
      </c>
      <c r="J3" s="12" t="s">
        <v>8</v>
      </c>
      <c r="K3" s="14" t="s">
        <v>26</v>
      </c>
      <c r="L3" s="12" t="s">
        <v>9</v>
      </c>
      <c r="M3" s="13" t="s">
        <v>10</v>
      </c>
      <c r="N3" s="26" t="s">
        <v>11</v>
      </c>
      <c r="P3" s="10" t="s">
        <v>43</v>
      </c>
      <c r="Q3" s="10" t="s">
        <v>44</v>
      </c>
    </row>
    <row r="4" spans="1:17" ht="12.75" x14ac:dyDescent="0.2">
      <c r="A4" s="58">
        <v>1</v>
      </c>
      <c r="B4" s="7" t="str">
        <f t="shared" ref="B4:B10" si="0">VLOOKUP($A4,base,2,0)</f>
        <v>Produit 1</v>
      </c>
      <c r="D4" s="60">
        <v>30</v>
      </c>
      <c r="E4" s="9"/>
      <c r="F4" s="9">
        <v>0</v>
      </c>
      <c r="G4" s="9">
        <f>SUM(Tableau1[[#This Row],[Stock]]+Tableau1[[#This Row],[UG]]+Tableau1[[#This Row],[qté
cdée]])</f>
        <v>30</v>
      </c>
      <c r="H4" s="21">
        <f t="shared" ref="H4:H10" si="1">VLOOKUP($A4,base,4,0)</f>
        <v>0.1</v>
      </c>
      <c r="I4" s="24">
        <f t="shared" ref="I4:I10" si="2">VLOOKUP($A4,base,5,0)</f>
        <v>3.7</v>
      </c>
      <c r="J4" s="56">
        <f>base!C5</f>
        <v>0.15</v>
      </c>
      <c r="K4" s="24">
        <f>IF(Tableau1[[#This Row],[UG]]=0,Tableau1[[#This Row],[PA HT]]*(1-Tableau1[[#This Row],[Remise]]),((Tableau1[[#This Row],[PA HT]]*Tableau1[[#This Row],[qté
cdée]])/(Tableau1[[#This Row],[qté
cdée]]+Tableau1[[#This Row],[UG]]))*(1-Tableau1[[#This Row],[Remise]]))</f>
        <v>3.145</v>
      </c>
      <c r="L4" s="20">
        <v>0.72138065003964291</v>
      </c>
      <c r="M4" s="24">
        <f>Tableau1[[#This Row],[PA HT
remisé]]/(1-Tableau1[[#This Row],[TM]])</f>
        <v>11.287801800009516</v>
      </c>
      <c r="N4" s="25">
        <v>0</v>
      </c>
      <c r="P4" s="7">
        <f>+P$2</f>
        <v>0.1</v>
      </c>
      <c r="Q4" s="7">
        <f>+Q$2</f>
        <v>0.9</v>
      </c>
    </row>
    <row r="5" spans="1:17" ht="12.75" x14ac:dyDescent="0.2">
      <c r="A5" s="2">
        <v>2</v>
      </c>
      <c r="B5" s="7" t="str">
        <f t="shared" si="0"/>
        <v>Produit 2</v>
      </c>
      <c r="D5" s="9">
        <v>30</v>
      </c>
      <c r="E5" s="9"/>
      <c r="F5" s="9"/>
      <c r="G5" s="9">
        <f>SUM(Tableau1[[#This Row],[Stock]]+Tableau1[[#This Row],[UG]]+Tableau1[[#This Row],[qté
cdée]])</f>
        <v>30</v>
      </c>
      <c r="H5" s="21">
        <f t="shared" si="1"/>
        <v>0.1</v>
      </c>
      <c r="I5" s="24">
        <f t="shared" si="2"/>
        <v>4.2</v>
      </c>
      <c r="J5" s="56">
        <f>base!C6</f>
        <v>0.15</v>
      </c>
      <c r="K5" s="24">
        <f>IF(Tableau1[[#This Row],[UG]]=0,Tableau1[[#This Row],[PA HT]]*(1-Tableau1[[#This Row],[Remise]]),((Tableau1[[#This Row],[PA HT]]*Tableau1[[#This Row],[qté
cdée]])/(Tableau1[[#This Row],[qté
cdée]]+Tableau1[[#This Row],[UG]]))*(1-Tableau1[[#This Row],[Remise]]))</f>
        <v>3.57</v>
      </c>
      <c r="L5" s="20">
        <v>0.72426992599760665</v>
      </c>
      <c r="M5" s="24">
        <f>Tableau1[[#This Row],[PA HT
remisé]]/(1-Tableau1[[#This Row],[TM]])</f>
        <v>12.947445116084841</v>
      </c>
      <c r="N5" s="25">
        <v>0</v>
      </c>
      <c r="P5" s="7">
        <f t="shared" ref="P5:Q7" si="3">+P$2</f>
        <v>0.1</v>
      </c>
      <c r="Q5" s="7">
        <f t="shared" si="3"/>
        <v>0.9</v>
      </c>
    </row>
    <row r="6" spans="1:17" ht="12.75" x14ac:dyDescent="0.2">
      <c r="A6" s="2">
        <v>3</v>
      </c>
      <c r="B6" s="7" t="str">
        <f t="shared" si="0"/>
        <v>Produit 3</v>
      </c>
      <c r="D6" s="9">
        <v>30</v>
      </c>
      <c r="E6" s="9"/>
      <c r="F6" s="9"/>
      <c r="G6" s="9">
        <f>SUM(Tableau1[[#This Row],[Stock]]+Tableau1[[#This Row],[UG]]+Tableau1[[#This Row],[qté
cdée]])</f>
        <v>30</v>
      </c>
      <c r="H6" s="21">
        <f t="shared" si="1"/>
        <v>0.1</v>
      </c>
      <c r="I6" s="24">
        <f t="shared" si="2"/>
        <v>3.8</v>
      </c>
      <c r="J6" s="56">
        <f>base!C7</f>
        <v>0.15</v>
      </c>
      <c r="K6" s="24">
        <f>IF(Tableau1[[#This Row],[UG]]=0,Tableau1[[#This Row],[PA HT]]*(1-Tableau1[[#This Row],[Remise]]),((Tableau1[[#This Row],[PA HT]]*Tableau1[[#This Row],[qté
cdée]])/(Tableau1[[#This Row],[qté
cdée]]+Tableau1[[#This Row],[UG]]))*(1-Tableau1[[#This Row],[Remise]]))</f>
        <v>3.23</v>
      </c>
      <c r="L6" s="20">
        <v>0.72195850494728164</v>
      </c>
      <c r="M6" s="24">
        <f>Tableau1[[#This Row],[PA HT
remisé]]/(1-Tableau1[[#This Row],[TM]])</f>
        <v>11.616971054581519</v>
      </c>
      <c r="N6" s="25">
        <v>0</v>
      </c>
      <c r="P6" s="7">
        <f t="shared" si="3"/>
        <v>0.1</v>
      </c>
      <c r="Q6" s="7">
        <f t="shared" si="3"/>
        <v>0.9</v>
      </c>
    </row>
    <row r="7" spans="1:17" ht="12.75" x14ac:dyDescent="0.2">
      <c r="A7" s="2">
        <v>4</v>
      </c>
      <c r="B7" s="7" t="str">
        <f t="shared" si="0"/>
        <v>Produit 4</v>
      </c>
      <c r="D7" s="9">
        <v>60</v>
      </c>
      <c r="E7" s="9"/>
      <c r="F7" s="9"/>
      <c r="G7" s="9">
        <f>SUM(Tableau1[[#This Row],[Stock]]+Tableau1[[#This Row],[UG]]+Tableau1[[#This Row],[qté
cdée]])</f>
        <v>60</v>
      </c>
      <c r="H7" s="21">
        <f t="shared" si="1"/>
        <v>0.1</v>
      </c>
      <c r="I7" s="24">
        <f t="shared" si="2"/>
        <v>4.2</v>
      </c>
      <c r="J7" s="56">
        <f>base!C8</f>
        <v>0.15</v>
      </c>
      <c r="K7" s="24">
        <f>IF(Tableau1[[#This Row],[UG]]=0,Tableau1[[#This Row],[PA HT]]*(1-Tableau1[[#This Row],[Remise]]),((Tableau1[[#This Row],[PA HT]]*Tableau1[[#This Row],[qté
cdée]])/(Tableau1[[#This Row],[qté
cdée]]+Tableau1[[#This Row],[UG]]))*(1-Tableau1[[#This Row],[Remise]]))</f>
        <v>3.57</v>
      </c>
      <c r="L7" s="20">
        <v>0.74853982927889318</v>
      </c>
      <c r="M7" s="24">
        <f>Tableau1[[#This Row],[PA HT
remisé]]/(1-Tableau1[[#This Row],[TM]])</f>
        <v>14.197079361564056</v>
      </c>
      <c r="N7" s="25">
        <v>0</v>
      </c>
      <c r="P7" s="7">
        <f t="shared" si="3"/>
        <v>0.1</v>
      </c>
      <c r="Q7" s="7">
        <f t="shared" si="3"/>
        <v>0.9</v>
      </c>
    </row>
    <row r="8" spans="1:17" ht="12.75" x14ac:dyDescent="0.2">
      <c r="A8" s="2">
        <v>5</v>
      </c>
      <c r="B8" s="7" t="str">
        <f t="shared" si="0"/>
        <v>Produit 5</v>
      </c>
      <c r="D8" s="9">
        <v>50</v>
      </c>
      <c r="E8" s="9"/>
      <c r="F8" s="9"/>
      <c r="G8" s="9">
        <f>SUM(Tableau1[[#This Row],[Stock]]+Tableau1[[#This Row],[UG]]+Tableau1[[#This Row],[qté
cdée]])</f>
        <v>50</v>
      </c>
      <c r="H8" s="21">
        <f t="shared" si="1"/>
        <v>0.1</v>
      </c>
      <c r="I8" s="24">
        <f t="shared" si="2"/>
        <v>10.7</v>
      </c>
      <c r="J8" s="56">
        <f>base!C9</f>
        <v>0.15</v>
      </c>
      <c r="K8" s="24">
        <f>IF(Tableau1[[#This Row],[UG]]=0,Tableau1[[#This Row],[PA HT]]*(1-Tableau1[[#This Row],[Remise]]),((Tableau1[[#This Row],[PA HT]]*Tableau1[[#This Row],[qté
cdée]])/(Tableau1[[#This Row],[qté
cdée]]+Tableau1[[#This Row],[UG]]))*(1-Tableau1[[#This Row],[Remise]]))</f>
        <v>9.0949999999999989</v>
      </c>
      <c r="L8" s="20">
        <v>0.15</v>
      </c>
      <c r="M8" s="24">
        <f>Tableau1[[#This Row],[PA HT
remisé]]/(1-Tableau1[[#This Row],[TM]])</f>
        <v>10.7</v>
      </c>
      <c r="N8" s="25">
        <v>0</v>
      </c>
      <c r="P8" s="67">
        <v>0.15</v>
      </c>
      <c r="Q8" s="67">
        <v>0.15</v>
      </c>
    </row>
    <row r="9" spans="1:17" ht="12.75" x14ac:dyDescent="0.2">
      <c r="A9" s="2">
        <v>6</v>
      </c>
      <c r="B9" s="7" t="str">
        <f t="shared" si="0"/>
        <v>Produit 6</v>
      </c>
      <c r="D9" s="9">
        <v>20</v>
      </c>
      <c r="E9" s="9"/>
      <c r="F9" s="9"/>
      <c r="G9" s="9">
        <f>SUM(Tableau1[[#This Row],[Stock]]+Tableau1[[#This Row],[UG]]+Tableau1[[#This Row],[qté
cdée]])</f>
        <v>20</v>
      </c>
      <c r="H9" s="21">
        <f t="shared" si="1"/>
        <v>0.1</v>
      </c>
      <c r="I9" s="24">
        <f t="shared" si="2"/>
        <v>7.9</v>
      </c>
      <c r="J9" s="56">
        <f>base!C10</f>
        <v>0.15</v>
      </c>
      <c r="K9" s="24">
        <f>IF(Tableau1[[#This Row],[UG]]=0,Tableau1[[#This Row],[PA HT]]*(1-Tableau1[[#This Row],[Remise]]),((Tableau1[[#This Row],[PA HT]]*Tableau1[[#This Row],[qté
cdée]])/(Tableau1[[#This Row],[qté
cdée]]+Tableau1[[#This Row],[UG]]))*(1-Tableau1[[#This Row],[Remise]]))</f>
        <v>6.7149999999999999</v>
      </c>
      <c r="L9" s="20">
        <v>0.73043371262559964</v>
      </c>
      <c r="M9" s="24">
        <f>Tableau1[[#This Row],[PA HT
remisé]]/(1-Tableau1[[#This Row],[TM]])</f>
        <v>24.91038499437262</v>
      </c>
      <c r="N9" s="25">
        <v>0</v>
      </c>
      <c r="P9" s="7">
        <f>+P$2</f>
        <v>0.1</v>
      </c>
      <c r="Q9" s="7">
        <f>+Q$2</f>
        <v>0.9</v>
      </c>
    </row>
    <row r="10" spans="1:17" ht="12.75" x14ac:dyDescent="0.2">
      <c r="A10" s="2">
        <v>7</v>
      </c>
      <c r="B10" s="7" t="str">
        <f t="shared" si="0"/>
        <v>Prduit 4</v>
      </c>
      <c r="D10" s="9">
        <v>20</v>
      </c>
      <c r="E10" s="9"/>
      <c r="F10" s="9"/>
      <c r="G10" s="9">
        <f>SUM(Tableau1[[#This Row],[Stock]]+Tableau1[[#This Row],[UG]]+Tableau1[[#This Row],[qté
cdée]])</f>
        <v>20</v>
      </c>
      <c r="H10" s="21">
        <f t="shared" si="1"/>
        <v>0.1</v>
      </c>
      <c r="I10" s="24">
        <f t="shared" si="2"/>
        <v>54.1</v>
      </c>
      <c r="J10" s="56">
        <f>base!C11</f>
        <v>0.15</v>
      </c>
      <c r="K10" s="24">
        <f>IF(Tableau1[[#This Row],[UG]]=0,Tableau1[[#This Row],[PA HT]]*(1-Tableau1[[#This Row],[Remise]]),((Tableau1[[#This Row],[PA HT]]*Tableau1[[#This Row],[qté
cdée]])/(Tableau1[[#This Row],[qté
cdée]]+Tableau1[[#This Row],[UG]]))*(1-Tableau1[[#This Row],[Remise]]))</f>
        <v>45.984999999999999</v>
      </c>
      <c r="L10" s="20">
        <v>0.15</v>
      </c>
      <c r="M10" s="24">
        <f>Tableau1[[#This Row],[PA HT
remisé]]/(1-Tableau1[[#This Row],[TM]])</f>
        <v>54.1</v>
      </c>
      <c r="N10" s="25">
        <v>0</v>
      </c>
      <c r="P10" s="67">
        <v>0.15</v>
      </c>
      <c r="Q10" s="67">
        <v>0.15</v>
      </c>
    </row>
    <row r="1048550" spans="16384:16384" x14ac:dyDescent="0.2">
      <c r="XFD1048550" s="7">
        <f>solver_pre</f>
        <v>9.9999999999999995E-7</v>
      </c>
    </row>
    <row r="1048551" spans="16384:16384" x14ac:dyDescent="0.2">
      <c r="XFD1048551" s="7">
        <f>solver_scl</f>
        <v>1</v>
      </c>
    </row>
    <row r="1048552" spans="16384:16384" x14ac:dyDescent="0.2">
      <c r="XFD1048552" s="7">
        <f>solver_rlx</f>
        <v>2</v>
      </c>
    </row>
    <row r="1048553" spans="16384:16384" x14ac:dyDescent="0.2">
      <c r="XFD1048553" s="7">
        <f>solver_tol</f>
        <v>0.01</v>
      </c>
    </row>
    <row r="1048554" spans="16384:16384" x14ac:dyDescent="0.2">
      <c r="XFD1048554" s="7">
        <f>solver_cvg</f>
        <v>1E-4</v>
      </c>
    </row>
    <row r="1048555" spans="16384:16384" x14ac:dyDescent="0.2">
      <c r="XFD1048555" s="7" t="e" cm="1">
        <f t="array" aca="1" ref="XFD1048555" ca="1">_xludf.Areas(solver_adj1)</f>
        <v>#NAME?</v>
      </c>
    </row>
    <row r="1048556" spans="16384:16384" x14ac:dyDescent="0.2">
      <c r="XFD1048556" s="7">
        <f>solver_ssz</f>
        <v>100</v>
      </c>
    </row>
    <row r="1048557" spans="16384:16384" x14ac:dyDescent="0.2">
      <c r="XFD1048557" s="7">
        <f>solver_rsd</f>
        <v>0</v>
      </c>
    </row>
    <row r="1048558" spans="16384:16384" x14ac:dyDescent="0.2">
      <c r="XFD1048558" s="7">
        <f>solver_mrt</f>
        <v>7.4999999999999997E-2</v>
      </c>
    </row>
    <row r="1048559" spans="16384:16384" x14ac:dyDescent="0.2">
      <c r="XFD1048559" s="7">
        <f>solver_mni</f>
        <v>30</v>
      </c>
    </row>
    <row r="1048560" spans="16384:16384" x14ac:dyDescent="0.2">
      <c r="XFD1048560" s="7">
        <f>solver_rbv</f>
        <v>1</v>
      </c>
    </row>
    <row r="1048561" spans="16384:16384" x14ac:dyDescent="0.2">
      <c r="XFD1048561" s="7">
        <f>solver_neg</f>
        <v>1</v>
      </c>
    </row>
    <row r="1048562" spans="16384:16384" x14ac:dyDescent="0.2">
      <c r="XFD1048562" s="7" t="e" cm="1">
        <f t="array" ref="XFD1048562">solver_ntr</f>
        <v>#NAME?</v>
      </c>
    </row>
    <row r="1048563" spans="16384:16384" x14ac:dyDescent="0.2">
      <c r="XFD1048563" s="7" t="e" cm="1">
        <f t="array" ref="XFD1048563">solver_acc</f>
        <v>#NAME?</v>
      </c>
    </row>
    <row r="1048564" spans="16384:16384" x14ac:dyDescent="0.2">
      <c r="XFD1048564" s="7" t="e" cm="1">
        <f t="array" ref="XFD1048564">solver_res</f>
        <v>#NAME?</v>
      </c>
    </row>
    <row r="1048565" spans="16384:16384" x14ac:dyDescent="0.2">
      <c r="XFD1048565" s="7" t="e" cm="1">
        <f t="array" ref="XFD1048565">solver_ars</f>
        <v>#NAME?</v>
      </c>
    </row>
    <row r="1048566" spans="16384:16384" x14ac:dyDescent="0.2">
      <c r="XFD1048566" s="7" t="e" cm="1">
        <f t="array" ref="XFD1048566">solver_sta</f>
        <v>#NAME?</v>
      </c>
    </row>
    <row r="1048567" spans="16384:16384" x14ac:dyDescent="0.2">
      <c r="XFD1048567" s="7" t="e" cm="1">
        <f t="array" ref="XFD1048567">solver_met</f>
        <v>#NAME?</v>
      </c>
    </row>
    <row r="1048568" spans="16384:16384" x14ac:dyDescent="0.2">
      <c r="XFD1048568" s="7" t="e" cm="1">
        <f t="array" ref="XFD1048568">solver_soc</f>
        <v>#NAME?</v>
      </c>
    </row>
    <row r="1048569" spans="16384:16384" x14ac:dyDescent="0.2">
      <c r="XFD1048569" s="7" t="e" cm="1">
        <f t="array" ref="XFD1048569">solver_lpt</f>
        <v>#NAME?</v>
      </c>
    </row>
    <row r="1048570" spans="16384:16384" x14ac:dyDescent="0.2">
      <c r="XFD1048570" s="7" t="e" cm="1">
        <f t="array" ref="XFD1048570">solver_lpp</f>
        <v>#NAME?</v>
      </c>
    </row>
    <row r="1048571" spans="16384:16384" x14ac:dyDescent="0.2">
      <c r="XFD1048571" s="7" t="e" cm="1">
        <f t="array" ref="XFD1048571">solver_gap</f>
        <v>#NAME?</v>
      </c>
    </row>
    <row r="1048572" spans="16384:16384" x14ac:dyDescent="0.2">
      <c r="XFD1048572" s="7" t="e" cm="1">
        <f t="array" ref="XFD1048572">solver_ips</f>
        <v>#NAME?</v>
      </c>
    </row>
    <row r="1048573" spans="16384:16384" x14ac:dyDescent="0.2">
      <c r="XFD1048573" s="7" t="e" cm="1">
        <f t="array" ref="XFD1048573">solver_fea</f>
        <v>#NAME?</v>
      </c>
    </row>
    <row r="1048574" spans="16384:16384" x14ac:dyDescent="0.2">
      <c r="XFD1048574" s="7" t="e" cm="1">
        <f t="array" ref="XFD1048574">solver_ipi</f>
        <v>#NAME?</v>
      </c>
    </row>
    <row r="1048575" spans="16384:16384" x14ac:dyDescent="0.2">
      <c r="XFD1048575" s="7" t="e" cm="1">
        <f t="array" ref="XFD1048575">solver_ipd</f>
        <v>#NAME?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4" verticalDpi="0" r:id="rId1"/>
  <tableParts count="1">
    <tablePart r:id="rId2"/>
  </tableParts>
  <extLst>
    <ext xmlns:x15="http://schemas.microsoft.com/office/spreadsheetml/2010/11/main" uri="{F7C9EE02-42E1-4005-9D12-6889AFFD525C}">
      <x15:webExtensions xmlns:xm="http://schemas.microsoft.com/office/excel/2006/main">
        <x15:webExtension appRef="{4DD9FD0A-3CE8-4F28-A5BA-7C62CF50C4D4}">
          <xm:f>marge!1:1048576</xm:f>
        </x15:webExtension>
        <x15:webExtension appRef="{4B1BF81D-BD25-4402-A205-7D0A509A8FF8}">
          <xm:f>marge!XFD1048550:XFD1048575</xm:f>
        </x15:webExtension>
        <x15:webExtension appRef="{B9C15583-A32D-4505-B400-5B91004471CB}">
          <xm:f>marge!$K$2</xm:f>
        </x15:webExtension>
        <x15:webExtension appRef="{DB8C1CBC-DAB0-4C9B-8BB1-8C469A9CA296}">
          <xm:f>marge!L4:L10</xm:f>
        </x15:webExtension>
        <x15:webExtension appRef="{57D84713-D7B2-462E-8992-FB0068A77EF5}">
          <xm:f>marge!N4:N10</xm:f>
        </x15:webExtension>
      </x15:webExtens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42"/>
  <sheetViews>
    <sheetView workbookViewId="0">
      <pane xSplit="12" ySplit="6" topLeftCell="M7" activePane="bottomRight" state="frozen"/>
      <selection pane="topRight" activeCell="L1" sqref="L1"/>
      <selection pane="bottomLeft" activeCell="A13" sqref="A13"/>
      <selection pane="bottomRight" activeCell="C4" sqref="C4"/>
    </sheetView>
  </sheetViews>
  <sheetFormatPr defaultColWidth="11.42578125" defaultRowHeight="12.75" x14ac:dyDescent="0.2"/>
  <cols>
    <col min="1" max="1" width="14" style="35" bestFit="1" customWidth="1"/>
    <col min="2" max="2" width="53" bestFit="1" customWidth="1"/>
    <col min="3" max="4" width="11.42578125" style="39"/>
    <col min="5" max="5" width="0" style="37" hidden="1" customWidth="1"/>
    <col min="6" max="6" width="11.42578125" style="42"/>
    <col min="7" max="7" width="9.140625" style="42" hidden="1" customWidth="1"/>
    <col min="8" max="8" width="8.28515625" style="44" hidden="1" customWidth="1"/>
    <col min="9" max="9" width="14.140625" style="42" bestFit="1" customWidth="1"/>
    <col min="10" max="10" width="15" style="42" customWidth="1"/>
    <col min="11" max="12" width="11.42578125" style="39"/>
  </cols>
  <sheetData>
    <row r="1" spans="1:12" ht="25.5" x14ac:dyDescent="0.2">
      <c r="C1" s="38" t="s">
        <v>28</v>
      </c>
    </row>
    <row r="2" spans="1:12" x14ac:dyDescent="0.2">
      <c r="B2" s="6" t="s">
        <v>22</v>
      </c>
      <c r="C2" s="42">
        <f>SUMPRODUCT(Tableau2[Total HT
facturé])</f>
        <v>94.35</v>
      </c>
    </row>
    <row r="3" spans="1:12" x14ac:dyDescent="0.2">
      <c r="B3" s="48" t="s">
        <v>23</v>
      </c>
      <c r="D3" s="42">
        <f>SUMPRODUCT(Tableau2[Total HT
avec UG])</f>
        <v>94.35</v>
      </c>
    </row>
    <row r="4" spans="1:12" x14ac:dyDescent="0.2">
      <c r="B4" s="6" t="s">
        <v>24</v>
      </c>
      <c r="C4" s="44">
        <f>(D3-C2)/D3</f>
        <v>0</v>
      </c>
    </row>
    <row r="6" spans="1:12" s="32" customFormat="1" ht="25.5" x14ac:dyDescent="0.2">
      <c r="A6" s="33" t="s">
        <v>4</v>
      </c>
      <c r="B6" s="30" t="s">
        <v>5</v>
      </c>
      <c r="C6" s="31" t="s">
        <v>21</v>
      </c>
      <c r="D6" s="30" t="s">
        <v>18</v>
      </c>
      <c r="E6" s="36" t="s">
        <v>3</v>
      </c>
      <c r="F6" s="40" t="s">
        <v>27</v>
      </c>
      <c r="G6" s="40" t="s">
        <v>20</v>
      </c>
      <c r="H6" s="36" t="s">
        <v>9</v>
      </c>
      <c r="I6" s="46" t="s">
        <v>25</v>
      </c>
      <c r="J6" s="40" t="s">
        <v>31</v>
      </c>
      <c r="K6" s="31" t="s">
        <v>32</v>
      </c>
      <c r="L6" s="31" t="s">
        <v>33</v>
      </c>
    </row>
    <row r="7" spans="1:12" x14ac:dyDescent="0.2">
      <c r="A7" s="34">
        <f>IF(marge!A4="","",marge!A4)</f>
        <v>1</v>
      </c>
      <c r="B7" s="6" t="str">
        <f t="shared" ref="B7" si="0">VLOOKUP($A7,base,2,0)</f>
        <v>Produit 1</v>
      </c>
      <c r="C7" s="38">
        <f t="shared" ref="C7" si="1">VLOOKUP($A7,marge,4,0)</f>
        <v>30</v>
      </c>
      <c r="D7" s="38">
        <f>VLOOKUP($A7,marge,5,0)</f>
        <v>0</v>
      </c>
      <c r="E7" s="4">
        <f t="shared" ref="E7" si="2">VLOOKUP($A7,marge,8,0)</f>
        <v>0.1</v>
      </c>
      <c r="F7" s="41">
        <f>VLOOKUP($A7,marge,9,0)*(1-VLOOKUP($A7,marge,10,0))</f>
        <v>3.145</v>
      </c>
      <c r="G7" s="41">
        <f t="shared" ref="G7" si="3">VLOOKUP($A7,marge,14,0)</f>
        <v>0</v>
      </c>
      <c r="H7" s="43">
        <f t="shared" ref="H7" si="4">VLOOKUP($A7,marge,12,0)</f>
        <v>0.72138065003964291</v>
      </c>
      <c r="I7" s="47">
        <f>IF(Tableau2[UG]=0,Tableau2[PA remise
HT],(Tableau2[PA remise
HT]*Tableau2[Qté
cdée])/(Tableau2[Qté
cdée]+Tableau2[UG]))</f>
        <v>3.145</v>
      </c>
      <c r="J7" s="41">
        <f>IF(Tableau2[CIP]="","",Tableau2[PA remise
HT]*Tableau2[Qté
cdée])</f>
        <v>94.35</v>
      </c>
      <c r="K7" s="41">
        <f>IF(Tableau2[UG]=0,0,Tableau2[Colonne1]*Tableau2[UG])</f>
        <v>0</v>
      </c>
      <c r="L7" s="41">
        <f>IF(Tableau2[[#This Row],[UG]]=0,Tableau2[Total HT
facturé],Tableau2[[#This Row],[Total HT
des UG]]+Tableau2[[#This Row],[Total HT
facturé]])</f>
        <v>94.35</v>
      </c>
    </row>
    <row r="8" spans="1:12" x14ac:dyDescent="0.2">
      <c r="D8" s="45"/>
    </row>
    <row r="9" spans="1:12" x14ac:dyDescent="0.2">
      <c r="D9" s="45"/>
    </row>
    <row r="10" spans="1:12" x14ac:dyDescent="0.2">
      <c r="D10" s="45"/>
    </row>
    <row r="11" spans="1:12" x14ac:dyDescent="0.2">
      <c r="D11" s="45"/>
    </row>
    <row r="12" spans="1:12" x14ac:dyDescent="0.2">
      <c r="D12" s="45"/>
    </row>
    <row r="13" spans="1:12" x14ac:dyDescent="0.2">
      <c r="D13" s="45"/>
    </row>
    <row r="14" spans="1:12" x14ac:dyDescent="0.2">
      <c r="D14" s="45"/>
    </row>
    <row r="15" spans="1:12" x14ac:dyDescent="0.2">
      <c r="D15" s="45"/>
    </row>
    <row r="16" spans="1:12" x14ac:dyDescent="0.2">
      <c r="D16" s="45"/>
    </row>
    <row r="17" spans="4:4" x14ac:dyDescent="0.2">
      <c r="D17" s="45"/>
    </row>
    <row r="18" spans="4:4" x14ac:dyDescent="0.2">
      <c r="D18" s="45"/>
    </row>
    <row r="19" spans="4:4" x14ac:dyDescent="0.2">
      <c r="D19" s="45"/>
    </row>
    <row r="20" spans="4:4" x14ac:dyDescent="0.2">
      <c r="D20" s="45"/>
    </row>
    <row r="21" spans="4:4" x14ac:dyDescent="0.2">
      <c r="D21" s="45"/>
    </row>
    <row r="22" spans="4:4" x14ac:dyDescent="0.2">
      <c r="D22" s="45"/>
    </row>
    <row r="23" spans="4:4" x14ac:dyDescent="0.2">
      <c r="D23" s="45"/>
    </row>
    <row r="24" spans="4:4" x14ac:dyDescent="0.2">
      <c r="D24" s="45"/>
    </row>
    <row r="25" spans="4:4" x14ac:dyDescent="0.2">
      <c r="D25" s="45"/>
    </row>
    <row r="26" spans="4:4" x14ac:dyDescent="0.2">
      <c r="D26" s="45"/>
    </row>
    <row r="27" spans="4:4" x14ac:dyDescent="0.2">
      <c r="D27" s="45"/>
    </row>
    <row r="28" spans="4:4" x14ac:dyDescent="0.2">
      <c r="D28" s="45"/>
    </row>
    <row r="29" spans="4:4" x14ac:dyDescent="0.2">
      <c r="D29" s="45"/>
    </row>
    <row r="30" spans="4:4" x14ac:dyDescent="0.2">
      <c r="D30" s="45"/>
    </row>
    <row r="31" spans="4:4" x14ac:dyDescent="0.2">
      <c r="D31" s="45"/>
    </row>
    <row r="32" spans="4:4" x14ac:dyDescent="0.2">
      <c r="D32" s="45"/>
    </row>
    <row r="33" spans="4:4" x14ac:dyDescent="0.2">
      <c r="D33" s="45"/>
    </row>
    <row r="34" spans="4:4" x14ac:dyDescent="0.2">
      <c r="D34" s="45"/>
    </row>
    <row r="35" spans="4:4" x14ac:dyDescent="0.2">
      <c r="D35" s="45"/>
    </row>
    <row r="36" spans="4:4" x14ac:dyDescent="0.2">
      <c r="D36" s="45"/>
    </row>
    <row r="37" spans="4:4" x14ac:dyDescent="0.2">
      <c r="D37" s="45"/>
    </row>
    <row r="38" spans="4:4" x14ac:dyDescent="0.2">
      <c r="D38" s="45"/>
    </row>
    <row r="39" spans="4:4" x14ac:dyDescent="0.2">
      <c r="D39" s="45"/>
    </row>
    <row r="40" spans="4:4" x14ac:dyDescent="0.2">
      <c r="D40" s="45"/>
    </row>
    <row r="41" spans="4:4" x14ac:dyDescent="0.2">
      <c r="D41" s="45"/>
    </row>
    <row r="42" spans="4:4" x14ac:dyDescent="0.2">
      <c r="D42" s="4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3</vt:i4>
      </vt:variant>
    </vt:vector>
  </HeadingPairs>
  <TitlesOfParts>
    <vt:vector size="6" baseType="lpstr">
      <vt:lpstr>base</vt:lpstr>
      <vt:lpstr>marge</vt:lpstr>
      <vt:lpstr>calcul avec UG</vt:lpstr>
      <vt:lpstr>base</vt:lpstr>
      <vt:lpstr>marge</vt:lpstr>
      <vt:lpstr>RDB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BSA</cp:lastModifiedBy>
  <cp:lastPrinted>2018-01-10T17:48:18Z</cp:lastPrinted>
  <dcterms:created xsi:type="dcterms:W3CDTF">2017-12-23T10:20:32Z</dcterms:created>
  <dcterms:modified xsi:type="dcterms:W3CDTF">2025-01-31T10:05:08Z</dcterms:modified>
</cp:coreProperties>
</file>