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filterPrivacy="1" codeName="ThisWorkbook" defaultThemeVersion="166925"/>
  <xr:revisionPtr revIDLastSave="0" documentId="13_ncr:1_{9608800D-1359-411B-A514-8F495976F60A}" xr6:coauthVersionLast="47" xr6:coauthVersionMax="47" xr10:uidLastSave="{00000000-0000-0000-0000-000000000000}"/>
  <bookViews>
    <workbookView xWindow="-120" yWindow="-120" windowWidth="29040" windowHeight="15990" activeTab="1" xr2:uid="{52737E7E-4F03-488A-B13C-73473D57A3DA}"/>
  </bookViews>
  <sheets>
    <sheet name="OPTI 46PI" sheetId="1" r:id="rId1"/>
    <sheet name="Solveur" sheetId="2" r:id="rId2"/>
  </sheets>
  <externalReferences>
    <externalReference r:id="rId3"/>
  </externalReferences>
  <definedNames>
    <definedName name="_xlpm.x" hidden="1" xlm="1">#NAME?</definedName>
    <definedName name="Coupe">Solveur!$C$3</definedName>
    <definedName name="Début_Projet">[1]RETROPLANNING!$E$2</definedName>
    <definedName name="Factor">Solveur!$B$6</definedName>
    <definedName name="longueur">Solveur!$D$1</definedName>
    <definedName name="reste">Solveur!$D$6</definedName>
    <definedName name="sciage">Solveur!$D$5</definedName>
    <definedName name="Semaine_Affichage">[1]RETROPLANNING!$E$3</definedName>
    <definedName name="solver_adj" localSheetId="0" hidden="1">'OPTI 46PI'!#REF!</definedName>
    <definedName name="solver_adj" localSheetId="1" hidden="1">Solveur!$D$8:$D$13</definedName>
    <definedName name="solver_cvg" localSheetId="0" hidden="1">0.0001</definedName>
    <definedName name="solver_cvg" localSheetId="1" hidden="1">0.0001</definedName>
    <definedName name="solver_drv" localSheetId="0" hidden="1">2</definedName>
    <definedName name="solver_drv" localSheetId="1" hidden="1">2</definedName>
    <definedName name="solver_eng" localSheetId="0" hidden="1">2</definedName>
    <definedName name="solver_eng" localSheetId="1" hidden="1">2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'OPTI 46PI'!#REF!</definedName>
    <definedName name="solver_lhs1" localSheetId="1" hidden="1">Solveur!$A$8:$A$13</definedName>
    <definedName name="solver_lhs2" localSheetId="0" hidden="1">'OPTI 46PI'!#REF!</definedName>
    <definedName name="solver_lhs2" localSheetId="1" hidden="1">Solveur!$D$6</definedName>
    <definedName name="solver_lhs3" localSheetId="0" hidden="1">'OPTI 46PI'!#REF!</definedName>
    <definedName name="solver_lhs3" localSheetId="1" hidden="1">Solveur!$D$8:$D$13</definedName>
    <definedName name="solver_lhs4" localSheetId="0" hidden="1">'OPTI 46PI'!#REF!</definedName>
    <definedName name="solver_lhs4" localSheetId="1" hidden="1">Solveur!$D$8:$D$13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4</definedName>
    <definedName name="solver_num" localSheetId="1" hidden="1">4</definedName>
    <definedName name="solver_nwt" localSheetId="0" hidden="1">1</definedName>
    <definedName name="solver_nwt" localSheetId="1" hidden="1">1</definedName>
    <definedName name="solver_opt" localSheetId="0" hidden="1">'OPTI 46PI'!#REF!</definedName>
    <definedName name="solver_opt" localSheetId="1" hidden="1">Solveur!$D$6</definedName>
    <definedName name="solver_pre" localSheetId="0" hidden="1">0.000001</definedName>
    <definedName name="solver_pre" localSheetId="1" hidden="1">0.000001</definedName>
    <definedName name="solver_rbv" localSheetId="0" hidden="1">2</definedName>
    <definedName name="solver_rbv" localSheetId="1" hidden="1">2</definedName>
    <definedName name="solver_rel1" localSheetId="0" hidden="1">1</definedName>
    <definedName name="solver_rel1" localSheetId="1" hidden="1">1</definedName>
    <definedName name="solver_rel2" localSheetId="0" hidden="1">3</definedName>
    <definedName name="solver_rel2" localSheetId="1" hidden="1">3</definedName>
    <definedName name="solver_rel3" localSheetId="0" hidden="1">1</definedName>
    <definedName name="solver_rel3" localSheetId="1" hidden="1">1</definedName>
    <definedName name="solver_rel4" localSheetId="0" hidden="1">4</definedName>
    <definedName name="solver_rel4" localSheetId="1" hidden="1">4</definedName>
    <definedName name="solver_rhs1" localSheetId="0" hidden="1">'OPTI 46PI'!#REF!</definedName>
    <definedName name="solver_rhs1" localSheetId="1" hidden="1">Solveur!$D$8:$D$13</definedName>
    <definedName name="solver_rhs2" localSheetId="0" hidden="1">0</definedName>
    <definedName name="solver_rhs2" localSheetId="1" hidden="1">0</definedName>
    <definedName name="solver_rhs3" localSheetId="0" hidden="1">'OPTI 46PI'!#REF!</definedName>
    <definedName name="solver_rhs3" localSheetId="1" hidden="1">Solveur!$B$8:$B$13</definedName>
    <definedName name="solver_rhs4" localSheetId="0" hidden="1">"geheeltallig"</definedName>
    <definedName name="solver_rhs4" localSheetId="1" hidden="1">"geheeltallig"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  <definedName name="Type">Solveur!$A$2</definedName>
    <definedName name="utile">Solveur!$D$4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 a="1"/>
  <c r="B6" i="2" s="1"/>
  <c r="O6" i="2"/>
  <c r="G3" i="2" s="1"/>
  <c r="P6" i="2"/>
  <c r="G4" i="2" s="1"/>
  <c r="N6" i="2"/>
  <c r="G5" i="2" s="1"/>
  <c r="D4" i="2"/>
  <c r="D5" i="2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M6" i="2"/>
  <c r="D6" i="2"/>
  <c r="C3" i="2" a="1"/>
  <c r="C3" i="2" s="1"/>
  <c r="A6" i="2"/>
  <c r="H6" i="1"/>
  <c r="H4" i="1"/>
  <c r="H10" i="1"/>
  <c r="H3" i="1"/>
  <c r="H5" i="1"/>
  <c r="H9" i="1"/>
  <c r="H7" i="1"/>
  <c r="H2" i="1"/>
  <c r="H11" i="1"/>
  <c r="H12" i="1"/>
  <c r="H8" i="1"/>
  <c r="H18" i="1"/>
  <c r="H14" i="1"/>
  <c r="H17" i="1"/>
  <c r="H13" i="1"/>
  <c r="H16" i="1"/>
  <c r="H15" i="1"/>
  <c r="J15" i="1"/>
  <c r="J16" i="1"/>
  <c r="J13" i="1"/>
  <c r="J17" i="1"/>
  <c r="J14" i="1"/>
  <c r="J18" i="1"/>
  <c r="J8" i="1"/>
  <c r="J12" i="1"/>
  <c r="J11" i="1"/>
  <c r="J2" i="1"/>
  <c r="J7" i="1"/>
  <c r="J9" i="1"/>
  <c r="J5" i="1"/>
  <c r="J3" i="1"/>
  <c r="J10" i="1"/>
  <c r="J4" i="1"/>
  <c r="J6" i="1"/>
  <c r="A10" i="2" l="1"/>
  <c r="A12" i="2"/>
  <c r="A9" i="2"/>
  <c r="A13" i="2"/>
  <c r="A11" i="2"/>
  <c r="G2" i="2"/>
  <c r="H2" i="2" s="1"/>
  <c r="Q6" i="2"/>
  <c r="A8" i="2"/>
  <c r="J20" i="1"/>
  <c r="K6" i="1"/>
  <c r="N6" i="1" s="1"/>
  <c r="K5" i="1"/>
  <c r="N5" i="1" s="1"/>
  <c r="K11" i="1"/>
  <c r="L11" i="1" s="1"/>
  <c r="K14" i="1"/>
  <c r="N14" i="1" s="1"/>
  <c r="K15" i="1"/>
  <c r="N15" i="1" s="1"/>
  <c r="K4" i="1"/>
  <c r="L4" i="1" s="1"/>
  <c r="K9" i="1"/>
  <c r="L9" i="1" s="1"/>
  <c r="K12" i="1"/>
  <c r="N12" i="1" s="1"/>
  <c r="K17" i="1"/>
  <c r="L17" i="1" s="1"/>
  <c r="K3" i="1"/>
  <c r="L3" i="1" s="1"/>
  <c r="K16" i="1"/>
  <c r="L16" i="1" s="1"/>
  <c r="K8" i="1"/>
  <c r="L8" i="1" s="1"/>
  <c r="K7" i="1"/>
  <c r="N7" i="1" s="1"/>
  <c r="K2" i="1"/>
  <c r="N2" i="1" s="1"/>
  <c r="K18" i="1"/>
  <c r="N18" i="1" s="1"/>
  <c r="K13" i="1"/>
  <c r="L13" i="1" s="1"/>
  <c r="K10" i="1"/>
  <c r="N10" i="1" s="1"/>
  <c r="N3" i="1"/>
  <c r="L15" i="1" l="1"/>
  <c r="H4" i="2"/>
  <c r="H3" i="2"/>
  <c r="H5" i="2"/>
  <c r="L14" i="1"/>
  <c r="L6" i="1"/>
  <c r="N4" i="1"/>
  <c r="L5" i="1"/>
  <c r="N16" i="1"/>
  <c r="N11" i="1"/>
  <c r="L18" i="1"/>
  <c r="N9" i="1"/>
  <c r="L2" i="1"/>
  <c r="N17" i="1"/>
  <c r="L12" i="1"/>
  <c r="L10" i="1"/>
  <c r="N8" i="1"/>
  <c r="L7" i="1"/>
  <c r="N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<sst xmlns="http://schemas.openxmlformats.org/spreadsheetml/2006/main" count="182" uniqueCount="101">
  <si>
    <t>NUANCE</t>
  </si>
  <si>
    <t>DIAMETRE</t>
  </si>
  <si>
    <t>DALLE</t>
  </si>
  <si>
    <t>Nb barre</t>
  </si>
  <si>
    <t>L</t>
  </si>
  <si>
    <t>LTOT</t>
  </si>
  <si>
    <t>Pliage ?</t>
  </si>
  <si>
    <t>Nombre de barres d'usine nécessaires</t>
  </si>
  <si>
    <t>Longueur perdue</t>
  </si>
  <si>
    <t>Pourcentage de perte initial</t>
  </si>
  <si>
    <t>Longueur réutilisée</t>
  </si>
  <si>
    <t xml:space="preserve">Pourcentage de perte optimisé </t>
  </si>
  <si>
    <t>Utilisation de la perte</t>
  </si>
  <si>
    <t>400W</t>
  </si>
  <si>
    <t>15M</t>
  </si>
  <si>
    <t>D1-D</t>
  </si>
  <si>
    <t>NON</t>
  </si>
  <si>
    <t xml:space="preserve">5 barres de 400, </t>
  </si>
  <si>
    <t xml:space="preserve">1 barres de 410, </t>
  </si>
  <si>
    <t xml:space="preserve">9 barres de 411, </t>
  </si>
  <si>
    <t>10M</t>
  </si>
  <si>
    <t>OUI</t>
  </si>
  <si>
    <t xml:space="preserve">14 barres de 412, </t>
  </si>
  <si>
    <t xml:space="preserve">1 barres de 413, </t>
  </si>
  <si>
    <t xml:space="preserve">14 barres de 414, </t>
  </si>
  <si>
    <t xml:space="preserve">5 barres de 430, </t>
  </si>
  <si>
    <t xml:space="preserve">6 barres de 440, </t>
  </si>
  <si>
    <t xml:space="preserve">9 barres de 450, </t>
  </si>
  <si>
    <t>20M</t>
  </si>
  <si>
    <t xml:space="preserve">7 barres de 480, </t>
  </si>
  <si>
    <t xml:space="preserve">4 barres de 481, </t>
  </si>
  <si>
    <t>500W</t>
  </si>
  <si>
    <t xml:space="preserve">3 barres de 501, </t>
  </si>
  <si>
    <t>Aucune perte réutilisée</t>
  </si>
  <si>
    <t xml:space="preserve">3 barres de 504, </t>
  </si>
  <si>
    <t xml:space="preserve">1 barres de 552, </t>
  </si>
  <si>
    <t xml:space="preserve">1 barres de 554, </t>
  </si>
  <si>
    <t>ID_BARRES</t>
  </si>
  <si>
    <t>Lmax</t>
  </si>
  <si>
    <t>nombre</t>
  </si>
  <si>
    <t>min</t>
  </si>
  <si>
    <t>solution</t>
  </si>
  <si>
    <t>coupe</t>
  </si>
  <si>
    <t>1x4230, 2x1218, 2x760, 6x644, 3x637</t>
  </si>
  <si>
    <t>1x4230, 8x1218</t>
  </si>
  <si>
    <t>2x4230, 1x3610, 3x637</t>
  </si>
  <si>
    <t>2x4230, 1x1860, 3x1218</t>
  </si>
  <si>
    <t>1x4230, 3x2000, 2x1860</t>
  </si>
  <si>
    <t>2x4230, 1x3610, 1x1860</t>
  </si>
  <si>
    <t>1x4230, 1x2000, 4x1860</t>
  </si>
  <si>
    <t>1x4230, 5x1860</t>
  </si>
  <si>
    <t>3x4230</t>
  </si>
  <si>
    <t>2x4230, 2x1860</t>
  </si>
  <si>
    <t>sciage</t>
  </si>
  <si>
    <t>perte</t>
  </si>
  <si>
    <t>total</t>
  </si>
  <si>
    <t>perte sciage</t>
  </si>
  <si>
    <t>perte reste</t>
  </si>
  <si>
    <t>utilisé</t>
  </si>
  <si>
    <t>concat</t>
  </si>
  <si>
    <t>Type</t>
  </si>
  <si>
    <t>longueur</t>
  </si>
  <si>
    <t>reste</t>
  </si>
  <si>
    <t>Utile</t>
  </si>
  <si>
    <t>utile</t>
  </si>
  <si>
    <t>400W|10M|D1-D</t>
  </si>
  <si>
    <t>2x1000, 13x919</t>
  </si>
  <si>
    <t>6x1000, 3x919</t>
  </si>
  <si>
    <t>400W|15M|D1-D</t>
  </si>
  <si>
    <t>400W|20M|D1-D</t>
  </si>
  <si>
    <t>12x1093</t>
  </si>
  <si>
    <t>6x1093</t>
  </si>
  <si>
    <t>500W|20M|D1-D</t>
  </si>
  <si>
    <t>1x9461, 1x3886</t>
  </si>
  <si>
    <t>1x9461, 1x3517</t>
  </si>
  <si>
    <t>1x9461</t>
  </si>
  <si>
    <t>1x9454</t>
  </si>
  <si>
    <t>2x5230</t>
  </si>
  <si>
    <t>2x4816</t>
  </si>
  <si>
    <t>pourc</t>
  </si>
  <si>
    <t>scier à</t>
  </si>
  <si>
    <t>|1.000|2.003|2.925|3.847|4.769|5.691|6.613|7.535|8.457|9.379|10.301|11.223|12.145|13.067|13.989</t>
  </si>
  <si>
    <t>|1.000|2.003|3.006|4.009|5.012|6.015|6.937|7.859|8.781</t>
  </si>
  <si>
    <t>|4.230|5.451|6.672|7.435|8.198|8.845|9.492|10.139|10.786|11.433|12.080|12.720|13.360|14.000</t>
  </si>
  <si>
    <t>|4.230|5.451|6.672|7.893|9.114|10.335|11.556|12.777|13.998</t>
  </si>
  <si>
    <t>|4.230|8.463|12.076|12.716|13.356|13.996</t>
  </si>
  <si>
    <t>|4.230|8.463|10.326|11.547|12.768|13.989</t>
  </si>
  <si>
    <t>|4.230|6.233|8.236|10.239|12.102|13.965</t>
  </si>
  <si>
    <t>|4.230|8.463|12.076|13.939</t>
  </si>
  <si>
    <t>|4.230|6.233|8.096|9.959|11.822|13.685</t>
  </si>
  <si>
    <t>|4.230|6.093|7.956|9.819|11.682|13.545</t>
  </si>
  <si>
    <t>|4.230|8.463|12.696</t>
  </si>
  <si>
    <t>|4.230|8.463|10.326|12.189</t>
  </si>
  <si>
    <t>|1.093|2.189|3.285|4.381|5.477|6.573|7.669|8.765|9.861|10.957|12.053|13.149</t>
  </si>
  <si>
    <t>|1.093|2.189|3.285|4.381|5.477|6.573</t>
  </si>
  <si>
    <t>|9.461|13.350</t>
  </si>
  <si>
    <t>|9.461|12.981</t>
  </si>
  <si>
    <t>|9.461</t>
  </si>
  <si>
    <t>|9.454</t>
  </si>
  <si>
    <t>|5.230|10.463</t>
  </si>
  <si>
    <t>|4.816|9.635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</si>
</sst>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;;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0" fillId="0" borderId="0" xfId="0" applyNumberFormat="1"/>
    <xf numFmtId="0" fontId="6" fillId="2" borderId="6" xfId="0" applyFont="1" applyFill="1" applyBorder="1"/>
    <xf numFmtId="3" fontId="6" fillId="2" borderId="7" xfId="0" applyNumberFormat="1" applyFont="1" applyFill="1" applyBorder="1"/>
    <xf numFmtId="9" fontId="6" fillId="2" borderId="8" xfId="1" applyFont="1" applyFill="1" applyBorder="1"/>
    <xf numFmtId="0" fontId="6" fillId="2" borderId="9" xfId="0" applyFont="1" applyFill="1" applyBorder="1"/>
    <xf numFmtId="3" fontId="6" fillId="2" borderId="0" xfId="0" applyNumberFormat="1" applyFont="1" applyFill="1"/>
    <xf numFmtId="164" fontId="6" fillId="2" borderId="10" xfId="1" applyNumberFormat="1" applyFont="1" applyFill="1" applyBorder="1"/>
    <xf numFmtId="0" fontId="6" fillId="2" borderId="11" xfId="0" applyFont="1" applyFill="1" applyBorder="1"/>
    <xf numFmtId="3" fontId="6" fillId="2" borderId="12" xfId="0" applyNumberFormat="1" applyFont="1" applyFill="1" applyBorder="1"/>
    <xf numFmtId="164" fontId="6" fillId="2" borderId="13" xfId="1" applyNumberFormat="1" applyFont="1" applyFill="1" applyBorder="1"/>
    <xf numFmtId="0" fontId="2" fillId="0" borderId="0" xfId="0" applyFont="1"/>
    <xf numFmtId="0" fontId="2" fillId="0" borderId="0" xfId="0" applyFont="1" applyAlignment="1">
      <alignment shrinkToFit="1"/>
    </xf>
    <xf numFmtId="0" fontId="0" fillId="0" borderId="0" xfId="0" applyFont="1"/>
    <xf numFmtId="165" fontId="0" fillId="0" borderId="0" xfId="0" applyNumberFormat="1" applyFont="1" applyFill="1"/>
    <xf numFmtId="1" fontId="0" fillId="0" borderId="2" xfId="0" applyNumberFormat="1" applyFont="1" applyFill="1" applyBorder="1" applyAlignment="1">
      <alignment horizontal="center" vertical="center"/>
    </xf>
    <xf numFmtId="0" fontId="0" fillId="3" borderId="0" xfId="0" applyFill="1"/>
    <xf numFmtId="1" fontId="2" fillId="0" borderId="0" xfId="0" applyNumberFormat="1" applyFont="1"/>
    <xf numFmtId="0" fontId="2" fillId="0" borderId="0" xfId="0" applyFont="1" applyFill="1" applyAlignment="1"/>
    <xf numFmtId="0" fontId="0" fillId="0" borderId="0" xfId="0" applyNumberFormat="1"/>
    <xf numFmtId="0" fontId="0" fillId="0" borderId="14" xfId="0" applyFont="1" applyBorder="1" applyAlignment="1">
      <alignment horizontal="center" vertical="center"/>
    </xf>
    <xf numFmtId="0" fontId="0" fillId="0" borderId="0" xfId="0" applyNumberFormat="1" applyBorder="1"/>
    <xf numFmtId="0" fontId="0" fillId="0" borderId="15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NumberFormat="1" applyFont="1" applyFill="1" applyAlignment="1"/>
    <xf numFmtId="3" fontId="0" fillId="0" borderId="0" xfId="0" applyNumberFormat="1"/>
    <xf numFmtId="164" fontId="0" fillId="0" borderId="0" xfId="0" applyNumberFormat="1" applyFont="1" applyFill="1"/>
    <xf numFmtId="164" fontId="0" fillId="0" borderId="0" xfId="1" applyNumberFormat="1" applyFont="1"/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3" fontId="0" fillId="0" borderId="0" xfId="0" applyNumberFormat="1" applyFont="1"/>
    <xf numFmtId="3" fontId="0" fillId="0" borderId="0" xfId="0" applyNumberFormat="1" applyFont="1" applyFill="1" applyAlignment="1"/>
  </cellXfs>
  <cellStyles count="2">
    <cellStyle name="Procent" xfId="1" builtinId="5"/>
    <cellStyle name="Standaard" xfId="0" builtinId="0"/>
  </cellStyles>
  <dxfs count="36"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fill>
        <patternFill>
          <bgColor theme="0" tint="-4.9989318521683403E-2"/>
        </patternFill>
      </fill>
    </dxf>
    <dxf>
      <border>
        <top style="thin">
          <color rgb="FFFF0000"/>
        </top>
        <vertical/>
        <horizontal/>
      </border>
    </dxf>
    <dxf>
      <fill>
        <patternFill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;;;@"/>
      <fill>
        <patternFill patternType="none">
          <bgColor auto="1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font>
        <i/>
      </font>
      <numFmt numFmtId="35" formatCode="_-* #,##0.00_-;\-* #,##0.0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561975</xdr:colOff>
      <xdr:row>1</xdr:row>
      <xdr:rowOff>9525</xdr:rowOff>
    </xdr:from>
    <xdr:to>
      <xdr:col>10</xdr:col>
      <xdr:colOff>426555</xdr:colOff>
      <xdr:row>3</xdr:row>
      <xdr:rowOff>66675</xdr:rowOff>
    </xdr:to>
    <xdr:sp macro="[0]!Solveu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14D2989-2456-D4C9-860F-55A6A422C421}"/>
            </a:ext>
          </a:extLst>
        </xdr:cNvPr>
        <xdr:cNvSpPr/>
      </xdr:nvSpPr>
      <xdr:spPr>
        <a:xfrm>
          <a:off x="6210300" y="209550"/>
          <a:ext cx="1514475" cy="6000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ctr"/>
          <a:r>
            <a:rPr lang="nl-BE" sz="2800"/>
            <a:t>Solveur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dbtechno0-my.sharepoint.com/personal/l_niedermeyer_cdbtechno_com/Documents/LOGIGRAMME.xlsx" TargetMode="External"/><Relationship Id="rId1" Type="http://schemas.openxmlformats.org/officeDocument/2006/relationships/externalLinkPath" Target="https://cdbtechno0.sharepoint.com/sites/piatdp/Shared%20Documents/10-%20Temp/LNI%20-%20Lisa%20NIEDERMEYER/LOGIGRAM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GRAMME"/>
      <sheetName val="RETROPLANNING"/>
      <sheetName val="Rendement"/>
    </sheetNames>
    <sheetDataSet>
      <sheetData sheetId="0"/>
      <sheetData sheetId="1">
        <row r="2">
          <cell r="E2">
            <v>45615</v>
          </cell>
        </row>
        <row r="3">
          <cell r="E3">
            <v>1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1D0C11-1B88-40DF-8CFB-F43BB7CD2311}" name="Table1" displayName="Table1" ref="A1:O18" totalsRowShown="0" headerRowDxfId="35" headerRowBorderDxfId="34" tableBorderDxfId="33">
  <autoFilter ref="A1:O18" xr:uid="{CA1D0C11-1B88-40DF-8CFB-F43BB7CD2311}">
    <filterColumn colId="0">
      <filters>
        <filter val="500W|20M|D1-D"/>
      </filters>
    </filterColumn>
  </autoFilter>
  <sortState xmlns:xlrd2="http://schemas.microsoft.com/office/spreadsheetml/2017/richdata2" ref="A2:O18">
    <sortCondition ref="E2:E18"/>
    <sortCondition ref="C2:C18"/>
    <sortCondition ref="D2:D18"/>
    <sortCondition descending="1" ref="G2:G18"/>
  </sortState>
  <tableColumns count="15">
    <tableColumn id="15" xr3:uid="{517E51D2-7C3B-4204-9ED3-E0AFF02BEFEF}" name="concat" dataDxfId="13">
      <calculatedColumnFormula>_xlfn.TEXTJOIN("|",0,Table1[[#This Row],[NUANCE]:[DALLE]])</calculatedColumnFormula>
    </tableColumn>
    <tableColumn id="1" xr3:uid="{ECC7A9F8-691F-48F7-8BB4-FDCEF7D750A1}" name="ID_BARRES" dataDxfId="32"/>
    <tableColumn id="2" xr3:uid="{7FC99B15-6565-48AA-A2D1-8BF1410E8AE2}" name="NUANCE" dataDxfId="31"/>
    <tableColumn id="3" xr3:uid="{F93043F2-A454-40FC-82D1-DC569ABC4356}" name="DIAMETRE" dataDxfId="30"/>
    <tableColumn id="4" xr3:uid="{7FBD919E-41C4-405D-8834-4C2D604FCBD1}" name="DALLE" dataDxfId="29"/>
    <tableColumn id="5" xr3:uid="{AB54BA65-98C7-4DAD-99D7-459643D19522}" name="Nb barre" dataDxfId="28"/>
    <tableColumn id="6" xr3:uid="{A080235E-0BB8-458E-AE72-A803F92B0C11}" name="L" dataDxfId="27"/>
    <tableColumn id="7" xr3:uid="{2057D02F-DB12-4AD8-AE6D-64B82F94DA0B}" name="LTOT" dataDxfId="26">
      <calculatedColumnFormula>Table1[[#This Row],[Nb barre]]*Table1[[#This Row],[L]]</calculatedColumnFormula>
    </tableColumn>
    <tableColumn id="8" xr3:uid="{1FF6114A-AFE1-44AB-ABF7-B50D7A4CA584}" name="Pliage ?" dataDxfId="25"/>
    <tableColumn id="9" xr3:uid="{8D14BC2C-846E-45BB-93CF-B719EE1444B7}" name="Nombre de barres d'usine nécessaires" dataDxfId="24">
      <calculatedColumnFormula>ROUNDUP(Table1[[#This Row],[Nb barre]]/ROUNDDOWN($R$1/Table1[[#This Row],[L]],0),0)</calculatedColumnFormula>
    </tableColumn>
    <tableColumn id="10" xr3:uid="{247E33D5-0C0F-4330-B9AD-B6D76FF825E4}" name="Longueur perdue" dataDxfId="23">
      <calculatedColumnFormula>Table1[[#This Row],[Nombre de barres d''usine nécessaires]]*$R$1-Table1[[#This Row],[LTOT]]</calculatedColumnFormula>
    </tableColumn>
    <tableColumn id="11" xr3:uid="{685332C2-068C-45A4-AED4-1C26118E6D89}" name="Pourcentage de perte initial" dataDxfId="22">
      <calculatedColumnFormula>Table1[[#This Row],[Longueur perdue]]/Table1[[#This Row],[LTOT]]</calculatedColumnFormula>
    </tableColumn>
    <tableColumn id="12" xr3:uid="{0945E808-ACF1-4189-AE5A-465FA9393D8F}" name="Longueur réutilisée" dataDxfId="21"/>
    <tableColumn id="13" xr3:uid="{AA141B2B-49F7-4DAE-930D-0B10308018D0}" name="Pourcentage de perte optimisé " dataDxfId="20">
      <calculatedColumnFormula>(Table1[[#This Row],[Longueur perdue]]-Table1[[#This Row],[Longueur réutilisée]])/Table1[[#This Row],[LTOT]]</calculatedColumnFormula>
    </tableColumn>
    <tableColumn id="14" xr3:uid="{46B544DF-3723-4F37-B54B-F574F8C91E60}" name="Utilisation de la pert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A2D412-98A1-4EC3-BCC8-3C5707A786D7}" name="Tabel2" displayName="Tabel2" ref="A7:D13" totalsRowShown="0">
  <autoFilter ref="A7:D13" xr:uid="{D2A2D412-98A1-4EC3-BCC8-3C5707A786D7}"/>
  <tableColumns count="4">
    <tableColumn id="1" xr3:uid="{D97A9D02-1EEF-422A-94B3-AA25B99C6B87}" name="min" dataDxfId="18">
      <calculatedColumnFormula>--($A$6=Tabel2[[#This Row],[longueur]])</calculatedColumnFormula>
    </tableColumn>
    <tableColumn id="2" xr3:uid="{24C37BE8-69A0-49B5-9C5B-C53825DFF266}" name="nombre" dataDxfId="17"/>
    <tableColumn id="3" xr3:uid="{0E6D4FBA-6531-40DA-A1FF-0B0989AE1C73}" name="longueur" dataDxfId="9"/>
    <tableColumn id="4" xr3:uid="{0B908EF4-0863-44AF-A5E9-028A54968C8D}" name="solu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3027AF-8E56-4AEE-AC71-B5402E412D2D}" name="Tabel3" displayName="Tabel3" ref="J7:Q27" totalsRowShown="0" headerRowDxfId="16" dataDxfId="15">
  <autoFilter ref="J7:Q27" xr:uid="{B93027AF-8E56-4AEE-AC71-B5402E412D2D}"/>
  <tableColumns count="8">
    <tableColumn id="13" xr3:uid="{EB30EA70-9C95-4DCB-A104-4156739BDD8D}" name="Type" dataDxfId="12"/>
    <tableColumn id="1" xr3:uid="{816BA4C8-2769-419C-8363-A866FE45C723}" name="coupe" dataDxfId="14"/>
    <tableColumn id="20" xr3:uid="{536162CF-CC26-494F-B7A9-419B4C194C19}" name="scier à" dataDxfId="7"/>
    <tableColumn id="2" xr3:uid="{F097ADEC-535E-4BAF-B588-0052B3918FFE}" name="nombre" dataDxfId="5"/>
    <tableColumn id="14" xr3:uid="{0F09942D-BB68-4FD9-AAE1-5A0D909CBC2B}" name="Utile" dataDxfId="8"/>
    <tableColumn id="11" xr3:uid="{0EBFBFCE-744C-4C45-A203-7A16612ECC2B}" name="sciage" dataDxfId="11"/>
    <tableColumn id="12" xr3:uid="{B69CCA2E-BFA7-43CE-8620-FE3D526125A5}" name="perte" dataDxfId="6"/>
    <tableColumn id="19" xr3:uid="{D0B9495E-A0C9-425E-8DC1-7A82E8809F6A}" name="pourc" dataDxfId="1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CFCA-8E6E-41D8-B910-9F22EF7980E7}">
  <sheetPr codeName="Feuil23"/>
  <dimension ref="A1:R25"/>
  <sheetViews>
    <sheetView showGridLines="0" zoomScale="90" zoomScaleNormal="90" workbookViewId="0">
      <selection activeCell="F10" sqref="F10"/>
    </sheetView>
  </sheetViews>
  <sheetFormatPr defaultColWidth="11.42578125" defaultRowHeight="15" x14ac:dyDescent="0.25"/>
  <cols>
    <col min="1" max="1" width="16.7109375" bestFit="1" customWidth="1"/>
    <col min="2" max="2" width="12.42578125" customWidth="1"/>
    <col min="4" max="4" width="11.85546875" customWidth="1"/>
    <col min="5" max="5" width="9.85546875" customWidth="1"/>
    <col min="10" max="10" width="36.140625" customWidth="1"/>
    <col min="11" max="11" width="18.28515625" customWidth="1"/>
    <col min="12" max="12" width="27.42578125" customWidth="1"/>
    <col min="13" max="13" width="20.140625" customWidth="1"/>
    <col min="14" max="14" width="30.85546875" customWidth="1"/>
    <col min="15" max="15" width="21.85546875" bestFit="1" customWidth="1"/>
  </cols>
  <sheetData>
    <row r="1" spans="1:18" s="1" customFormat="1" x14ac:dyDescent="0.25">
      <c r="A1" s="17" t="s">
        <v>59</v>
      </c>
      <c r="B1" s="12" t="s">
        <v>37</v>
      </c>
      <c r="C1" s="12" t="s">
        <v>0</v>
      </c>
      <c r="D1" s="12" t="s">
        <v>1</v>
      </c>
      <c r="E1" s="12" t="s">
        <v>2</v>
      </c>
      <c r="F1" s="13" t="s">
        <v>3</v>
      </c>
      <c r="G1" s="14" t="s">
        <v>4</v>
      </c>
      <c r="H1" s="14" t="s">
        <v>5</v>
      </c>
      <c r="I1" s="13" t="s">
        <v>6</v>
      </c>
      <c r="J1" s="15" t="s">
        <v>7</v>
      </c>
      <c r="K1" s="16" t="s">
        <v>8</v>
      </c>
      <c r="L1" s="16" t="s">
        <v>9</v>
      </c>
      <c r="M1" s="16" t="s">
        <v>10</v>
      </c>
      <c r="N1" s="15" t="s">
        <v>11</v>
      </c>
      <c r="O1" s="17" t="s">
        <v>12</v>
      </c>
      <c r="Q1" s="19" t="s">
        <v>38</v>
      </c>
      <c r="R1" s="19">
        <v>14000</v>
      </c>
    </row>
    <row r="2" spans="1:18" hidden="1" x14ac:dyDescent="0.25">
      <c r="A2" t="str">
        <f>_xlfn.TEXTJOIN("|",0,Table1[[#This Row],[NUANCE]:[DALLE]])</f>
        <v>400W|10M|D1-D</v>
      </c>
      <c r="B2" s="11">
        <v>440</v>
      </c>
      <c r="C2" s="2" t="s">
        <v>13</v>
      </c>
      <c r="D2" s="2" t="s">
        <v>20</v>
      </c>
      <c r="E2" s="2" t="s">
        <v>15</v>
      </c>
      <c r="F2" s="3">
        <v>8</v>
      </c>
      <c r="G2" s="4">
        <v>1000</v>
      </c>
      <c r="H2" s="4">
        <f>Table1[[#This Row],[Nb barre]]*Table1[[#This Row],[L]]</f>
        <v>8000</v>
      </c>
      <c r="I2" s="5" t="s">
        <v>16</v>
      </c>
      <c r="J2" s="4">
        <f>ROUNDUP(Table1[[#This Row],[Nb barre]]/ROUNDDOWN($R$1/Table1[[#This Row],[L]],0),0)</f>
        <v>1</v>
      </c>
      <c r="K2" s="6">
        <f>Table1[[#This Row],[Nombre de barres d''usine nécessaires]]*$R$1-Table1[[#This Row],[LTOT]]</f>
        <v>6000</v>
      </c>
      <c r="L2" s="7">
        <f>Table1[[#This Row],[Longueur perdue]]/Table1[[#This Row],[LTOT]]</f>
        <v>0.75</v>
      </c>
      <c r="M2" s="8">
        <v>0</v>
      </c>
      <c r="N2" s="9">
        <f>(Table1[[#This Row],[Longueur perdue]]-Table1[[#This Row],[Longueur réutilisée]])/Table1[[#This Row],[LTOT]]</f>
        <v>0.75</v>
      </c>
      <c r="O2" s="18" t="s">
        <v>26</v>
      </c>
    </row>
    <row r="3" spans="1:18" hidden="1" x14ac:dyDescent="0.25">
      <c r="A3" t="str">
        <f>_xlfn.TEXTJOIN("|",0,Table1[[#This Row],[NUANCE]:[DALLE]])</f>
        <v>400W|10M|D1-D</v>
      </c>
      <c r="B3" s="11">
        <v>412</v>
      </c>
      <c r="C3" s="2" t="s">
        <v>13</v>
      </c>
      <c r="D3" s="2" t="s">
        <v>20</v>
      </c>
      <c r="E3" s="2" t="s">
        <v>15</v>
      </c>
      <c r="F3" s="3">
        <v>16</v>
      </c>
      <c r="G3" s="4">
        <v>919</v>
      </c>
      <c r="H3" s="4">
        <f>Table1[[#This Row],[Nb barre]]*Table1[[#This Row],[L]]</f>
        <v>14704</v>
      </c>
      <c r="I3" s="5" t="s">
        <v>21</v>
      </c>
      <c r="J3" s="4">
        <f>ROUNDUP(Table1[[#This Row],[Nb barre]]/ROUNDDOWN($R$1/Table1[[#This Row],[L]],0),0)</f>
        <v>2</v>
      </c>
      <c r="K3" s="6">
        <f>Table1[[#This Row],[Nombre de barres d''usine nécessaires]]*$R$1-Table1[[#This Row],[LTOT]]</f>
        <v>13296</v>
      </c>
      <c r="L3" s="7">
        <f>Table1[[#This Row],[Longueur perdue]]/Table1[[#This Row],[LTOT]]</f>
        <v>0.90424374319912948</v>
      </c>
      <c r="M3" s="8">
        <v>0</v>
      </c>
      <c r="N3" s="9">
        <f>(Table1[[#This Row],[Longueur perdue]]-Table1[[#This Row],[Longueur réutilisée]])/Table1[[#This Row],[LTOT]]</f>
        <v>0.90424374319912948</v>
      </c>
      <c r="O3" s="18" t="s">
        <v>22</v>
      </c>
    </row>
    <row r="4" spans="1:18" hidden="1" x14ac:dyDescent="0.25">
      <c r="A4" t="str">
        <f>_xlfn.TEXTJOIN("|",0,Table1[[#This Row],[NUANCE]:[DALLE]])</f>
        <v>400W|15M|D1-D</v>
      </c>
      <c r="B4" s="11">
        <v>410</v>
      </c>
      <c r="C4" s="2" t="s">
        <v>13</v>
      </c>
      <c r="D4" s="2" t="s">
        <v>14</v>
      </c>
      <c r="E4" s="2" t="s">
        <v>15</v>
      </c>
      <c r="F4" s="3">
        <v>104</v>
      </c>
      <c r="G4" s="4">
        <v>4230</v>
      </c>
      <c r="H4" s="4">
        <f>Table1[[#This Row],[Nb barre]]*Table1[[#This Row],[L]]</f>
        <v>439920</v>
      </c>
      <c r="I4" s="5" t="s">
        <v>16</v>
      </c>
      <c r="J4" s="4">
        <f>ROUNDUP(Table1[[#This Row],[Nb barre]]/ROUNDDOWN($R$1/Table1[[#This Row],[L]],0),0)</f>
        <v>35</v>
      </c>
      <c r="K4" s="6">
        <f>Table1[[#This Row],[Nombre de barres d''usine nécessaires]]*$R$1-Table1[[#This Row],[LTOT]]</f>
        <v>50080</v>
      </c>
      <c r="L4" s="7">
        <f>Table1[[#This Row],[Longueur perdue]]/Table1[[#This Row],[LTOT]]</f>
        <v>0.11383887979632661</v>
      </c>
      <c r="M4" s="8">
        <v>0</v>
      </c>
      <c r="N4" s="9">
        <f>(Table1[[#This Row],[Longueur perdue]]-Table1[[#This Row],[Longueur réutilisée]])/Table1[[#This Row],[LTOT]]</f>
        <v>0.11383887979632661</v>
      </c>
      <c r="O4" s="18" t="s">
        <v>18</v>
      </c>
    </row>
    <row r="5" spans="1:18" hidden="1" x14ac:dyDescent="0.25">
      <c r="A5" t="str">
        <f>_xlfn.TEXTJOIN("|",0,Table1[[#This Row],[NUANCE]:[DALLE]])</f>
        <v>400W|15M|D1-D</v>
      </c>
      <c r="B5" s="11">
        <v>413</v>
      </c>
      <c r="C5" s="2" t="s">
        <v>13</v>
      </c>
      <c r="D5" s="2" t="s">
        <v>14</v>
      </c>
      <c r="E5" s="2" t="s">
        <v>15</v>
      </c>
      <c r="F5" s="3">
        <v>6</v>
      </c>
      <c r="G5" s="4">
        <v>3610</v>
      </c>
      <c r="H5" s="4">
        <f>Table1[[#This Row],[Nb barre]]*Table1[[#This Row],[L]]</f>
        <v>21660</v>
      </c>
      <c r="I5" s="5" t="s">
        <v>16</v>
      </c>
      <c r="J5" s="4">
        <f>ROUNDUP(Table1[[#This Row],[Nb barre]]/ROUNDDOWN($R$1/Table1[[#This Row],[L]],0),0)</f>
        <v>2</v>
      </c>
      <c r="K5" s="6">
        <f>Table1[[#This Row],[Nombre de barres d''usine nécessaires]]*$R$1-Table1[[#This Row],[LTOT]]</f>
        <v>6340</v>
      </c>
      <c r="L5" s="7">
        <f>Table1[[#This Row],[Longueur perdue]]/Table1[[#This Row],[LTOT]]</f>
        <v>0.29270544783010155</v>
      </c>
      <c r="M5" s="8">
        <v>0</v>
      </c>
      <c r="N5" s="9">
        <f>(Table1[[#This Row],[Longueur perdue]]-Table1[[#This Row],[Longueur réutilisée]])/Table1[[#This Row],[LTOT]]</f>
        <v>0.29270544783010155</v>
      </c>
      <c r="O5" s="18" t="s">
        <v>23</v>
      </c>
    </row>
    <row r="6" spans="1:18" hidden="1" x14ac:dyDescent="0.25">
      <c r="A6" t="str">
        <f>_xlfn.TEXTJOIN("|",0,Table1[[#This Row],[NUANCE]:[DALLE]])</f>
        <v>400W|15M|D1-D</v>
      </c>
      <c r="B6" s="11">
        <v>400</v>
      </c>
      <c r="C6" s="2" t="s">
        <v>13</v>
      </c>
      <c r="D6" s="2" t="s">
        <v>14</v>
      </c>
      <c r="E6" s="2" t="s">
        <v>15</v>
      </c>
      <c r="F6" s="3">
        <v>16</v>
      </c>
      <c r="G6" s="4">
        <v>2000</v>
      </c>
      <c r="H6" s="4">
        <f>Table1[[#This Row],[Nb barre]]*Table1[[#This Row],[L]]</f>
        <v>32000</v>
      </c>
      <c r="I6" s="5" t="s">
        <v>16</v>
      </c>
      <c r="J6" s="4">
        <f>ROUNDUP(Table1[[#This Row],[Nb barre]]/ROUNDDOWN($R$1/Table1[[#This Row],[L]],0),0)</f>
        <v>3</v>
      </c>
      <c r="K6" s="6">
        <f>Table1[[#This Row],[Nombre de barres d''usine nécessaires]]*$R$1-Table1[[#This Row],[LTOT]]</f>
        <v>10000</v>
      </c>
      <c r="L6" s="7">
        <f>Table1[[#This Row],[Longueur perdue]]/Table1[[#This Row],[LTOT]]</f>
        <v>0.3125</v>
      </c>
      <c r="M6" s="8">
        <v>0</v>
      </c>
      <c r="N6" s="9">
        <f>(Table1[[#This Row],[Longueur perdue]]-Table1[[#This Row],[Longueur réutilisée]])/Table1[[#This Row],[LTOT]]</f>
        <v>0.3125</v>
      </c>
      <c r="O6" s="18" t="s">
        <v>17</v>
      </c>
    </row>
    <row r="7" spans="1:18" hidden="1" x14ac:dyDescent="0.25">
      <c r="A7" t="str">
        <f>_xlfn.TEXTJOIN("|",0,Table1[[#This Row],[NUANCE]:[DALLE]])</f>
        <v>400W|15M|D1-D</v>
      </c>
      <c r="B7" s="11">
        <v>430</v>
      </c>
      <c r="C7" s="2" t="s">
        <v>13</v>
      </c>
      <c r="D7" s="2" t="s">
        <v>14</v>
      </c>
      <c r="E7" s="2" t="s">
        <v>15</v>
      </c>
      <c r="F7" s="3">
        <v>32</v>
      </c>
      <c r="G7" s="4">
        <v>1860</v>
      </c>
      <c r="H7" s="4">
        <f>Table1[[#This Row],[Nb barre]]*Table1[[#This Row],[L]]</f>
        <v>59520</v>
      </c>
      <c r="I7" s="5" t="s">
        <v>21</v>
      </c>
      <c r="J7" s="4">
        <f>ROUNDUP(Table1[[#This Row],[Nb barre]]/ROUNDDOWN($R$1/Table1[[#This Row],[L]],0),0)</f>
        <v>5</v>
      </c>
      <c r="K7" s="6">
        <f>Table1[[#This Row],[Nombre de barres d''usine nécessaires]]*$R$1-Table1[[#This Row],[LTOT]]</f>
        <v>10480</v>
      </c>
      <c r="L7" s="7">
        <f>Table1[[#This Row],[Longueur perdue]]/Table1[[#This Row],[LTOT]]</f>
        <v>0.17607526881720431</v>
      </c>
      <c r="M7" s="8">
        <v>0</v>
      </c>
      <c r="N7" s="9">
        <f>(Table1[[#This Row],[Longueur perdue]]-Table1[[#This Row],[Longueur réutilisée]])/Table1[[#This Row],[LTOT]]</f>
        <v>0.17607526881720431</v>
      </c>
      <c r="O7" s="18" t="s">
        <v>25</v>
      </c>
    </row>
    <row r="8" spans="1:18" hidden="1" x14ac:dyDescent="0.25">
      <c r="A8" t="str">
        <f>_xlfn.TEXTJOIN("|",0,Table1[[#This Row],[NUANCE]:[DALLE]])</f>
        <v>400W|15M|D1-D</v>
      </c>
      <c r="B8" s="11">
        <v>481</v>
      </c>
      <c r="C8" s="2" t="s">
        <v>13</v>
      </c>
      <c r="D8" s="2" t="s">
        <v>14</v>
      </c>
      <c r="E8" s="2" t="s">
        <v>15</v>
      </c>
      <c r="F8" s="3">
        <v>18</v>
      </c>
      <c r="G8" s="4">
        <v>1218</v>
      </c>
      <c r="H8" s="4">
        <f>Table1[[#This Row],[Nb barre]]*Table1[[#This Row],[L]]</f>
        <v>21924</v>
      </c>
      <c r="I8" s="3" t="s">
        <v>21</v>
      </c>
      <c r="J8" s="4">
        <f>ROUNDUP(Table1[[#This Row],[Nb barre]]/ROUNDDOWN($R$1/Table1[[#This Row],[L]],0),0)</f>
        <v>2</v>
      </c>
      <c r="K8" s="6">
        <f>Table1[[#This Row],[Nombre de barres d''usine nécessaires]]*$R$1-Table1[[#This Row],[LTOT]]</f>
        <v>6076</v>
      </c>
      <c r="L8" s="7">
        <f>Table1[[#This Row],[Longueur perdue]]/Table1[[#This Row],[LTOT]]</f>
        <v>0.27713920817369092</v>
      </c>
      <c r="M8" s="8">
        <v>0</v>
      </c>
      <c r="N8" s="9">
        <f>(Table1[[#This Row],[Longueur perdue]]-Table1[[#This Row],[Longueur réutilisée]])/Table1[[#This Row],[LTOT]]</f>
        <v>0.27713920817369092</v>
      </c>
      <c r="O8" s="18" t="s">
        <v>30</v>
      </c>
    </row>
    <row r="9" spans="1:18" hidden="1" x14ac:dyDescent="0.25">
      <c r="A9" t="str">
        <f>_xlfn.TEXTJOIN("|",0,Table1[[#This Row],[NUANCE]:[DALLE]])</f>
        <v>400W|15M|D1-D</v>
      </c>
      <c r="B9" s="11">
        <v>414</v>
      </c>
      <c r="C9" s="2" t="s">
        <v>13</v>
      </c>
      <c r="D9" s="2" t="s">
        <v>14</v>
      </c>
      <c r="E9" s="2" t="s">
        <v>15</v>
      </c>
      <c r="F9" s="3">
        <v>4</v>
      </c>
      <c r="G9" s="4">
        <v>760</v>
      </c>
      <c r="H9" s="4">
        <f>Table1[[#This Row],[Nb barre]]*Table1[[#This Row],[L]]</f>
        <v>3040</v>
      </c>
      <c r="I9" s="5" t="s">
        <v>16</v>
      </c>
      <c r="J9" s="4">
        <f>ROUNDUP(Table1[[#This Row],[Nb barre]]/ROUNDDOWN($R$1/Table1[[#This Row],[L]],0),0)</f>
        <v>1</v>
      </c>
      <c r="K9" s="6">
        <f>Table1[[#This Row],[Nombre de barres d''usine nécessaires]]*$R$1-Table1[[#This Row],[LTOT]]</f>
        <v>10960</v>
      </c>
      <c r="L9" s="7">
        <f>Table1[[#This Row],[Longueur perdue]]/Table1[[#This Row],[LTOT]]</f>
        <v>3.6052631578947367</v>
      </c>
      <c r="M9" s="8">
        <v>0</v>
      </c>
      <c r="N9" s="9">
        <f>(Table1[[#This Row],[Longueur perdue]]-Table1[[#This Row],[Longueur réutilisée]])/Table1[[#This Row],[LTOT]]</f>
        <v>3.6052631578947367</v>
      </c>
      <c r="O9" s="18" t="s">
        <v>24</v>
      </c>
    </row>
    <row r="10" spans="1:18" hidden="1" x14ac:dyDescent="0.25">
      <c r="A10" t="str">
        <f>_xlfn.TEXTJOIN("|",0,Table1[[#This Row],[NUANCE]:[DALLE]])</f>
        <v>400W|15M|D1-D</v>
      </c>
      <c r="B10" s="11">
        <v>411</v>
      </c>
      <c r="C10" s="2" t="s">
        <v>13</v>
      </c>
      <c r="D10" s="2" t="s">
        <v>14</v>
      </c>
      <c r="E10" s="2" t="s">
        <v>15</v>
      </c>
      <c r="F10" s="3">
        <v>12</v>
      </c>
      <c r="G10" s="4">
        <v>644</v>
      </c>
      <c r="H10" s="4">
        <f>Table1[[#This Row],[Nb barre]]*Table1[[#This Row],[L]]</f>
        <v>7728</v>
      </c>
      <c r="I10" s="5" t="s">
        <v>16</v>
      </c>
      <c r="J10" s="4">
        <f>ROUNDUP(Table1[[#This Row],[Nb barre]]/ROUNDDOWN($R$1/Table1[[#This Row],[L]],0),0)</f>
        <v>1</v>
      </c>
      <c r="K10" s="6">
        <f>Table1[[#This Row],[Nombre de barres d''usine nécessaires]]*$R$1-Table1[[#This Row],[LTOT]]</f>
        <v>6272</v>
      </c>
      <c r="L10" s="7">
        <f>Table1[[#This Row],[Longueur perdue]]/Table1[[#This Row],[LTOT]]</f>
        <v>0.81159420289855078</v>
      </c>
      <c r="M10" s="8">
        <v>0</v>
      </c>
      <c r="N10" s="9">
        <f>(Table1[[#This Row],[Longueur perdue]]-Table1[[#This Row],[Longueur réutilisée]])/Table1[[#This Row],[LTOT]]</f>
        <v>0.81159420289855078</v>
      </c>
      <c r="O10" s="18" t="s">
        <v>19</v>
      </c>
    </row>
    <row r="11" spans="1:18" hidden="1" x14ac:dyDescent="0.25">
      <c r="A11" t="str">
        <f>_xlfn.TEXTJOIN("|",0,Table1[[#This Row],[NUANCE]:[DALLE]])</f>
        <v>400W|15M|D1-D</v>
      </c>
      <c r="B11" s="11">
        <v>450</v>
      </c>
      <c r="C11" s="2" t="s">
        <v>13</v>
      </c>
      <c r="D11" s="2" t="s">
        <v>14</v>
      </c>
      <c r="E11" s="2" t="s">
        <v>15</v>
      </c>
      <c r="F11" s="3">
        <v>12</v>
      </c>
      <c r="G11" s="4">
        <v>637</v>
      </c>
      <c r="H11" s="4">
        <f>Table1[[#This Row],[Nb barre]]*Table1[[#This Row],[L]]</f>
        <v>7644</v>
      </c>
      <c r="I11" s="5" t="s">
        <v>16</v>
      </c>
      <c r="J11" s="4">
        <f>ROUNDUP(Table1[[#This Row],[Nb barre]]/ROUNDDOWN($R$1/Table1[[#This Row],[L]],0),0)</f>
        <v>1</v>
      </c>
      <c r="K11" s="6">
        <f>Table1[[#This Row],[Nombre de barres d''usine nécessaires]]*$R$1-Table1[[#This Row],[LTOT]]</f>
        <v>6356</v>
      </c>
      <c r="L11" s="7">
        <f>Table1[[#This Row],[Longueur perdue]]/Table1[[#This Row],[LTOT]]</f>
        <v>0.83150183150183155</v>
      </c>
      <c r="M11" s="8">
        <v>0</v>
      </c>
      <c r="N11" s="9">
        <f>(Table1[[#This Row],[Longueur perdue]]-Table1[[#This Row],[Longueur réutilisée]])/Table1[[#This Row],[LTOT]]</f>
        <v>0.83150183150183155</v>
      </c>
      <c r="O11" s="18" t="s">
        <v>27</v>
      </c>
    </row>
    <row r="12" spans="1:18" hidden="1" x14ac:dyDescent="0.25">
      <c r="A12" t="str">
        <f>_xlfn.TEXTJOIN("|",0,Table1[[#This Row],[NUANCE]:[DALLE]])</f>
        <v>400W|20M|D1-D</v>
      </c>
      <c r="B12" s="11">
        <v>480</v>
      </c>
      <c r="C12" s="2" t="s">
        <v>13</v>
      </c>
      <c r="D12" s="2" t="s">
        <v>28</v>
      </c>
      <c r="E12" s="2" t="s">
        <v>15</v>
      </c>
      <c r="F12" s="3">
        <v>18</v>
      </c>
      <c r="G12" s="4">
        <v>1093</v>
      </c>
      <c r="H12" s="4">
        <f>Table1[[#This Row],[Nb barre]]*Table1[[#This Row],[L]]</f>
        <v>19674</v>
      </c>
      <c r="I12" s="3" t="s">
        <v>21</v>
      </c>
      <c r="J12" s="4">
        <f>ROUNDUP(Table1[[#This Row],[Nb barre]]/ROUNDDOWN($R$1/Table1[[#This Row],[L]],0),0)</f>
        <v>2</v>
      </c>
      <c r="K12" s="6">
        <f>Table1[[#This Row],[Nombre de barres d''usine nécessaires]]*$R$1-Table1[[#This Row],[LTOT]]</f>
        <v>8326</v>
      </c>
      <c r="L12" s="7">
        <f>Table1[[#This Row],[Longueur perdue]]/Table1[[#This Row],[LTOT]]</f>
        <v>0.42319812951102981</v>
      </c>
      <c r="M12" s="8">
        <v>0</v>
      </c>
      <c r="N12" s="9">
        <f>(Table1[[#This Row],[Longueur perdue]]-Table1[[#This Row],[Longueur réutilisée]])/Table1[[#This Row],[LTOT]]</f>
        <v>0.42319812951102981</v>
      </c>
      <c r="O12" s="18" t="s">
        <v>29</v>
      </c>
    </row>
    <row r="13" spans="1:18" x14ac:dyDescent="0.25">
      <c r="A13" t="str">
        <f>_xlfn.TEXTJOIN("|",0,Table1[[#This Row],[NUANCE]:[DALLE]])</f>
        <v>500W|20M|D1-D</v>
      </c>
      <c r="B13" s="11">
        <v>552</v>
      </c>
      <c r="C13" s="2" t="s">
        <v>31</v>
      </c>
      <c r="D13" s="2" t="s">
        <v>28</v>
      </c>
      <c r="E13" s="2" t="s">
        <v>15</v>
      </c>
      <c r="F13" s="3">
        <v>18</v>
      </c>
      <c r="G13" s="4">
        <v>9461</v>
      </c>
      <c r="H13" s="4">
        <f>Table1[[#This Row],[Nb barre]]*Table1[[#This Row],[L]]</f>
        <v>170298</v>
      </c>
      <c r="I13" s="3" t="s">
        <v>21</v>
      </c>
      <c r="J13" s="4">
        <f>ROUNDUP(Table1[[#This Row],[Nb barre]]/ROUNDDOWN($R$1/Table1[[#This Row],[L]],0),0)</f>
        <v>18</v>
      </c>
      <c r="K13" s="6">
        <f>Table1[[#This Row],[Nombre de barres d''usine nécessaires]]*$R$1-Table1[[#This Row],[LTOT]]</f>
        <v>81702</v>
      </c>
      <c r="L13" s="7">
        <f>Table1[[#This Row],[Longueur perdue]]/Table1[[#This Row],[LTOT]]</f>
        <v>0.47975901067540427</v>
      </c>
      <c r="M13" s="8">
        <v>0</v>
      </c>
      <c r="N13" s="9">
        <f>(Table1[[#This Row],[Longueur perdue]]-Table1[[#This Row],[Longueur réutilisée]])/Table1[[#This Row],[LTOT]]</f>
        <v>0.47975901067540427</v>
      </c>
      <c r="O13" s="18" t="s">
        <v>35</v>
      </c>
    </row>
    <row r="14" spans="1:18" x14ac:dyDescent="0.25">
      <c r="A14" t="str">
        <f>_xlfn.TEXTJOIN("|",0,Table1[[#This Row],[NUANCE]:[DALLE]])</f>
        <v>500W|20M|D1-D</v>
      </c>
      <c r="B14" s="11">
        <v>503</v>
      </c>
      <c r="C14" s="2" t="s">
        <v>31</v>
      </c>
      <c r="D14" s="2" t="s">
        <v>28</v>
      </c>
      <c r="E14" s="2" t="s">
        <v>15</v>
      </c>
      <c r="F14" s="3">
        <v>14</v>
      </c>
      <c r="G14" s="4">
        <v>9454</v>
      </c>
      <c r="H14" s="4">
        <f>Table1[[#This Row],[Nb barre]]*Table1[[#This Row],[L]]</f>
        <v>132356</v>
      </c>
      <c r="I14" s="3" t="s">
        <v>21</v>
      </c>
      <c r="J14" s="4">
        <f>ROUNDUP(Table1[[#This Row],[Nb barre]]/ROUNDDOWN($R$1/Table1[[#This Row],[L]],0),0)</f>
        <v>14</v>
      </c>
      <c r="K14" s="6">
        <f>Table1[[#This Row],[Nombre de barres d''usine nécessaires]]*$R$1-Table1[[#This Row],[LTOT]]</f>
        <v>63644</v>
      </c>
      <c r="L14" s="7">
        <f>Table1[[#This Row],[Longueur perdue]]/Table1[[#This Row],[LTOT]]</f>
        <v>0.48085466469219379</v>
      </c>
      <c r="M14" s="8">
        <v>0</v>
      </c>
      <c r="N14" s="9">
        <f>(Table1[[#This Row],[Longueur perdue]]-Table1[[#This Row],[Longueur réutilisée]])/Table1[[#This Row],[LTOT]]</f>
        <v>0.48085466469219379</v>
      </c>
      <c r="O14" s="18" t="s">
        <v>33</v>
      </c>
    </row>
    <row r="15" spans="1:18" x14ac:dyDescent="0.25">
      <c r="A15" t="str">
        <f>_xlfn.TEXTJOIN("|",0,Table1[[#This Row],[NUANCE]:[DALLE]])</f>
        <v>500W|20M|D1-D</v>
      </c>
      <c r="B15" s="11">
        <v>554</v>
      </c>
      <c r="C15" s="2" t="s">
        <v>31</v>
      </c>
      <c r="D15" s="2" t="s">
        <v>28</v>
      </c>
      <c r="E15" s="2" t="s">
        <v>15</v>
      </c>
      <c r="F15" s="3">
        <v>4</v>
      </c>
      <c r="G15" s="4">
        <v>5230</v>
      </c>
      <c r="H15" s="4">
        <f>Table1[[#This Row],[Nb barre]]*Table1[[#This Row],[L]]</f>
        <v>20920</v>
      </c>
      <c r="I15" s="3" t="s">
        <v>21</v>
      </c>
      <c r="J15" s="4">
        <f>ROUNDUP(Table1[[#This Row],[Nb barre]]/ROUNDDOWN($R$1/Table1[[#This Row],[L]],0),0)</f>
        <v>2</v>
      </c>
      <c r="K15" s="6">
        <f>Table1[[#This Row],[Nombre de barres d''usine nécessaires]]*$R$1-Table1[[#This Row],[LTOT]]</f>
        <v>7080</v>
      </c>
      <c r="L15" s="7">
        <f>Table1[[#This Row],[Longueur perdue]]/Table1[[#This Row],[LTOT]]</f>
        <v>0.33843212237093689</v>
      </c>
      <c r="M15" s="8">
        <v>0</v>
      </c>
      <c r="N15" s="9">
        <f>(Table1[[#This Row],[Longueur perdue]]-Table1[[#This Row],[Longueur réutilisée]])/Table1[[#This Row],[LTOT]]</f>
        <v>0.33843212237093689</v>
      </c>
      <c r="O15" s="18" t="s">
        <v>36</v>
      </c>
    </row>
    <row r="16" spans="1:18" x14ac:dyDescent="0.25">
      <c r="A16" t="str">
        <f>_xlfn.TEXTJOIN("|",0,Table1[[#This Row],[NUANCE]:[DALLE]])</f>
        <v>500W|20M|D1-D</v>
      </c>
      <c r="B16" s="11">
        <v>553</v>
      </c>
      <c r="C16" s="2" t="s">
        <v>31</v>
      </c>
      <c r="D16" s="2" t="s">
        <v>28</v>
      </c>
      <c r="E16" s="2" t="s">
        <v>15</v>
      </c>
      <c r="F16" s="3">
        <v>14</v>
      </c>
      <c r="G16" s="4">
        <v>4816</v>
      </c>
      <c r="H16" s="4">
        <f>Table1[[#This Row],[Nb barre]]*Table1[[#This Row],[L]]</f>
        <v>67424</v>
      </c>
      <c r="I16" s="3" t="s">
        <v>21</v>
      </c>
      <c r="J16" s="4">
        <f>ROUNDUP(Table1[[#This Row],[Nb barre]]/ROUNDDOWN($R$1/Table1[[#This Row],[L]],0),0)</f>
        <v>7</v>
      </c>
      <c r="K16" s="6">
        <f>Table1[[#This Row],[Nombre de barres d''usine nécessaires]]*$R$1-Table1[[#This Row],[LTOT]]</f>
        <v>30576</v>
      </c>
      <c r="L16" s="7">
        <f>Table1[[#This Row],[Longueur perdue]]/Table1[[#This Row],[LTOT]]</f>
        <v>0.45348837209302323</v>
      </c>
      <c r="M16" s="8">
        <v>0</v>
      </c>
      <c r="N16" s="9">
        <f>(Table1[[#This Row],[Longueur perdue]]-Table1[[#This Row],[Longueur réutilisée]])/Table1[[#This Row],[LTOT]]</f>
        <v>0.45348837209302323</v>
      </c>
      <c r="O16" s="18" t="s">
        <v>33</v>
      </c>
    </row>
    <row r="17" spans="1:15" x14ac:dyDescent="0.25">
      <c r="A17" t="str">
        <f>_xlfn.TEXTJOIN("|",0,Table1[[#This Row],[NUANCE]:[DALLE]])</f>
        <v>500W|20M|D1-D</v>
      </c>
      <c r="B17" s="11">
        <v>504</v>
      </c>
      <c r="C17" s="2" t="s">
        <v>31</v>
      </c>
      <c r="D17" s="2" t="s">
        <v>28</v>
      </c>
      <c r="E17" s="2" t="s">
        <v>15</v>
      </c>
      <c r="F17" s="3">
        <v>4</v>
      </c>
      <c r="G17" s="4">
        <v>3886</v>
      </c>
      <c r="H17" s="4">
        <f>Table1[[#This Row],[Nb barre]]*Table1[[#This Row],[L]]</f>
        <v>15544</v>
      </c>
      <c r="I17" s="3" t="s">
        <v>21</v>
      </c>
      <c r="J17" s="4">
        <f>ROUNDUP(Table1[[#This Row],[Nb barre]]/ROUNDDOWN($R$1/Table1[[#This Row],[L]],0),0)</f>
        <v>2</v>
      </c>
      <c r="K17" s="6">
        <f>Table1[[#This Row],[Nombre de barres d''usine nécessaires]]*$R$1-Table1[[#This Row],[LTOT]]</f>
        <v>12456</v>
      </c>
      <c r="L17" s="7">
        <f>Table1[[#This Row],[Longueur perdue]]/Table1[[#This Row],[LTOT]]</f>
        <v>0.80133813690169842</v>
      </c>
      <c r="M17" s="8">
        <v>0</v>
      </c>
      <c r="N17" s="9">
        <f>(Table1[[#This Row],[Longueur perdue]]-Table1[[#This Row],[Longueur réutilisée]])/Table1[[#This Row],[LTOT]]</f>
        <v>0.80133813690169842</v>
      </c>
      <c r="O17" s="18" t="s">
        <v>34</v>
      </c>
    </row>
    <row r="18" spans="1:15" x14ac:dyDescent="0.25">
      <c r="A18" t="str">
        <f>_xlfn.TEXTJOIN("|",0,Table1[[#This Row],[NUANCE]:[DALLE]])</f>
        <v>500W|20M|D1-D</v>
      </c>
      <c r="B18" s="11">
        <v>501</v>
      </c>
      <c r="C18" s="2" t="s">
        <v>31</v>
      </c>
      <c r="D18" s="2" t="s">
        <v>28</v>
      </c>
      <c r="E18" s="2" t="s">
        <v>15</v>
      </c>
      <c r="F18" s="3">
        <v>4</v>
      </c>
      <c r="G18" s="4">
        <v>3517</v>
      </c>
      <c r="H18" s="4">
        <f>Table1[[#This Row],[Nb barre]]*Table1[[#This Row],[L]]</f>
        <v>14068</v>
      </c>
      <c r="I18" s="3" t="s">
        <v>16</v>
      </c>
      <c r="J18" s="4">
        <f>ROUNDUP(Table1[[#This Row],[Nb barre]]/ROUNDDOWN($R$1/Table1[[#This Row],[L]],0),0)</f>
        <v>2</v>
      </c>
      <c r="K18" s="6">
        <f>Table1[[#This Row],[Nombre de barres d''usine nécessaires]]*$R$1-Table1[[#This Row],[LTOT]]</f>
        <v>13932</v>
      </c>
      <c r="L18" s="7">
        <f>Table1[[#This Row],[Longueur perdue]]/Table1[[#This Row],[LTOT]]</f>
        <v>0.99033266988911006</v>
      </c>
      <c r="M18" s="8">
        <v>0</v>
      </c>
      <c r="N18" s="9">
        <f>(Table1[[#This Row],[Longueur perdue]]-Table1[[#This Row],[Longueur réutilisée]])/Table1[[#This Row],[LTOT]]</f>
        <v>0.99033266988911006</v>
      </c>
      <c r="O18" s="18" t="s">
        <v>32</v>
      </c>
    </row>
    <row r="20" spans="1:15" x14ac:dyDescent="0.25">
      <c r="J20" s="20">
        <f>SUM(J4:J11)</f>
        <v>50</v>
      </c>
    </row>
    <row r="25" spans="1:15" x14ac:dyDescent="0.25">
      <c r="C25" s="10"/>
    </row>
  </sheetData>
  <sortState xmlns:xlrd2="http://schemas.microsoft.com/office/spreadsheetml/2017/richdata2" ref="A2:O18">
    <sortCondition ref="A1"/>
    <sortCondition descending="1" ref="D1"/>
  </sortState>
  <conditionalFormatting sqref="C1:N1 B1:B18 O1:O18 F2:N18">
    <cfRule type="cellIs" dxfId="4" priority="4" operator="equal">
      <formula>ISBLANK($B$1)</formula>
    </cfRule>
  </conditionalFormatting>
  <conditionalFormatting sqref="A2:O18">
    <cfRule type="expression" dxfId="3" priority="3">
      <formula>$A2&lt;&gt;$A1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B908D-831A-425B-8044-B659F9F0D64A}">
  <sheetPr codeName="Blad1"/>
  <dimension ref="A1:Q27"/>
  <sheetViews>
    <sheetView tabSelected="1" zoomScale="92" zoomScaleNormal="92" workbookViewId="0">
      <selection activeCell="B8" sqref="B8:C13"/>
    </sheetView>
  </sheetViews>
  <sheetFormatPr defaultColWidth="7" defaultRowHeight="15" x14ac:dyDescent="0.25"/>
  <cols>
    <col min="1" max="1" width="6.85546875" bestFit="1" customWidth="1"/>
    <col min="2" max="2" width="10.42578125" bestFit="1" customWidth="1"/>
    <col min="3" max="3" width="11.28515625" bestFit="1" customWidth="1"/>
    <col min="4" max="4" width="10.5703125" bestFit="1" customWidth="1"/>
    <col min="6" max="6" width="15.28515625" bestFit="1" customWidth="1"/>
    <col min="7" max="7" width="12.42578125" bestFit="1" customWidth="1"/>
    <col min="8" max="8" width="8.28515625" bestFit="1" customWidth="1"/>
    <col min="10" max="10" width="16.28515625" bestFit="1" customWidth="1"/>
    <col min="11" max="11" width="34.140625" bestFit="1" customWidth="1"/>
    <col min="12" max="12" width="95.5703125" bestFit="1" customWidth="1"/>
    <col min="13" max="13" width="10.42578125" style="30" bestFit="1" customWidth="1"/>
    <col min="14" max="14" width="9.5703125" bestFit="1" customWidth="1"/>
    <col min="15" max="15" width="8.7109375" bestFit="1" customWidth="1"/>
    <col min="16" max="16" width="8.42578125" style="44" bestFit="1" customWidth="1"/>
    <col min="17" max="17" width="10.85546875" bestFit="1" customWidth="1"/>
  </cols>
  <sheetData>
    <row r="1" spans="1:17" ht="15.75" thickBot="1" x14ac:dyDescent="0.3">
      <c r="C1" s="35" t="s">
        <v>61</v>
      </c>
      <c r="D1" s="35">
        <v>14000</v>
      </c>
    </row>
    <row r="2" spans="1:17" ht="24" thickTop="1" x14ac:dyDescent="0.35">
      <c r="A2" s="49" t="s">
        <v>72</v>
      </c>
      <c r="B2" s="50"/>
      <c r="C2" s="50"/>
      <c r="D2" s="50"/>
      <c r="F2" s="21" t="s">
        <v>55</v>
      </c>
      <c r="G2" s="22">
        <f>+M6*D1</f>
        <v>1260000</v>
      </c>
      <c r="H2" s="23">
        <f>+G2/$G$2</f>
        <v>1</v>
      </c>
    </row>
    <row r="3" spans="1:17" ht="18.75" x14ac:dyDescent="0.3">
      <c r="C3" s="31" t="str" cm="1">
        <f t="array" ref="C3">_xlfn.TEXTJOIN(", ",1,IF(Tabel2[solution]&gt;0,Tabel2[solution]&amp; "x"&amp;Tabel2[longueur],""))</f>
        <v/>
      </c>
      <c r="D3" s="31"/>
      <c r="E3" s="31"/>
      <c r="F3" s="24" t="s">
        <v>56</v>
      </c>
      <c r="G3" s="25">
        <f>+O6</f>
        <v>642</v>
      </c>
      <c r="H3" s="26">
        <f>+G3/$G$2</f>
        <v>5.0952380952380954E-4</v>
      </c>
    </row>
    <row r="4" spans="1:17" ht="18.75" x14ac:dyDescent="0.3">
      <c r="C4" t="s">
        <v>64</v>
      </c>
      <c r="D4">
        <f>SUMPRODUCT(Tabel2[longueur],Tabel2[solution])</f>
        <v>0</v>
      </c>
      <c r="F4" s="24" t="s">
        <v>57</v>
      </c>
      <c r="G4" s="25">
        <f>+P6</f>
        <v>202934</v>
      </c>
      <c r="H4" s="26">
        <f>+G4/$G$2</f>
        <v>0.16105873015873015</v>
      </c>
    </row>
    <row r="5" spans="1:17" ht="19.5" thickBot="1" x14ac:dyDescent="0.35">
      <c r="C5" s="30" t="s">
        <v>53</v>
      </c>
      <c r="D5" s="30">
        <f>MAX(SUM(Tabel2[solution])-1,0)*3</f>
        <v>0</v>
      </c>
      <c r="F5" s="27" t="s">
        <v>58</v>
      </c>
      <c r="G5" s="28">
        <f>+N6</f>
        <v>1056424</v>
      </c>
      <c r="H5" s="29">
        <f>+G5/$G$2</f>
        <v>0.83843174603174608</v>
      </c>
    </row>
    <row r="6" spans="1:17" ht="15.75" thickTop="1" x14ac:dyDescent="0.25">
      <c r="A6">
        <f>_xlfn.MAXIFS(Tabel2[longueur],Tabel2[nombre],"&gt;0")</f>
        <v>0</v>
      </c>
      <c r="B6" cm="1">
        <f t="array" ref="B6">_xlfn.LET(_xlpm.x,IF((Tabel2[nombre]&gt;0)*(Tabel2[solution]&gt;0),Tabel2[nombre]/Tabel2[solution],1000),TRUNC(MIN(_xlpm.x)))</f>
        <v>1000</v>
      </c>
      <c r="C6" s="30" t="s">
        <v>62</v>
      </c>
      <c r="D6" s="36">
        <f>+D1+3-SUMPRODUCT(Tabel2[longueur],Tabel2[solution])-3*SUM(Tabel2[solution])</f>
        <v>14003</v>
      </c>
      <c r="M6" s="30">
        <f>SUM(Tabel3[nombre])</f>
        <v>90</v>
      </c>
      <c r="N6" s="44">
        <f>SUMPRODUCT(Tabel3[[nombre]:[nombre]],Tabel3[Utile])</f>
        <v>1056424</v>
      </c>
      <c r="O6" s="44">
        <f>SUMPRODUCT(Tabel3[[nombre]:[nombre]],Tabel3[sciage])</f>
        <v>642</v>
      </c>
      <c r="P6" s="44">
        <f>SUMPRODUCT(Tabel3[[nombre]:[nombre]],Tabel3[perte])</f>
        <v>202934</v>
      </c>
      <c r="Q6" s="46">
        <f>SUMPRODUCT(Tabel3[[nombre]:[nombre]],Tabel3[pourc])/M6</f>
        <v>0.83843174603174597</v>
      </c>
    </row>
    <row r="7" spans="1:17" x14ac:dyDescent="0.25">
      <c r="A7" t="s">
        <v>40</v>
      </c>
      <c r="B7" t="s">
        <v>39</v>
      </c>
      <c r="C7" t="s">
        <v>61</v>
      </c>
      <c r="D7" t="s">
        <v>41</v>
      </c>
      <c r="J7" s="34" t="s">
        <v>60</v>
      </c>
      <c r="K7" t="s">
        <v>42</v>
      </c>
      <c r="L7" t="s">
        <v>80</v>
      </c>
      <c r="M7" s="30" t="s">
        <v>39</v>
      </c>
      <c r="N7" t="s">
        <v>63</v>
      </c>
      <c r="O7" s="32" t="s">
        <v>53</v>
      </c>
      <c r="P7" s="51" t="s">
        <v>54</v>
      </c>
      <c r="Q7" s="34" t="s">
        <v>79</v>
      </c>
    </row>
    <row r="8" spans="1:17" x14ac:dyDescent="0.25">
      <c r="A8">
        <f>--($A$6=Tabel2[[#This Row],[longueur]])</f>
        <v>0</v>
      </c>
      <c r="B8" s="3">
        <v>0</v>
      </c>
      <c r="C8" s="47">
        <v>9461</v>
      </c>
      <c r="J8" s="33" t="s">
        <v>65</v>
      </c>
      <c r="K8" s="30" t="s">
        <v>66</v>
      </c>
      <c r="L8" s="30" t="s">
        <v>81</v>
      </c>
      <c r="M8" s="30">
        <v>1</v>
      </c>
      <c r="N8" s="44">
        <v>13947</v>
      </c>
      <c r="O8" s="32">
        <v>42</v>
      </c>
      <c r="P8" s="51">
        <v>11</v>
      </c>
      <c r="Q8" s="45">
        <v>0.99621428571428572</v>
      </c>
    </row>
    <row r="9" spans="1:17" x14ac:dyDescent="0.25">
      <c r="A9" s="38">
        <f>--($A$6=Tabel2[[#This Row],[longueur]])</f>
        <v>0</v>
      </c>
      <c r="B9" s="39">
        <v>0</v>
      </c>
      <c r="C9" s="48">
        <v>9454</v>
      </c>
      <c r="J9" s="33" t="s">
        <v>65</v>
      </c>
      <c r="K9" s="37" t="s">
        <v>67</v>
      </c>
      <c r="L9" s="37" t="s">
        <v>82</v>
      </c>
      <c r="M9" s="37">
        <v>1</v>
      </c>
      <c r="N9" s="44">
        <v>8757</v>
      </c>
      <c r="O9" s="43">
        <v>24</v>
      </c>
      <c r="P9" s="52">
        <v>5219</v>
      </c>
      <c r="Q9" s="45">
        <v>0.62549999999999994</v>
      </c>
    </row>
    <row r="10" spans="1:17" x14ac:dyDescent="0.25">
      <c r="A10" s="38">
        <f>--($A$6=Tabel2[[#This Row],[longueur]])</f>
        <v>0</v>
      </c>
      <c r="B10" s="39">
        <v>0</v>
      </c>
      <c r="C10" s="48">
        <v>5230</v>
      </c>
      <c r="J10" s="33" t="s">
        <v>68</v>
      </c>
      <c r="K10" s="37" t="s">
        <v>43</v>
      </c>
      <c r="L10" s="37" t="s">
        <v>83</v>
      </c>
      <c r="M10" s="37">
        <v>2</v>
      </c>
      <c r="N10" s="44">
        <v>13961</v>
      </c>
      <c r="O10" s="43">
        <v>39</v>
      </c>
      <c r="P10" s="52">
        <v>0</v>
      </c>
      <c r="Q10" s="45">
        <v>0.99721428571428572</v>
      </c>
    </row>
    <row r="11" spans="1:17" x14ac:dyDescent="0.25">
      <c r="A11" s="38">
        <f>--($A$6=Tabel2[[#This Row],[longueur]])</f>
        <v>0</v>
      </c>
      <c r="B11" s="39">
        <v>0</v>
      </c>
      <c r="C11" s="48">
        <v>4816</v>
      </c>
      <c r="J11" s="33" t="s">
        <v>68</v>
      </c>
      <c r="K11" s="37" t="s">
        <v>44</v>
      </c>
      <c r="L11" s="37" t="s">
        <v>84</v>
      </c>
      <c r="M11" s="37">
        <v>1</v>
      </c>
      <c r="N11" s="44">
        <v>13974</v>
      </c>
      <c r="O11" s="43">
        <v>24</v>
      </c>
      <c r="P11" s="52">
        <v>2</v>
      </c>
      <c r="Q11" s="45">
        <v>0.99814285714285711</v>
      </c>
    </row>
    <row r="12" spans="1:17" x14ac:dyDescent="0.25">
      <c r="A12" s="38">
        <f>--($A$6=Tabel2[[#This Row],[longueur]])</f>
        <v>0</v>
      </c>
      <c r="B12" s="39">
        <v>0</v>
      </c>
      <c r="C12" s="48">
        <v>3886</v>
      </c>
      <c r="J12" s="33" t="s">
        <v>68</v>
      </c>
      <c r="K12" s="37" t="s">
        <v>45</v>
      </c>
      <c r="L12" s="37" t="s">
        <v>85</v>
      </c>
      <c r="M12" s="37">
        <v>2</v>
      </c>
      <c r="N12" s="44">
        <v>13981</v>
      </c>
      <c r="O12" s="43">
        <v>15</v>
      </c>
      <c r="P12" s="52">
        <v>4</v>
      </c>
      <c r="Q12" s="45">
        <v>0.99864285714285717</v>
      </c>
    </row>
    <row r="13" spans="1:17" x14ac:dyDescent="0.25">
      <c r="A13" s="40">
        <f>--($A$6=Tabel2[[#This Row],[longueur]])</f>
        <v>0</v>
      </c>
      <c r="B13" s="41">
        <v>0</v>
      </c>
      <c r="C13" s="48">
        <v>3517</v>
      </c>
      <c r="D13" s="42"/>
      <c r="J13" s="33" t="s">
        <v>68</v>
      </c>
      <c r="K13" s="37" t="s">
        <v>46</v>
      </c>
      <c r="L13" s="37" t="s">
        <v>86</v>
      </c>
      <c r="M13" s="37">
        <v>2</v>
      </c>
      <c r="N13" s="44">
        <v>13974</v>
      </c>
      <c r="O13" s="43">
        <v>15</v>
      </c>
      <c r="P13" s="52">
        <v>11</v>
      </c>
      <c r="Q13" s="45">
        <v>0.99814285714285711</v>
      </c>
    </row>
    <row r="14" spans="1:17" x14ac:dyDescent="0.25">
      <c r="A14" s="38"/>
      <c r="B14" s="39"/>
      <c r="C14" s="48"/>
      <c r="J14" s="33" t="s">
        <v>68</v>
      </c>
      <c r="K14" s="37" t="s">
        <v>47</v>
      </c>
      <c r="L14" s="37" t="s">
        <v>87</v>
      </c>
      <c r="M14" s="37">
        <v>5</v>
      </c>
      <c r="N14" s="44">
        <v>13950</v>
      </c>
      <c r="O14" s="43">
        <v>15</v>
      </c>
      <c r="P14" s="52">
        <v>35</v>
      </c>
      <c r="Q14" s="45">
        <v>0.99642857142857144</v>
      </c>
    </row>
    <row r="15" spans="1:17" x14ac:dyDescent="0.25">
      <c r="A15" s="40"/>
      <c r="B15" s="41"/>
      <c r="C15" s="48"/>
      <c r="D15" s="42"/>
      <c r="J15" s="33" t="s">
        <v>68</v>
      </c>
      <c r="K15" s="37" t="s">
        <v>48</v>
      </c>
      <c r="L15" s="37" t="s">
        <v>88</v>
      </c>
      <c r="M15" s="37">
        <v>4</v>
      </c>
      <c r="N15" s="44">
        <v>13930</v>
      </c>
      <c r="O15" s="43">
        <v>9</v>
      </c>
      <c r="P15" s="52">
        <v>61</v>
      </c>
      <c r="Q15" s="45">
        <v>0.995</v>
      </c>
    </row>
    <row r="16" spans="1:17" x14ac:dyDescent="0.25">
      <c r="J16" s="33" t="s">
        <v>68</v>
      </c>
      <c r="K16" s="37" t="s">
        <v>49</v>
      </c>
      <c r="L16" s="37" t="s">
        <v>89</v>
      </c>
      <c r="M16" s="37">
        <v>1</v>
      </c>
      <c r="N16" s="44">
        <v>13670</v>
      </c>
      <c r="O16" s="43">
        <v>15</v>
      </c>
      <c r="P16" s="52">
        <v>315</v>
      </c>
      <c r="Q16" s="45">
        <v>0.97642857142857142</v>
      </c>
    </row>
    <row r="17" spans="10:17" x14ac:dyDescent="0.25">
      <c r="J17" s="33" t="s">
        <v>68</v>
      </c>
      <c r="K17" s="37" t="s">
        <v>50</v>
      </c>
      <c r="L17" s="37" t="s">
        <v>90</v>
      </c>
      <c r="M17" s="37">
        <v>2</v>
      </c>
      <c r="N17" s="44">
        <v>13530</v>
      </c>
      <c r="O17" s="43">
        <v>15</v>
      </c>
      <c r="P17" s="52">
        <v>455</v>
      </c>
      <c r="Q17" s="45">
        <v>0.96642857142857141</v>
      </c>
    </row>
    <row r="18" spans="10:17" x14ac:dyDescent="0.25">
      <c r="J18" s="33" t="s">
        <v>68</v>
      </c>
      <c r="K18" s="37" t="s">
        <v>51</v>
      </c>
      <c r="L18" s="37" t="s">
        <v>91</v>
      </c>
      <c r="M18" s="37">
        <v>25</v>
      </c>
      <c r="N18" s="44">
        <v>12690</v>
      </c>
      <c r="O18" s="43">
        <v>6</v>
      </c>
      <c r="P18" s="52">
        <v>1304</v>
      </c>
      <c r="Q18" s="45">
        <v>0.90642857142857147</v>
      </c>
    </row>
    <row r="19" spans="10:17" x14ac:dyDescent="0.25">
      <c r="J19" s="33" t="s">
        <v>68</v>
      </c>
      <c r="K19" s="37" t="s">
        <v>52</v>
      </c>
      <c r="L19" s="37" t="s">
        <v>92</v>
      </c>
      <c r="M19" s="37">
        <v>1</v>
      </c>
      <c r="N19" s="44">
        <v>12180</v>
      </c>
      <c r="O19" s="43">
        <v>9</v>
      </c>
      <c r="P19" s="52">
        <v>1811</v>
      </c>
      <c r="Q19" s="45">
        <v>0.87</v>
      </c>
    </row>
    <row r="20" spans="10:17" x14ac:dyDescent="0.25">
      <c r="J20" s="33" t="s">
        <v>69</v>
      </c>
      <c r="K20" s="37" t="s">
        <v>70</v>
      </c>
      <c r="L20" s="37" t="s">
        <v>93</v>
      </c>
      <c r="M20" s="37">
        <v>1</v>
      </c>
      <c r="N20" s="44">
        <v>13116</v>
      </c>
      <c r="O20" s="43">
        <v>33</v>
      </c>
      <c r="P20" s="52">
        <v>851</v>
      </c>
      <c r="Q20" s="45">
        <v>0.93685714285714283</v>
      </c>
    </row>
    <row r="21" spans="10:17" x14ac:dyDescent="0.25">
      <c r="J21" s="33" t="s">
        <v>69</v>
      </c>
      <c r="K21" s="37" t="s">
        <v>71</v>
      </c>
      <c r="L21" s="37" t="s">
        <v>94</v>
      </c>
      <c r="M21" s="37">
        <v>1</v>
      </c>
      <c r="N21" s="44">
        <v>6558</v>
      </c>
      <c r="O21" s="43">
        <v>15</v>
      </c>
      <c r="P21" s="52">
        <v>7427</v>
      </c>
      <c r="Q21" s="45">
        <v>0.46842857142857142</v>
      </c>
    </row>
    <row r="22" spans="10:17" x14ac:dyDescent="0.25">
      <c r="J22" s="33" t="s">
        <v>72</v>
      </c>
      <c r="K22" s="37" t="s">
        <v>73</v>
      </c>
      <c r="L22" s="37" t="s">
        <v>95</v>
      </c>
      <c r="M22" s="37">
        <v>4</v>
      </c>
      <c r="N22" s="44">
        <v>13347</v>
      </c>
      <c r="O22" s="43">
        <v>3</v>
      </c>
      <c r="P22" s="52">
        <v>650</v>
      </c>
      <c r="Q22" s="45">
        <v>0.9533571428571429</v>
      </c>
    </row>
    <row r="23" spans="10:17" x14ac:dyDescent="0.25">
      <c r="J23" s="33" t="s">
        <v>72</v>
      </c>
      <c r="K23" s="37" t="s">
        <v>74</v>
      </c>
      <c r="L23" s="37" t="s">
        <v>96</v>
      </c>
      <c r="M23" s="37">
        <v>4</v>
      </c>
      <c r="N23" s="44">
        <v>12978</v>
      </c>
      <c r="O23" s="43">
        <v>3</v>
      </c>
      <c r="P23" s="52">
        <v>1019</v>
      </c>
      <c r="Q23" s="45">
        <v>0.92700000000000005</v>
      </c>
    </row>
    <row r="24" spans="10:17" x14ac:dyDescent="0.25">
      <c r="J24" s="33" t="s">
        <v>72</v>
      </c>
      <c r="K24" s="37" t="s">
        <v>75</v>
      </c>
      <c r="L24" s="37" t="s">
        <v>97</v>
      </c>
      <c r="M24" s="37">
        <v>10</v>
      </c>
      <c r="N24" s="44">
        <v>9461</v>
      </c>
      <c r="O24" s="43">
        <v>0</v>
      </c>
      <c r="P24" s="52">
        <v>4539</v>
      </c>
      <c r="Q24" s="45">
        <v>0.67578571428571432</v>
      </c>
    </row>
    <row r="25" spans="10:17" x14ac:dyDescent="0.25">
      <c r="J25" s="33" t="s">
        <v>72</v>
      </c>
      <c r="K25" s="37" t="s">
        <v>76</v>
      </c>
      <c r="L25" s="37" t="s">
        <v>98</v>
      </c>
      <c r="M25" s="37">
        <v>14</v>
      </c>
      <c r="N25" s="44">
        <v>9454</v>
      </c>
      <c r="O25" s="43">
        <v>0</v>
      </c>
      <c r="P25" s="52">
        <v>4546</v>
      </c>
      <c r="Q25" s="45">
        <v>0.67528571428571427</v>
      </c>
    </row>
    <row r="26" spans="10:17" x14ac:dyDescent="0.25">
      <c r="J26" s="33" t="s">
        <v>72</v>
      </c>
      <c r="K26" s="37" t="s">
        <v>77</v>
      </c>
      <c r="L26" s="37" t="s">
        <v>99</v>
      </c>
      <c r="M26" s="37">
        <v>2</v>
      </c>
      <c r="N26" s="44">
        <v>10460</v>
      </c>
      <c r="O26" s="43">
        <v>3</v>
      </c>
      <c r="P26" s="52">
        <v>3537</v>
      </c>
      <c r="Q26" s="45">
        <v>0.74714285714285711</v>
      </c>
    </row>
    <row r="27" spans="10:17" x14ac:dyDescent="0.25">
      <c r="J27" s="33" t="s">
        <v>72</v>
      </c>
      <c r="K27" s="37" t="s">
        <v>78</v>
      </c>
      <c r="L27" s="37" t="s">
        <v>100</v>
      </c>
      <c r="M27" s="37">
        <v>7</v>
      </c>
      <c r="N27" s="44">
        <v>9632</v>
      </c>
      <c r="O27" s="43">
        <v>3</v>
      </c>
      <c r="P27" s="52">
        <v>4365</v>
      </c>
      <c r="Q27" s="45">
        <v>0.68799999999999994</v>
      </c>
    </row>
  </sheetData>
  <mergeCells count="1">
    <mergeCell ref="C3:E3"/>
  </mergeCells>
  <phoneticPr fontId="5" type="noConversion"/>
  <conditionalFormatting sqref="B8:C13">
    <cfRule type="cellIs" dxfId="2" priority="7" operator="equal">
      <formula>ISBLANK($A$1)</formula>
    </cfRule>
  </conditionalFormatting>
  <conditionalFormatting sqref="B8:C13">
    <cfRule type="expression" dxfId="1" priority="6">
      <formula>#REF!&lt;&gt;#REF!</formula>
    </cfRule>
  </conditionalFormatting>
  <conditionalFormatting sqref="H2:H5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{B02A8A18-C13B-48CF-80D4-C1F398B5CCD2}</x14:id>
        </ext>
      </extLst>
    </cfRule>
  </conditionalFormatting>
  <conditionalFormatting sqref="J8:Q27">
    <cfRule type="expression" dxfId="0" priority="8">
      <formula>$J8&lt;&gt;$J7</formula>
    </cfRule>
  </conditionalFormatting>
  <conditionalFormatting sqref="Q8:Q27">
    <cfRule type="dataBar" priority="2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{59850A12-C1AD-409E-92AE-E6D7C8E8E34A}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2A8A18-C13B-48CF-80D4-C1F398B5CC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H2:H5</xm:sqref>
        </x14:conditionalFormatting>
        <x14:conditionalFormatting xmlns:xm="http://schemas.microsoft.com/office/excel/2006/main">
          <x14:cfRule type="dataBar" id="{59850A12-C1AD-409E-92AE-E6D7C8E8E34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Q8:Q27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7</vt:i4>
      </vt:variant>
    </vt:vector>
  </HeadingPairs>
  <TitlesOfParts>
    <vt:vector size="9" baseType="lpstr">
      <vt:lpstr>OPTI 46PI</vt:lpstr>
      <vt:lpstr>Solveur</vt:lpstr>
      <vt:lpstr>Coupe</vt:lpstr>
      <vt:lpstr>Factor</vt:lpstr>
      <vt:lpstr>longueur</vt:lpstr>
      <vt:lpstr>reste</vt:lpstr>
      <vt:lpstr>sciage</vt:lpstr>
      <vt:lpstr>Type</vt:lpstr>
      <vt:lpstr>utile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2024-12-13T13:02:42Z</dcterms:created>
  <dcterms:modified xsi:type="dcterms:W3CDTF">2024-12-18T10:42:02Z</dcterms:modified>
</cp:coreProperties>
</file>