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6F465F3-1770-459F-B7B6-58EF2987F0DF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Listings" sheetId="1" r:id="rId1"/>
    <sheet name="SyntheseSimple" sheetId="3" r:id="rId2"/>
    <sheet name="Synthèse" sheetId="2" r:id="rId3"/>
    <sheet name="Blad1" sheetId="4" r:id="rId4"/>
  </sheets>
  <definedNames>
    <definedName name="_xlnm._FilterDatabase" localSheetId="0" hidden="1">Listings!$A$1:$E$90</definedName>
    <definedName name="_xlnm._FilterDatabase" localSheetId="1" hidden="1">SyntheseSimple!$D:$D</definedName>
    <definedName name="L_ends">Listings!$J$14</definedName>
    <definedName name="L_recycl">Listings!$O$2</definedName>
    <definedName name="L_saw">Listings!$J$13</definedName>
  </definedNames>
  <calcPr calcId="191029"/>
  <pivotCaches>
    <pivotCache cacheId="29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13" i="2" l="1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AA38" i="2"/>
  <c r="AA39" i="2"/>
  <c r="AA40" i="2"/>
  <c r="AA41" i="2"/>
  <c r="AA42" i="2"/>
  <c r="AA43" i="2"/>
  <c r="AA44" i="2"/>
  <c r="AA45" i="2"/>
  <c r="AA46" i="2"/>
  <c r="AA47" i="2"/>
  <c r="AA48" i="2"/>
  <c r="AA49" i="2"/>
  <c r="AA50" i="2"/>
  <c r="AA51" i="2"/>
  <c r="AA52" i="2"/>
  <c r="AA53" i="2"/>
  <c r="AA54" i="2"/>
  <c r="AA55" i="2"/>
  <c r="AA56" i="2"/>
  <c r="AA57" i="2"/>
  <c r="AA58" i="2"/>
  <c r="AA59" i="2"/>
  <c r="AA60" i="2"/>
  <c r="AA61" i="2"/>
  <c r="AA62" i="2"/>
  <c r="AA63" i="2"/>
  <c r="AA64" i="2"/>
  <c r="AA65" i="2"/>
  <c r="AA66" i="2"/>
  <c r="AA67" i="2"/>
  <c r="AA68" i="2"/>
  <c r="AA69" i="2"/>
  <c r="AA70" i="2"/>
  <c r="AA71" i="2"/>
  <c r="AA72" i="2"/>
  <c r="AA73" i="2"/>
  <c r="AA74" i="2"/>
  <c r="AA75" i="2"/>
  <c r="AA76" i="2"/>
  <c r="AA77" i="2"/>
  <c r="AA78" i="2"/>
  <c r="AA79" i="2"/>
  <c r="Y12" i="2"/>
  <c r="Y13" i="2" s="1"/>
  <c r="Y14" i="2" s="1"/>
  <c r="Y15" i="2" s="1"/>
  <c r="Y16" i="2" s="1"/>
  <c r="Y17" i="2" s="1"/>
  <c r="Y18" i="2" s="1"/>
  <c r="Y19" i="2" s="1"/>
  <c r="Y20" i="2" s="1"/>
  <c r="Y21" i="2" s="1"/>
  <c r="Y22" i="2" s="1"/>
  <c r="Y23" i="2" s="1"/>
  <c r="Y24" i="2" s="1"/>
  <c r="Y25" i="2" s="1"/>
  <c r="Y26" i="2" s="1"/>
  <c r="Y27" i="2" s="1"/>
  <c r="Y28" i="2" s="1"/>
  <c r="Y29" i="2" s="1"/>
  <c r="Y30" i="2" s="1"/>
  <c r="Y31" i="2" s="1"/>
  <c r="Y32" i="2" s="1"/>
  <c r="Y33" i="2" s="1"/>
  <c r="Y34" i="2" s="1"/>
  <c r="Y35" i="2" s="1"/>
  <c r="Y36" i="2" s="1"/>
  <c r="Y37" i="2" s="1"/>
  <c r="Y38" i="2" s="1"/>
  <c r="Y39" i="2" s="1"/>
  <c r="Y40" i="2" s="1"/>
  <c r="Y41" i="2" s="1"/>
  <c r="Y42" i="2" s="1"/>
  <c r="Y43" i="2" s="1"/>
  <c r="Y44" i="2" s="1"/>
  <c r="Y45" i="2" s="1"/>
  <c r="Y46" i="2" s="1"/>
  <c r="Y47" i="2" s="1"/>
  <c r="Y48" i="2" s="1"/>
  <c r="Y49" i="2" s="1"/>
  <c r="Y50" i="2" s="1"/>
  <c r="Y51" i="2" s="1"/>
  <c r="Y52" i="2" s="1"/>
  <c r="Y53" i="2" s="1"/>
  <c r="Y54" i="2" s="1"/>
  <c r="Y55" i="2" s="1"/>
  <c r="Y56" i="2" s="1"/>
  <c r="Y57" i="2" s="1"/>
  <c r="Y58" i="2" s="1"/>
  <c r="Y59" i="2" s="1"/>
  <c r="Y60" i="2" s="1"/>
  <c r="Y61" i="2" s="1"/>
  <c r="Y62" i="2" s="1"/>
  <c r="Y63" i="2" s="1"/>
  <c r="Y64" i="2" s="1"/>
  <c r="Y65" i="2" s="1"/>
  <c r="Y66" i="2" s="1"/>
  <c r="Y67" i="2" s="1"/>
  <c r="Y68" i="2" s="1"/>
  <c r="Y69" i="2" s="1"/>
  <c r="Y70" i="2" s="1"/>
  <c r="Y71" i="2" s="1"/>
  <c r="Y72" i="2" s="1"/>
  <c r="Y73" i="2" s="1"/>
  <c r="Y74" i="2" s="1"/>
  <c r="Y75" i="2" s="1"/>
  <c r="Y76" i="2" s="1"/>
  <c r="Y77" i="2" s="1"/>
  <c r="Y78" i="2" s="1"/>
  <c r="Y79" i="2" s="1"/>
  <c r="AA12" i="2"/>
  <c r="B5" i="3"/>
  <c r="B6" i="3"/>
  <c r="F239" i="3"/>
  <c r="D239" i="3"/>
  <c r="E239" i="3" s="1"/>
  <c r="F235" i="3"/>
  <c r="E235" i="3"/>
  <c r="D235" i="3"/>
  <c r="D233" i="3"/>
  <c r="F233" i="3" s="1"/>
  <c r="D230" i="3"/>
  <c r="F230" i="3" s="1"/>
  <c r="F226" i="3"/>
  <c r="D226" i="3"/>
  <c r="E226" i="3" s="1"/>
  <c r="F222" i="3"/>
  <c r="E222" i="3"/>
  <c r="D222" i="3"/>
  <c r="D218" i="3"/>
  <c r="F218" i="3" s="1"/>
  <c r="D215" i="3"/>
  <c r="F215" i="3" s="1"/>
  <c r="F212" i="3"/>
  <c r="D212" i="3"/>
  <c r="E212" i="3" s="1"/>
  <c r="F209" i="3"/>
  <c r="E209" i="3"/>
  <c r="D209" i="3"/>
  <c r="D206" i="3"/>
  <c r="F206" i="3" s="1"/>
  <c r="D203" i="3"/>
  <c r="F203" i="3" s="1"/>
  <c r="F200" i="3"/>
  <c r="D200" i="3"/>
  <c r="E200" i="3" s="1"/>
  <c r="F197" i="3"/>
  <c r="E197" i="3"/>
  <c r="D197" i="3"/>
  <c r="D194" i="3"/>
  <c r="F194" i="3" s="1"/>
  <c r="D191" i="3"/>
  <c r="F191" i="3" s="1"/>
  <c r="F188" i="3"/>
  <c r="D188" i="3"/>
  <c r="E188" i="3" s="1"/>
  <c r="F185" i="3"/>
  <c r="E185" i="3"/>
  <c r="D185" i="3"/>
  <c r="D181" i="3"/>
  <c r="F181" i="3" s="1"/>
  <c r="D177" i="3"/>
  <c r="F177" i="3" s="1"/>
  <c r="F175" i="3"/>
  <c r="D175" i="3"/>
  <c r="E175" i="3" s="1"/>
  <c r="F173" i="3"/>
  <c r="E173" i="3"/>
  <c r="D173" i="3"/>
  <c r="D171" i="3"/>
  <c r="F171" i="3" s="1"/>
  <c r="D168" i="3"/>
  <c r="F168" i="3" s="1"/>
  <c r="F165" i="3"/>
  <c r="D165" i="3"/>
  <c r="E165" i="3" s="1"/>
  <c r="F161" i="3"/>
  <c r="E161" i="3"/>
  <c r="D161" i="3"/>
  <c r="D157" i="3"/>
  <c r="F157" i="3" s="1"/>
  <c r="D154" i="3"/>
  <c r="F154" i="3" s="1"/>
  <c r="F151" i="3"/>
  <c r="D151" i="3"/>
  <c r="E151" i="3" s="1"/>
  <c r="F148" i="3"/>
  <c r="E148" i="3"/>
  <c r="D148" i="3"/>
  <c r="D144" i="3"/>
  <c r="F144" i="3" s="1"/>
  <c r="D140" i="3"/>
  <c r="F140" i="3" s="1"/>
  <c r="F136" i="3"/>
  <c r="D136" i="3"/>
  <c r="E136" i="3" s="1"/>
  <c r="F132" i="3"/>
  <c r="E132" i="3"/>
  <c r="D132" i="3"/>
  <c r="D128" i="3"/>
  <c r="F128" i="3" s="1"/>
  <c r="D125" i="3"/>
  <c r="F125" i="3" s="1"/>
  <c r="F122" i="3"/>
  <c r="D122" i="3"/>
  <c r="E122" i="3" s="1"/>
  <c r="F119" i="3"/>
  <c r="E119" i="3"/>
  <c r="D119" i="3"/>
  <c r="D116" i="3"/>
  <c r="F116" i="3" s="1"/>
  <c r="D110" i="3"/>
  <c r="F110" i="3" s="1"/>
  <c r="F106" i="3"/>
  <c r="D106" i="3"/>
  <c r="E106" i="3" s="1"/>
  <c r="F102" i="3"/>
  <c r="E102" i="3"/>
  <c r="D102" i="3"/>
  <c r="D98" i="3"/>
  <c r="F98" i="3" s="1"/>
  <c r="D94" i="3"/>
  <c r="F94" i="3" s="1"/>
  <c r="F90" i="3"/>
  <c r="D90" i="3"/>
  <c r="E90" i="3" s="1"/>
  <c r="F87" i="3"/>
  <c r="E87" i="3"/>
  <c r="D87" i="3"/>
  <c r="D85" i="3"/>
  <c r="F85" i="3" s="1"/>
  <c r="D83" i="3"/>
  <c r="F83" i="3" s="1"/>
  <c r="F80" i="3"/>
  <c r="D80" i="3"/>
  <c r="E80" i="3" s="1"/>
  <c r="F74" i="3"/>
  <c r="E74" i="3"/>
  <c r="D74" i="3"/>
  <c r="D70" i="3"/>
  <c r="F70" i="3" s="1"/>
  <c r="D66" i="3"/>
  <c r="F66" i="3" s="1"/>
  <c r="F62" i="3"/>
  <c r="D62" i="3"/>
  <c r="E62" i="3" s="1"/>
  <c r="F58" i="3"/>
  <c r="E58" i="3"/>
  <c r="D58" i="3"/>
  <c r="D54" i="3"/>
  <c r="F54" i="3" s="1"/>
  <c r="D51" i="3"/>
  <c r="F51" i="3" s="1"/>
  <c r="F49" i="3"/>
  <c r="D49" i="3"/>
  <c r="E49" i="3" s="1"/>
  <c r="F47" i="3"/>
  <c r="E47" i="3"/>
  <c r="D47" i="3"/>
  <c r="D45" i="3"/>
  <c r="F45" i="3" s="1"/>
  <c r="D43" i="3"/>
  <c r="F43" i="3" s="1"/>
  <c r="F39" i="3"/>
  <c r="D39" i="3"/>
  <c r="E39" i="3" s="1"/>
  <c r="F34" i="3"/>
  <c r="E34" i="3"/>
  <c r="D34" i="3"/>
  <c r="D30" i="3"/>
  <c r="F30" i="3" s="1"/>
  <c r="D26" i="3"/>
  <c r="F26" i="3" s="1"/>
  <c r="F22" i="3"/>
  <c r="D22" i="3"/>
  <c r="E22" i="3" s="1"/>
  <c r="F18" i="3"/>
  <c r="E18" i="3"/>
  <c r="D18" i="3"/>
  <c r="D13" i="3"/>
  <c r="F13" i="3" s="1"/>
  <c r="D10" i="3"/>
  <c r="F10" i="3" s="1"/>
  <c r="E13" i="3" l="1"/>
  <c r="E30" i="3"/>
  <c r="E45" i="3"/>
  <c r="E54" i="3"/>
  <c r="E70" i="3"/>
  <c r="E85" i="3"/>
  <c r="E98" i="3"/>
  <c r="E116" i="3"/>
  <c r="E128" i="3"/>
  <c r="E144" i="3"/>
  <c r="E157" i="3"/>
  <c r="E171" i="3"/>
  <c r="E181" i="3"/>
  <c r="E194" i="3"/>
  <c r="E206" i="3"/>
  <c r="E218" i="3"/>
  <c r="E233" i="3"/>
  <c r="E10" i="3"/>
  <c r="E26" i="3"/>
  <c r="E43" i="3"/>
  <c r="E51" i="3"/>
  <c r="E66" i="3"/>
  <c r="E83" i="3"/>
  <c r="E94" i="3"/>
  <c r="E110" i="3"/>
  <c r="E125" i="3"/>
  <c r="E140" i="3"/>
  <c r="E154" i="3"/>
  <c r="E168" i="3"/>
  <c r="E177" i="3"/>
  <c r="E191" i="3"/>
  <c r="E203" i="3"/>
  <c r="E215" i="3"/>
  <c r="E230" i="3"/>
  <c r="AF46" i="1"/>
  <c r="AF10" i="1"/>
  <c r="AF9" i="1"/>
  <c r="AG9" i="1"/>
  <c r="AF101" i="1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AO11" i="1" a="1"/>
  <c r="AO11" i="1" s="1"/>
  <c r="AQ11" i="1" s="1"/>
  <c r="AO12" i="1" a="1"/>
  <c r="AO12" i="1" s="1"/>
  <c r="AQ12" i="1" s="1"/>
  <c r="AO13" i="1" a="1"/>
  <c r="AO13" i="1" s="1"/>
  <c r="AQ13" i="1" s="1"/>
  <c r="AO14" i="1" a="1"/>
  <c r="AO14" i="1" s="1"/>
  <c r="AQ14" i="1" s="1"/>
  <c r="AO15" i="1" a="1"/>
  <c r="AO15" i="1" s="1"/>
  <c r="AQ15" i="1" s="1"/>
  <c r="AO16" i="1" a="1"/>
  <c r="AO16" i="1" s="1"/>
  <c r="AQ16" i="1" s="1"/>
  <c r="AO17" i="1" a="1"/>
  <c r="AO17" i="1" s="1"/>
  <c r="AQ17" i="1" s="1"/>
  <c r="AO10" i="1" a="1"/>
  <c r="AO10" i="1" s="1"/>
  <c r="AQ10" i="1" s="1"/>
  <c r="AN11" i="1" a="1"/>
  <c r="AN11" i="1" s="1"/>
  <c r="AP11" i="1" s="1"/>
  <c r="AN12" i="1" a="1"/>
  <c r="AN12" i="1" s="1"/>
  <c r="AP12" i="1" s="1"/>
  <c r="AN13" i="1" a="1"/>
  <c r="AN13" i="1" s="1"/>
  <c r="AP13" i="1" s="1"/>
  <c r="AN14" i="1" a="1"/>
  <c r="AN14" i="1" s="1"/>
  <c r="AP14" i="1" s="1"/>
  <c r="AN15" i="1" a="1"/>
  <c r="AN15" i="1" s="1"/>
  <c r="AP15" i="1" s="1"/>
  <c r="AN16" i="1" a="1"/>
  <c r="AN16" i="1" s="1"/>
  <c r="AP16" i="1" s="1"/>
  <c r="AN17" i="1" a="1"/>
  <c r="AN17" i="1" s="1"/>
  <c r="AP17" i="1" s="1"/>
  <c r="AN10" i="1" a="1"/>
  <c r="AN10" i="1" s="1"/>
  <c r="AP10" i="1" s="1"/>
  <c r="AD7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K4" i="1"/>
  <c r="K5" i="1"/>
  <c r="Z7" i="2"/>
  <c r="AA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Y7" i="2"/>
  <c r="AH2" i="2"/>
  <c r="F1" i="3"/>
  <c r="AG10" i="1" l="1"/>
  <c r="AG11" i="1" s="1"/>
  <c r="AG12" i="1" s="1"/>
  <c r="AG13" i="1" s="1"/>
  <c r="AG14" i="1" s="1"/>
  <c r="AG15" i="1" s="1"/>
  <c r="AG16" i="1" s="1"/>
  <c r="AG17" i="1" s="1"/>
  <c r="AG18" i="1" s="1"/>
  <c r="AG19" i="1" s="1"/>
  <c r="AG20" i="1" s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G34" i="1" s="1"/>
  <c r="AG35" i="1" s="1"/>
  <c r="AG36" i="1" s="1"/>
  <c r="AG37" i="1" s="1"/>
  <c r="AG38" i="1" s="1"/>
  <c r="AG39" i="1" s="1"/>
  <c r="AG40" i="1" s="1"/>
  <c r="AG41" i="1" s="1"/>
  <c r="AG42" i="1" s="1"/>
  <c r="AG43" i="1" s="1"/>
  <c r="AG44" i="1" s="1"/>
  <c r="AG45" i="1" s="1"/>
  <c r="AF7" i="1"/>
  <c r="AH3" i="2" s="1"/>
  <c r="F6" i="3"/>
  <c r="F4" i="3"/>
  <c r="F5" i="3" s="1"/>
  <c r="B2" i="3"/>
  <c r="AG46" i="1" l="1"/>
  <c r="AG47" i="1" s="1"/>
  <c r="AG48" i="1" s="1"/>
  <c r="AG49" i="1" s="1"/>
  <c r="AG50" i="1" s="1"/>
  <c r="AG51" i="1" s="1"/>
  <c r="AG52" i="1" s="1"/>
  <c r="AG53" i="1" s="1"/>
  <c r="AG54" i="1" s="1"/>
  <c r="AG55" i="1" s="1"/>
  <c r="AG56" i="1" s="1"/>
  <c r="AG57" i="1" s="1"/>
  <c r="AG58" i="1" s="1"/>
  <c r="AG59" i="1" s="1"/>
  <c r="AG60" i="1" s="1"/>
  <c r="AG61" i="1" s="1"/>
  <c r="AG62" i="1" s="1"/>
  <c r="AG63" i="1" s="1"/>
  <c r="AG64" i="1" s="1"/>
  <c r="AG65" i="1" s="1"/>
  <c r="AG66" i="1" s="1"/>
  <c r="AG67" i="1" s="1"/>
  <c r="AG68" i="1" s="1"/>
  <c r="AG69" i="1" s="1"/>
  <c r="AG70" i="1" s="1"/>
  <c r="AG71" i="1" s="1"/>
  <c r="AG72" i="1" s="1"/>
  <c r="AG73" i="1" s="1"/>
  <c r="AG74" i="1" s="1"/>
  <c r="AG75" i="1" s="1"/>
  <c r="AG76" i="1" s="1"/>
  <c r="AG77" i="1" s="1"/>
  <c r="AG78" i="1" s="1"/>
  <c r="AG79" i="1" s="1"/>
  <c r="AG80" i="1" s="1"/>
  <c r="AG81" i="1" s="1"/>
  <c r="AG82" i="1" s="1"/>
  <c r="AG83" i="1" s="1"/>
  <c r="AG84" i="1" s="1"/>
  <c r="AG85" i="1" s="1"/>
  <c r="AG86" i="1" s="1"/>
  <c r="AG87" i="1" s="1"/>
  <c r="AG88" i="1" s="1"/>
  <c r="AG89" i="1" s="1"/>
  <c r="AG90" i="1" s="1"/>
  <c r="AG91" i="1" s="1"/>
  <c r="AG92" i="1" s="1"/>
  <c r="AG93" i="1" s="1"/>
  <c r="AG94" i="1" s="1"/>
  <c r="AG95" i="1" s="1"/>
  <c r="AG96" i="1" s="1"/>
  <c r="AG97" i="1" s="1"/>
  <c r="AG98" i="1" s="1"/>
  <c r="AG99" i="1" s="1"/>
  <c r="AG100" i="1" s="1"/>
  <c r="AG101" i="1" s="1"/>
  <c r="AA8" i="2"/>
  <c r="F11" i="2"/>
  <c r="E22" i="2"/>
  <c r="E37" i="2"/>
  <c r="B2" i="2"/>
  <c r="H11" i="2"/>
  <c r="D37" i="2"/>
  <c r="A22" i="2"/>
  <c r="A37" i="2"/>
  <c r="F33" i="2"/>
  <c r="H33" i="2" s="1"/>
  <c r="F24" i="2"/>
  <c r="H24" i="2" s="1"/>
  <c r="D22" i="2"/>
  <c r="F22" i="2"/>
  <c r="E39" i="2" l="1"/>
  <c r="D39" i="2"/>
  <c r="F37" i="2"/>
  <c r="H37" i="2" s="1"/>
  <c r="H22" i="2"/>
  <c r="F39" i="2" l="1"/>
  <c r="H39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<sst xmlns="http://schemas.openxmlformats.org/spreadsheetml/2006/main" count="265" uniqueCount="155">
  <si>
    <t>Sous-groupe</t>
  </si>
  <si>
    <t>No. LP</t>
  </si>
  <si>
    <t>Qté</t>
  </si>
  <si>
    <t>Long.</t>
  </si>
  <si>
    <t>Chainage</t>
  </si>
  <si>
    <t>Liste de stock</t>
  </si>
  <si>
    <t>Liste des chutes non attribuées</t>
  </si>
  <si>
    <t>Ref Chantier :</t>
  </si>
  <si>
    <t>Nom</t>
  </si>
  <si>
    <t>NOM ENTREPRISE</t>
  </si>
  <si>
    <t>Barre à débiter</t>
  </si>
  <si>
    <t>exemple</t>
  </si>
  <si>
    <t>Long. Restante</t>
  </si>
  <si>
    <t>% de chutes</t>
  </si>
  <si>
    <t>exemple 1</t>
  </si>
  <si>
    <t>exemple 2</t>
  </si>
  <si>
    <t>exemple 3</t>
  </si>
  <si>
    <t>exemple 4</t>
  </si>
  <si>
    <t>exemple 5</t>
  </si>
  <si>
    <t>exemple 6</t>
  </si>
  <si>
    <t>Réemploi de chute</t>
  </si>
  <si>
    <t>Ss groupe 3</t>
  </si>
  <si>
    <t>NON</t>
  </si>
  <si>
    <t>Date :</t>
  </si>
  <si>
    <t>TEST</t>
  </si>
  <si>
    <t>TOTAL</t>
  </si>
  <si>
    <t>Pièce(s)s nécessaire :</t>
  </si>
  <si>
    <t>mm</t>
  </si>
  <si>
    <t>Coupe en début et fin de barre de stock</t>
  </si>
  <si>
    <t>(10mm en début + 10mm en fin) seulement sur les barre de stock, pas besoin sur les chutes réutilisées</t>
  </si>
  <si>
    <t>Largeur de coupe</t>
  </si>
  <si>
    <t>Lmin (chutes)</t>
  </si>
  <si>
    <t>Stockage chute</t>
  </si>
  <si>
    <t>Longueur</t>
  </si>
  <si>
    <t>chute</t>
  </si>
  <si>
    <t>Cuts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</si>
  <si>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</si>
  <si>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</si>
  <si>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</si>
  <si>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</si>
  <si>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</si>
  <si>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</si>
  <si>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</si>
  <si>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</si>
  <si>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</si>
  <si>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</si>
  <si>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</si>
  <si>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</si>
  <si>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</si>
  <si>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</si>
  <si>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</si>
  <si>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check</t>
  </si>
  <si>
    <t>Kolom1</t>
  </si>
  <si>
    <t>tijd</t>
  </si>
  <si>
    <t>Start</t>
  </si>
  <si>
    <t>planche</t>
  </si>
  <si>
    <t>Scie</t>
  </si>
  <si>
    <t>IN</t>
  </si>
  <si>
    <t>OUT1</t>
  </si>
  <si>
    <t>Long.2</t>
  </si>
  <si>
    <t>tot</t>
  </si>
  <si>
    <t>OUT2</t>
  </si>
  <si>
    <t>Eindtotaal</t>
  </si>
  <si>
    <t>Som van Qté</t>
  </si>
  <si>
    <t>Waarden</t>
  </si>
  <si>
    <t>Som van tot</t>
  </si>
  <si>
    <t>Compteur</t>
  </si>
  <si>
    <t>10 | 3.532 | 4.828 | 5.014 | 5.072</t>
  </si>
  <si>
    <t>10 | 3.532 | 4.828 | 4.875</t>
  </si>
  <si>
    <t>10 | 3.236 | 4.442 | 5.001</t>
  </si>
  <si>
    <t>10 | 3.236 | 4.207 | 4.958</t>
  </si>
  <si>
    <t>10 | 3.236 | 3.795 | 4.354 | 4.828</t>
  </si>
  <si>
    <t>10 | 3.236 | 3.581 | 3.915</t>
  </si>
  <si>
    <t>10 | 3.236</t>
  </si>
  <si>
    <t>10 | 2.446 | 4.882</t>
  </si>
  <si>
    <t>10 | 3.544 | 4.840 | 5.094</t>
  </si>
  <si>
    <t>10 | 3.544 | 4.840 | 4.955</t>
  </si>
  <si>
    <t>10 | 3.236 | 4.442 | 5.039</t>
  </si>
  <si>
    <t>10 | 3.236 | 3.795 | 4.354 | 4.771 | 5.037</t>
  </si>
  <si>
    <t>10 | 3.532 | 4.828 | 5.055</t>
  </si>
  <si>
    <t>10 | 3.532 | 4.828 | 4.983</t>
  </si>
  <si>
    <t>10 | 3.236 | 3.795 | 4.320 | 4.796 | 5.090</t>
  </si>
  <si>
    <t>10 | 3.236 | 5.672</t>
  </si>
  <si>
    <t>10 | 4.356 | 5.652 | 5.957</t>
  </si>
  <si>
    <t>10 | 4.266 | 5.562 | 5.917</t>
  </si>
  <si>
    <t>10 | 2.702 | 5.394 | 5.953</t>
  </si>
  <si>
    <t>10 | 2.702 | 5.394</t>
  </si>
  <si>
    <t>10 | 2.512 | 5.014 | 5.985</t>
  </si>
  <si>
    <t>10 | 2.437 | 4.864 | 5.835</t>
  </si>
  <si>
    <t>10 | 2.819 | 5.607</t>
  </si>
  <si>
    <t>10 | 2.751 | 5.463</t>
  </si>
  <si>
    <t>10 | 1.269</t>
  </si>
  <si>
    <t>10 | 5.835</t>
  </si>
  <si>
    <t>10 | 3.206 | 5.642 | 5.976</t>
  </si>
  <si>
    <t>10 | 2.819 | 5.627</t>
  </si>
  <si>
    <t>10 | 2.819 | 5.255</t>
  </si>
  <si>
    <t>10 | 2.446 | 3.742</t>
  </si>
  <si>
    <t>10 | 2.799 | 5.539</t>
  </si>
  <si>
    <t>10 | 2.722 | 3.981</t>
  </si>
  <si>
    <t>10 | 3.518 | 5.974</t>
  </si>
  <si>
    <t>10 | 3.385 | 5.842</t>
  </si>
  <si>
    <t>10 | 2.702 | 5.394 | 5.958</t>
  </si>
  <si>
    <t>10 | 2.702 | 5.394 | 5.812</t>
  </si>
  <si>
    <t>10 | 2.702 | 5.159 | 5.355</t>
  </si>
  <si>
    <t>10 | 2.437 | 4.864</t>
  </si>
  <si>
    <t>10 | 2.296</t>
  </si>
  <si>
    <t>10 | 2.296 | 4.492 | 5.763</t>
  </si>
  <si>
    <t>10 | 1.281</t>
  </si>
  <si>
    <t>LP1</t>
  </si>
  <si>
    <t>LP2</t>
  </si>
  <si>
    <t>LP3</t>
  </si>
  <si>
    <t>LP4</t>
  </si>
  <si>
    <t>LP5</t>
  </si>
  <si>
    <t>LP6</t>
  </si>
  <si>
    <t>LP7</t>
  </si>
  <si>
    <t>LP8</t>
  </si>
  <si>
    <t>LP9</t>
  </si>
  <si>
    <t>LP10</t>
  </si>
  <si>
    <t>LP11</t>
  </si>
  <si>
    <t>LP12</t>
  </si>
  <si>
    <t>LP13</t>
  </si>
  <si>
    <t>LP14</t>
  </si>
  <si>
    <t>LP15</t>
  </si>
  <si>
    <t xml:space="preserve">66 &gt;&gt; </t>
  </si>
  <si>
    <t>[1.265]</t>
  </si>
  <si>
    <t>[220]</t>
  </si>
  <si>
    <t>[2.280]</t>
  </si>
  <si>
    <t>[243]</t>
  </si>
  <si>
    <t>[1.253]</t>
  </si>
  <si>
    <t>[219]</t>
  </si>
  <si>
    <t>sous groupe &amp; longueur</t>
  </si>
  <si>
    <t>N° dict2</t>
  </si>
  <si>
    <t>LP</t>
  </si>
  <si>
    <t>nombre non traité</t>
  </si>
  <si>
    <t>10 | 5.616 | 5.632</t>
  </si>
  <si>
    <t>&gt;&gt; 22</t>
  </si>
  <si>
    <t>10 | 3.236 // SG 9 : 4.504</t>
  </si>
  <si>
    <t>10 | 3.236 | 3.602 // SG 9 : 5.885</t>
  </si>
  <si>
    <t>&gt;&gt; 20</t>
  </si>
  <si>
    <t>10 | 3.236 | 3.642 // SG 6 : 4.898</t>
  </si>
  <si>
    <t>5|1200</t>
  </si>
  <si>
    <t>6|1245</t>
  </si>
  <si>
    <t>7|1290</t>
  </si>
  <si>
    <t>8|1245</t>
  </si>
  <si>
    <t>9|1265</t>
  </si>
  <si>
    <t>10|5600</t>
  </si>
  <si>
    <t>xxx</t>
  </si>
  <si>
    <t>10 | 3.236 | 5.842</t>
  </si>
  <si>
    <t xml:space="preserve">68 &gt;&gt; </t>
  </si>
  <si>
    <t>&gt;&gt; 33</t>
  </si>
  <si>
    <t xml:space="preserve">46 &gt;&gt; </t>
  </si>
  <si>
    <t>Check
longueur</t>
  </si>
  <si>
    <t>Sous
groupe</t>
  </si>
  <si>
    <t>123-1</t>
  </si>
  <si>
    <t>123-2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</si>
</sst>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3" formatCode="_-* #,##0.00_-;\-* #,##0.00_-;_-* &quot;-&quot;??_-;_-@_-"/>
    <numFmt numFmtId="164" formatCode="0.0%"/>
    <numFmt numFmtId="165" formatCode="0&quot;u de&quot;"/>
    <numFmt numFmtId="166" formatCode="0&quot;mm&quot;"/>
    <numFmt numFmtId="167" formatCode="00.0%"/>
    <numFmt numFmtId="168" formatCode="#,##0.0"/>
    <numFmt numFmtId="169" formatCode="h:mm:ss;@"/>
    <numFmt numFmtId="170" formatCode="hh:mm:ss;@"/>
    <numFmt numFmtId="171" formatCode="_-* #,##0.0_-;\-* #,##0.0_-;_-* &quot;-&quot;??_-;_-@_-"/>
  </numFmts>
  <fonts count="21" x14ac:knownFonts="1">
    <font>
      <sz val="10"/>
      <name val="Tahoma"/>
    </font>
    <font>
      <b/>
      <sz val="10"/>
      <color rgb="FF000000"/>
      <name val="Tahoma"/>
      <family val="2"/>
    </font>
    <font>
      <sz val="10"/>
      <name val="Tahoma"/>
      <family val="2"/>
    </font>
    <font>
      <b/>
      <sz val="10"/>
      <name val="Tahoma"/>
      <family val="2"/>
    </font>
    <font>
      <u/>
      <sz val="13"/>
      <name val="Times New Roman"/>
      <family val="1"/>
    </font>
    <font>
      <sz val="13"/>
      <name val="Times New Roman"/>
      <family val="1"/>
    </font>
    <font>
      <b/>
      <sz val="10"/>
      <color rgb="FF000000"/>
      <name val="Tahoma"/>
      <family val="2"/>
    </font>
    <font>
      <sz val="16"/>
      <name val="Times New Roman"/>
      <family val="1"/>
    </font>
    <font>
      <sz val="10"/>
      <color rgb="FF000000"/>
      <name val="Tahoma"/>
      <family val="2"/>
    </font>
    <font>
      <b/>
      <sz val="13"/>
      <name val="Times New Roman"/>
      <family val="1"/>
    </font>
    <font>
      <sz val="8"/>
      <name val="Tahoma"/>
      <family val="2"/>
    </font>
    <font>
      <b/>
      <sz val="14"/>
      <name val="Times New Roman"/>
      <family val="1"/>
    </font>
    <font>
      <b/>
      <i/>
      <sz val="13"/>
      <name val="Times New Roman"/>
      <family val="1"/>
    </font>
    <font>
      <b/>
      <i/>
      <sz val="13"/>
      <color rgb="FFFF0000"/>
      <name val="Times New Roman"/>
      <family val="1"/>
    </font>
    <font>
      <b/>
      <sz val="13"/>
      <color theme="0"/>
      <name val="Times New Roman"/>
      <family val="1"/>
    </font>
    <font>
      <b/>
      <u/>
      <sz val="13"/>
      <name val="Times New Roman"/>
      <family val="1"/>
    </font>
    <font>
      <sz val="10"/>
      <name val="Tahoma"/>
      <family val="2"/>
    </font>
    <font>
      <sz val="12"/>
      <color rgb="FF3F3F76"/>
      <name val="Aptos Narrow"/>
      <family val="2"/>
      <scheme val="minor"/>
    </font>
    <font>
      <b/>
      <sz val="11"/>
      <name val="Tahoma"/>
      <family val="2"/>
    </font>
    <font>
      <b/>
      <sz val="10"/>
      <color rgb="FFFF0000"/>
      <name val="Tahoma"/>
      <family val="2"/>
    </font>
    <font>
      <sz val="7"/>
      <color theme="0" tint="-0.34998626667073579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DCDCDC"/>
      </patternFill>
    </fill>
    <fill>
      <patternFill patternType="solid">
        <fgColor rgb="FFFFFFFF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rgb="FFFFCC99"/>
      </patternFill>
    </fill>
    <fill>
      <patternFill patternType="solid">
        <fgColor rgb="FFC0E6F5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  <border>
      <left style="thin">
        <color indexed="64"/>
      </left>
      <right style="hair">
        <color theme="0"/>
      </right>
      <top style="thin">
        <color indexed="64"/>
      </top>
      <bottom style="hair">
        <color theme="0"/>
      </bottom>
      <diagonal/>
    </border>
    <border>
      <left style="thin">
        <color indexed="64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thin">
        <color indexed="64"/>
      </left>
      <right style="hair">
        <color theme="0"/>
      </right>
      <top/>
      <bottom style="hair">
        <color theme="0"/>
      </bottom>
      <diagonal/>
    </border>
    <border>
      <left style="hair">
        <color theme="0"/>
      </left>
      <right style="thin">
        <color indexed="64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thin">
        <color indexed="64"/>
      </right>
      <top/>
      <bottom style="hair">
        <color theme="0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dotted">
        <color rgb="FF000000"/>
      </left>
      <right style="dotted">
        <color rgb="FF000000"/>
      </right>
      <top/>
      <bottom style="thick">
        <color rgb="FF000000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</borders>
  <cellStyleXfs count="5">
    <xf numFmtId="0" fontId="0" fillId="0" borderId="0"/>
    <xf numFmtId="9" fontId="2" fillId="0" borderId="0" applyFont="0" applyFill="0" applyBorder="0" applyAlignment="0" applyProtection="0"/>
    <xf numFmtId="0" fontId="17" fillId="11" borderId="22" applyNumberFormat="0" applyAlignment="0" applyProtection="0"/>
    <xf numFmtId="0" fontId="16" fillId="0" borderId="0"/>
    <xf numFmtId="43" fontId="2" fillId="0" borderId="0" applyFont="0" applyFill="0" applyBorder="0" applyAlignment="0" applyProtection="0"/>
  </cellStyleXfs>
  <cellXfs count="151">
    <xf numFmtId="0" fontId="0" fillId="0" borderId="0" xfId="0"/>
    <xf numFmtId="2" fontId="1" fillId="2" borderId="1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2" fontId="1" fillId="4" borderId="3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0" fillId="0" borderId="6" xfId="0" applyBorder="1" applyAlignment="1">
      <alignment horizontal="right"/>
    </xf>
    <xf numFmtId="0" fontId="3" fillId="0" borderId="7" xfId="0" applyFont="1" applyBorder="1" applyAlignment="1">
      <alignment horizontal="right"/>
    </xf>
    <xf numFmtId="0" fontId="0" fillId="0" borderId="7" xfId="0" applyBorder="1" applyAlignment="1">
      <alignment horizontal="right"/>
    </xf>
    <xf numFmtId="0" fontId="4" fillId="0" borderId="0" xfId="0" applyFont="1" applyAlignment="1">
      <alignment horizontal="left"/>
    </xf>
    <xf numFmtId="0" fontId="5" fillId="0" borderId="0" xfId="0" applyFont="1"/>
    <xf numFmtId="2" fontId="6" fillId="2" borderId="4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5" fillId="0" borderId="6" xfId="0" applyFont="1" applyBorder="1"/>
    <xf numFmtId="0" fontId="5" fillId="0" borderId="7" xfId="0" applyFont="1" applyBorder="1"/>
    <xf numFmtId="0" fontId="5" fillId="0" borderId="12" xfId="0" applyFont="1" applyBorder="1"/>
    <xf numFmtId="0" fontId="5" fillId="0" borderId="13" xfId="0" applyFont="1" applyBorder="1"/>
    <xf numFmtId="0" fontId="5" fillId="0" borderId="14" xfId="0" applyFont="1" applyBorder="1"/>
    <xf numFmtId="0" fontId="5" fillId="0" borderId="13" xfId="0" applyFont="1" applyBorder="1" applyAlignment="1">
      <alignment horizontal="center"/>
    </xf>
    <xf numFmtId="0" fontId="5" fillId="9" borderId="15" xfId="0" applyFont="1" applyFill="1" applyBorder="1"/>
    <xf numFmtId="0" fontId="5" fillId="9" borderId="15" xfId="0" applyFont="1" applyFill="1" applyBorder="1" applyAlignment="1">
      <alignment horizontal="center"/>
    </xf>
    <xf numFmtId="0" fontId="7" fillId="0" borderId="0" xfId="0" applyFont="1" applyAlignment="1">
      <alignment vertical="center"/>
    </xf>
    <xf numFmtId="0" fontId="12" fillId="8" borderId="16" xfId="0" applyFont="1" applyFill="1" applyBorder="1"/>
    <xf numFmtId="0" fontId="12" fillId="8" borderId="16" xfId="0" applyFont="1" applyFill="1" applyBorder="1" applyAlignment="1">
      <alignment horizontal="center"/>
    </xf>
    <xf numFmtId="0" fontId="13" fillId="8" borderId="16" xfId="0" applyFont="1" applyFill="1" applyBorder="1" applyAlignment="1">
      <alignment horizontal="center"/>
    </xf>
    <xf numFmtId="0" fontId="14" fillId="10" borderId="6" xfId="0" applyFont="1" applyFill="1" applyBorder="1"/>
    <xf numFmtId="0" fontId="14" fillId="10" borderId="0" xfId="0" applyFont="1" applyFill="1"/>
    <xf numFmtId="0" fontId="14" fillId="10" borderId="0" xfId="0" applyFont="1" applyFill="1" applyAlignment="1">
      <alignment horizontal="center"/>
    </xf>
    <xf numFmtId="9" fontId="14" fillId="10" borderId="7" xfId="0" applyNumberFormat="1" applyFont="1" applyFill="1" applyBorder="1" applyAlignment="1">
      <alignment horizontal="center"/>
    </xf>
    <xf numFmtId="0" fontId="5" fillId="9" borderId="18" xfId="0" applyFont="1" applyFill="1" applyBorder="1"/>
    <xf numFmtId="0" fontId="12" fillId="8" borderId="19" xfId="0" applyFont="1" applyFill="1" applyBorder="1"/>
    <xf numFmtId="164" fontId="5" fillId="9" borderId="20" xfId="1" applyNumberFormat="1" applyFont="1" applyFill="1" applyBorder="1" applyAlignment="1">
      <alignment horizontal="center"/>
    </xf>
    <xf numFmtId="0" fontId="5" fillId="9" borderId="20" xfId="0" applyFont="1" applyFill="1" applyBorder="1" applyAlignment="1">
      <alignment horizontal="center"/>
    </xf>
    <xf numFmtId="9" fontId="12" fillId="8" borderId="21" xfId="1" applyFont="1" applyFill="1" applyBorder="1" applyAlignment="1">
      <alignment horizontal="center"/>
    </xf>
    <xf numFmtId="14" fontId="4" fillId="0" borderId="0" xfId="0" applyNumberFormat="1" applyFont="1" applyAlignment="1">
      <alignment horizontal="left"/>
    </xf>
    <xf numFmtId="0" fontId="15" fillId="0" borderId="0" xfId="0" applyFont="1" applyAlignment="1">
      <alignment horizontal="left"/>
    </xf>
    <xf numFmtId="0" fontId="15" fillId="0" borderId="0" xfId="0" applyFont="1"/>
    <xf numFmtId="0" fontId="11" fillId="0" borderId="10" xfId="0" applyFont="1" applyBorder="1"/>
    <xf numFmtId="0" fontId="11" fillId="0" borderId="13" xfId="0" applyFont="1" applyBorder="1"/>
    <xf numFmtId="1" fontId="5" fillId="9" borderId="15" xfId="0" applyNumberFormat="1" applyFont="1" applyFill="1" applyBorder="1"/>
    <xf numFmtId="165" fontId="5" fillId="0" borderId="0" xfId="0" applyNumberFormat="1" applyFont="1" applyAlignment="1">
      <alignment horizontal="right" vertical="center"/>
    </xf>
    <xf numFmtId="166" fontId="5" fillId="0" borderId="0" xfId="0" applyNumberFormat="1" applyFont="1" applyAlignment="1">
      <alignment horizontal="left" vertical="center"/>
    </xf>
    <xf numFmtId="0" fontId="16" fillId="0" borderId="0" xfId="0" applyFont="1"/>
    <xf numFmtId="0" fontId="16" fillId="0" borderId="0" xfId="0" applyFont="1" applyAlignment="1">
      <alignment horizontal="right"/>
    </xf>
    <xf numFmtId="0" fontId="9" fillId="0" borderId="11" xfId="0" applyFont="1" applyBorder="1" applyAlignment="1">
      <alignment horizontal="center" vertical="center" wrapText="1"/>
    </xf>
    <xf numFmtId="0" fontId="17" fillId="11" borderId="22" xfId="2"/>
    <xf numFmtId="0" fontId="17" fillId="11" borderId="22" xfId="2" applyAlignment="1">
      <alignment horizontal="right"/>
    </xf>
    <xf numFmtId="0" fontId="17" fillId="11" borderId="23" xfId="2" applyBorder="1" applyAlignment="1">
      <alignment horizontal="right"/>
    </xf>
    <xf numFmtId="0" fontId="0" fillId="0" borderId="6" xfId="0" applyBorder="1"/>
    <xf numFmtId="0" fontId="17" fillId="11" borderId="22" xfId="2" applyAlignment="1"/>
    <xf numFmtId="0" fontId="15" fillId="0" borderId="0" xfId="3" applyFont="1" applyAlignment="1">
      <alignment horizontal="left"/>
    </xf>
    <xf numFmtId="0" fontId="15" fillId="0" borderId="0" xfId="3" applyFont="1"/>
    <xf numFmtId="0" fontId="5" fillId="0" borderId="0" xfId="3" applyFont="1"/>
    <xf numFmtId="0" fontId="7" fillId="0" borderId="0" xfId="3" applyFont="1" applyAlignment="1">
      <alignment vertical="center"/>
    </xf>
    <xf numFmtId="0" fontId="4" fillId="0" borderId="0" xfId="3" applyFont="1" applyAlignment="1">
      <alignment horizontal="left"/>
    </xf>
    <xf numFmtId="14" fontId="4" fillId="0" borderId="0" xfId="3" applyNumberFormat="1" applyFont="1" applyAlignment="1">
      <alignment horizontal="left"/>
    </xf>
    <xf numFmtId="0" fontId="7" fillId="0" borderId="0" xfId="3" applyFont="1" applyAlignment="1">
      <alignment horizontal="center" vertical="center"/>
    </xf>
    <xf numFmtId="165" fontId="5" fillId="0" borderId="0" xfId="3" applyNumberFormat="1" applyFont="1" applyAlignment="1">
      <alignment horizontal="right" vertical="center"/>
    </xf>
    <xf numFmtId="0" fontId="16" fillId="0" borderId="0" xfId="3"/>
    <xf numFmtId="1" fontId="8" fillId="6" borderId="5" xfId="0" applyNumberFormat="1" applyFont="1" applyFill="1" applyBorder="1" applyAlignment="1">
      <alignment horizontal="center" vertical="center" wrapText="1"/>
    </xf>
    <xf numFmtId="1" fontId="8" fillId="6" borderId="5" xfId="0" applyNumberFormat="1" applyFont="1" applyFill="1" applyBorder="1" applyAlignment="1">
      <alignment horizontal="right" vertical="center" wrapText="1"/>
    </xf>
    <xf numFmtId="1" fontId="8" fillId="7" borderId="5" xfId="0" applyNumberFormat="1" applyFont="1" applyFill="1" applyBorder="1" applyAlignment="1">
      <alignment horizontal="center" vertical="center" wrapText="1"/>
    </xf>
    <xf numFmtId="1" fontId="8" fillId="7" borderId="5" xfId="0" applyNumberFormat="1" applyFont="1" applyFill="1" applyBorder="1" applyAlignment="1">
      <alignment horizontal="right" vertical="center" wrapText="1"/>
    </xf>
    <xf numFmtId="167" fontId="0" fillId="0" borderId="0" xfId="0" applyNumberFormat="1"/>
    <xf numFmtId="0" fontId="3" fillId="12" borderId="0" xfId="0" applyFont="1" applyFill="1"/>
    <xf numFmtId="1" fontId="3" fillId="12" borderId="0" xfId="0" applyNumberFormat="1" applyFont="1" applyFill="1"/>
    <xf numFmtId="167" fontId="3" fillId="12" borderId="0" xfId="0" applyNumberFormat="1" applyFont="1" applyFill="1"/>
    <xf numFmtId="1" fontId="0" fillId="0" borderId="0" xfId="0" applyNumberFormat="1"/>
    <xf numFmtId="4" fontId="5" fillId="0" borderId="0" xfId="3" applyNumberFormat="1" applyFont="1" applyAlignment="1">
      <alignment horizontal="center"/>
    </xf>
    <xf numFmtId="4" fontId="5" fillId="0" borderId="0" xfId="3" applyNumberFormat="1" applyFont="1"/>
    <xf numFmtId="4" fontId="5" fillId="0" borderId="0" xfId="3" applyNumberFormat="1" applyFont="1" applyAlignment="1">
      <alignment horizontal="left" vertical="center"/>
    </xf>
    <xf numFmtId="4" fontId="7" fillId="0" borderId="0" xfId="3" applyNumberFormat="1" applyFont="1" applyAlignment="1">
      <alignment horizontal="center" vertical="center"/>
    </xf>
    <xf numFmtId="4" fontId="9" fillId="0" borderId="11" xfId="0" applyNumberFormat="1" applyFont="1" applyBorder="1" applyAlignment="1">
      <alignment horizontal="center" vertical="center" wrapText="1"/>
    </xf>
    <xf numFmtId="4" fontId="0" fillId="0" borderId="0" xfId="0" applyNumberFormat="1"/>
    <xf numFmtId="168" fontId="5" fillId="0" borderId="0" xfId="0" applyNumberFormat="1" applyFont="1" applyAlignment="1">
      <alignment horizontal="center"/>
    </xf>
    <xf numFmtId="1" fontId="5" fillId="0" borderId="0" xfId="0" applyNumberFormat="1" applyFont="1"/>
    <xf numFmtId="1" fontId="5" fillId="0" borderId="0" xfId="0" applyNumberFormat="1" applyFont="1" applyAlignment="1">
      <alignment horizontal="center"/>
    </xf>
    <xf numFmtId="0" fontId="12" fillId="0" borderId="0" xfId="0" applyFont="1"/>
    <xf numFmtId="1" fontId="12" fillId="0" borderId="0" xfId="0" applyNumberFormat="1" applyFont="1" applyAlignment="1">
      <alignment horizontal="center"/>
    </xf>
    <xf numFmtId="169" fontId="12" fillId="13" borderId="0" xfId="0" applyNumberFormat="1" applyFont="1" applyFill="1"/>
    <xf numFmtId="170" fontId="12" fillId="13" borderId="0" xfId="0" applyNumberFormat="1" applyFont="1" applyFill="1"/>
    <xf numFmtId="170" fontId="5" fillId="0" borderId="0" xfId="0" applyNumberFormat="1" applyFont="1"/>
    <xf numFmtId="170" fontId="5" fillId="0" borderId="0" xfId="0" applyNumberFormat="1" applyFont="1" applyAlignment="1">
      <alignment horizontal="center"/>
    </xf>
    <xf numFmtId="2" fontId="16" fillId="0" borderId="0" xfId="0" applyNumberFormat="1" applyFont="1" applyAlignment="1">
      <alignment horizontal="center" vertical="center"/>
    </xf>
    <xf numFmtId="1" fontId="16" fillId="0" borderId="0" xfId="0" applyNumberFormat="1" applyFont="1" applyAlignment="1">
      <alignment horizontal="center" vertical="center" wrapText="1"/>
    </xf>
    <xf numFmtId="4" fontId="16" fillId="0" borderId="0" xfId="0" applyNumberFormat="1" applyFont="1" applyAlignment="1">
      <alignment horizontal="right" vertical="center"/>
    </xf>
    <xf numFmtId="4" fontId="16" fillId="0" borderId="0" xfId="0" applyNumberFormat="1" applyFont="1" applyAlignment="1">
      <alignment horizontal="right" vertical="center" wrapText="1"/>
    </xf>
    <xf numFmtId="4" fontId="16" fillId="0" borderId="0" xfId="0" applyNumberFormat="1" applyFont="1"/>
    <xf numFmtId="2" fontId="16" fillId="0" borderId="0" xfId="0" applyNumberFormat="1" applyFont="1" applyAlignment="1">
      <alignment horizontal="center" vertical="center" wrapText="1"/>
    </xf>
    <xf numFmtId="2" fontId="16" fillId="0" borderId="24" xfId="0" applyNumberFormat="1" applyFont="1" applyBorder="1" applyAlignment="1">
      <alignment horizontal="center" vertical="center"/>
    </xf>
    <xf numFmtId="2" fontId="0" fillId="0" borderId="0" xfId="0" applyNumberFormat="1"/>
    <xf numFmtId="0" fontId="0" fillId="0" borderId="0" xfId="0" pivotButton="1"/>
    <xf numFmtId="1" fontId="16" fillId="0" borderId="24" xfId="0" applyNumberFormat="1" applyFont="1" applyBorder="1" applyAlignment="1">
      <alignment horizontal="center" vertical="center"/>
    </xf>
    <xf numFmtId="171" fontId="0" fillId="0" borderId="0" xfId="4" applyNumberFormat="1" applyFont="1"/>
    <xf numFmtId="4" fontId="1" fillId="5" borderId="4" xfId="0" applyNumberFormat="1" applyFont="1" applyFill="1" applyBorder="1" applyAlignment="1">
      <alignment horizontal="right" vertical="center"/>
    </xf>
    <xf numFmtId="4" fontId="8" fillId="6" borderId="5" xfId="0" applyNumberFormat="1" applyFont="1" applyFill="1" applyBorder="1" applyAlignment="1">
      <alignment horizontal="right" vertical="center" wrapText="1"/>
    </xf>
    <xf numFmtId="4" fontId="8" fillId="7" borderId="5" xfId="0" applyNumberFormat="1" applyFont="1" applyFill="1" applyBorder="1" applyAlignment="1">
      <alignment horizontal="right" vertical="center" wrapText="1"/>
    </xf>
    <xf numFmtId="49" fontId="5" fillId="0" borderId="0" xfId="0" applyNumberFormat="1" applyFont="1"/>
    <xf numFmtId="49" fontId="5" fillId="0" borderId="0" xfId="0" applyNumberFormat="1" applyFont="1" applyAlignment="1">
      <alignment horizontal="center"/>
    </xf>
    <xf numFmtId="0" fontId="18" fillId="0" borderId="0" xfId="0" applyFont="1"/>
    <xf numFmtId="1" fontId="2" fillId="0" borderId="0" xfId="0" applyNumberFormat="1" applyFont="1" applyAlignment="1">
      <alignment horizontal="center" vertical="center" wrapText="1"/>
    </xf>
    <xf numFmtId="4" fontId="2" fillId="0" borderId="0" xfId="0" applyNumberFormat="1" applyFont="1" applyAlignment="1">
      <alignment horizontal="right" vertical="center" wrapText="1"/>
    </xf>
    <xf numFmtId="2" fontId="2" fillId="0" borderId="0" xfId="0" applyNumberFormat="1" applyFont="1" applyAlignment="1">
      <alignment horizontal="center" vertical="center" wrapText="1"/>
    </xf>
    <xf numFmtId="1" fontId="19" fillId="0" borderId="0" xfId="0" applyNumberFormat="1" applyFont="1" applyAlignment="1">
      <alignment horizontal="center" vertical="center" wrapText="1"/>
    </xf>
    <xf numFmtId="4" fontId="19" fillId="0" borderId="0" xfId="0" applyNumberFormat="1" applyFont="1" applyAlignment="1">
      <alignment horizontal="right" vertical="center" wrapText="1"/>
    </xf>
    <xf numFmtId="2" fontId="19" fillId="0" borderId="0" xfId="0" applyNumberFormat="1" applyFont="1" applyAlignment="1">
      <alignment horizontal="center" vertical="center" wrapText="1"/>
    </xf>
    <xf numFmtId="1" fontId="19" fillId="13" borderId="0" xfId="0" applyNumberFormat="1" applyFont="1" applyFill="1" applyAlignment="1">
      <alignment horizontal="center" vertical="center" wrapText="1"/>
    </xf>
    <xf numFmtId="0" fontId="12" fillId="8" borderId="17" xfId="0" applyFont="1" applyFill="1" applyBorder="1" applyAlignment="1">
      <alignment wrapText="1"/>
    </xf>
    <xf numFmtId="0" fontId="12" fillId="8" borderId="16" xfId="0" applyFont="1" applyFill="1" applyBorder="1" applyAlignment="1">
      <alignment wrapText="1"/>
    </xf>
    <xf numFmtId="0" fontId="12" fillId="8" borderId="16" xfId="0" applyFont="1" applyFill="1" applyBorder="1" applyAlignment="1">
      <alignment horizontal="center" wrapText="1"/>
    </xf>
    <xf numFmtId="1" fontId="12" fillId="8" borderId="16" xfId="0" applyNumberFormat="1" applyFont="1" applyFill="1" applyBorder="1" applyAlignment="1">
      <alignment wrapText="1"/>
    </xf>
    <xf numFmtId="9" fontId="12" fillId="8" borderId="21" xfId="1" applyFont="1" applyFill="1" applyBorder="1" applyAlignment="1">
      <alignment horizontal="center" wrapText="1"/>
    </xf>
    <xf numFmtId="0" fontId="5" fillId="0" borderId="0" xfId="0" applyFont="1" applyAlignment="1">
      <alignment wrapText="1"/>
    </xf>
    <xf numFmtId="0" fontId="20" fillId="0" borderId="0" xfId="0" applyFont="1"/>
    <xf numFmtId="1" fontId="20" fillId="0" borderId="0" xfId="0" applyNumberFormat="1" applyFont="1" applyAlignment="1">
      <alignment horizontal="center"/>
    </xf>
    <xf numFmtId="170" fontId="5" fillId="0" borderId="25" xfId="0" applyNumberFormat="1" applyFont="1" applyBorder="1" applyAlignment="1">
      <alignment wrapText="1"/>
    </xf>
    <xf numFmtId="1" fontId="5" fillId="0" borderId="26" xfId="0" applyNumberFormat="1" applyFont="1" applyBorder="1" applyAlignment="1">
      <alignment wrapText="1"/>
    </xf>
    <xf numFmtId="0" fontId="20" fillId="0" borderId="26" xfId="0" applyFont="1" applyBorder="1" applyAlignment="1">
      <alignment wrapText="1"/>
    </xf>
    <xf numFmtId="0" fontId="5" fillId="0" borderId="26" xfId="0" applyFont="1" applyBorder="1" applyAlignment="1">
      <alignment wrapText="1"/>
    </xf>
    <xf numFmtId="0" fontId="5" fillId="0" borderId="26" xfId="0" applyFont="1" applyBorder="1" applyAlignment="1">
      <alignment horizontal="center" wrapText="1"/>
    </xf>
    <xf numFmtId="168" fontId="5" fillId="0" borderId="26" xfId="0" applyNumberFormat="1" applyFont="1" applyBorder="1" applyAlignment="1">
      <alignment horizontal="center" wrapText="1"/>
    </xf>
    <xf numFmtId="0" fontId="12" fillId="0" borderId="26" xfId="0" applyFont="1" applyBorder="1" applyAlignment="1">
      <alignment wrapText="1"/>
    </xf>
    <xf numFmtId="49" fontId="5" fillId="0" borderId="26" xfId="0" applyNumberFormat="1" applyFont="1" applyBorder="1" applyAlignment="1">
      <alignment wrapText="1"/>
    </xf>
    <xf numFmtId="49" fontId="5" fillId="0" borderId="27" xfId="0" applyNumberFormat="1" applyFont="1" applyBorder="1" applyAlignment="1">
      <alignment wrapText="1"/>
    </xf>
    <xf numFmtId="170" fontId="5" fillId="0" borderId="25" xfId="0" applyNumberFormat="1" applyFont="1" applyBorder="1" applyAlignment="1">
      <alignment horizontal="center"/>
    </xf>
    <xf numFmtId="1" fontId="5" fillId="0" borderId="26" xfId="0" applyNumberFormat="1" applyFont="1" applyBorder="1" applyAlignment="1">
      <alignment horizontal="center"/>
    </xf>
    <xf numFmtId="168" fontId="20" fillId="0" borderId="26" xfId="0" applyNumberFormat="1" applyFont="1" applyBorder="1" applyAlignment="1">
      <alignment horizontal="center"/>
    </xf>
    <xf numFmtId="168" fontId="5" fillId="0" borderId="26" xfId="0" applyNumberFormat="1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12" fillId="0" borderId="26" xfId="0" applyFont="1" applyBorder="1"/>
    <xf numFmtId="49" fontId="5" fillId="0" borderId="26" xfId="0" applyNumberFormat="1" applyFont="1" applyBorder="1" applyAlignment="1">
      <alignment horizontal="center"/>
    </xf>
    <xf numFmtId="49" fontId="5" fillId="0" borderId="27" xfId="0" applyNumberFormat="1" applyFont="1" applyBorder="1" applyAlignment="1">
      <alignment horizontal="center"/>
    </xf>
    <xf numFmtId="0" fontId="3" fillId="0" borderId="8" xfId="0" applyFont="1" applyBorder="1" applyAlignment="1">
      <alignment horizontal="center" wrapText="1"/>
    </xf>
    <xf numFmtId="0" fontId="3" fillId="0" borderId="9" xfId="0" applyFont="1" applyBorder="1" applyAlignment="1">
      <alignment horizontal="center" wrapText="1"/>
    </xf>
    <xf numFmtId="0" fontId="3" fillId="0" borderId="6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7" fillId="0" borderId="0" xfId="3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11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0" xfId="0" applyFont="1" applyBorder="1" applyAlignment="1">
      <alignment horizontal="right" vertical="center"/>
    </xf>
    <xf numFmtId="0" fontId="11" fillId="0" borderId="13" xfId="0" applyFont="1" applyBorder="1" applyAlignment="1">
      <alignment horizontal="right" vertical="center"/>
    </xf>
    <xf numFmtId="9" fontId="11" fillId="0" borderId="9" xfId="0" applyNumberFormat="1" applyFont="1" applyBorder="1" applyAlignment="1">
      <alignment horizontal="center" vertical="center"/>
    </xf>
    <xf numFmtId="9" fontId="11" fillId="0" borderId="14" xfId="0" applyNumberFormat="1" applyFont="1" applyBorder="1" applyAlignment="1">
      <alignment horizontal="center" vertical="center"/>
    </xf>
  </cellXfs>
  <cellStyles count="5">
    <cellStyle name="Invoer" xfId="2" builtinId="20"/>
    <cellStyle name="Komma" xfId="4" builtinId="3"/>
    <cellStyle name="Normal 2" xfId="3" xr:uid="{00000000-0005-0000-0000-000002000000}"/>
    <cellStyle name="Procent" xfId="1" builtinId="5"/>
    <cellStyle name="Standaard" xfId="0" builtinId="0"/>
  </cellStyles>
  <dxfs count="63"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4B94"/>
        </patternFill>
      </fill>
    </dxf>
    <dxf>
      <border>
        <bottom style="thin">
          <color rgb="FFFF0000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/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0" tint="-0.34998626667073579"/>
        <name val="Times New Roman"/>
        <family val="1"/>
        <scheme val="none"/>
      </font>
      <numFmt numFmtId="168" formatCode="#,##0.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numFmt numFmtId="170" formatCode="hh:mm:ss;@"/>
      <alignment horizontal="center" vertical="bottom" textRotation="0" wrapText="0" indent="0" justifyLastLine="0" shrinkToFit="0" readingOrder="0"/>
      <border diagonalUp="0" diagonalDown="0">
        <left/>
        <right style="hair">
          <color auto="1"/>
        </right>
        <top/>
        <bottom/>
        <vertical style="hair">
          <color auto="1"/>
        </vertical>
        <horizontal/>
      </border>
    </dxf>
    <dxf>
      <border diagonalUp="0" diagonalDown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Times New Roman"/>
        <family val="1"/>
        <scheme val="none"/>
      </font>
      <alignment vertical="bottom" textRotation="0" wrapText="1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top style="dotted">
          <color rgb="FF000000"/>
        </top>
      </border>
    </dxf>
    <dxf>
      <border outline="0">
        <left style="dotted">
          <color rgb="FF000000"/>
        </left>
        <right style="dotted">
          <color rgb="FF000000"/>
        </right>
        <top style="dotted">
          <color rgb="FF000000"/>
        </top>
        <bottom style="dotted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ck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</border>
    </dxf>
    <dxf>
      <numFmt numFmtId="0" formatCode="General"/>
    </dxf>
    <dxf>
      <border outline="0">
        <bottom style="thin">
          <color rgb="FF7F7F7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righ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4B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11</xdr:row>
          <xdr:rowOff>123825</xdr:rowOff>
        </xdr:from>
        <xdr:to>
          <xdr:col>13</xdr:col>
          <xdr:colOff>361950</xdr:colOff>
          <xdr:row>14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Créer une synthèse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12</xdr:row>
      <xdr:rowOff>122464</xdr:rowOff>
    </xdr:from>
    <xdr:to>
      <xdr:col>4</xdr:col>
      <xdr:colOff>381001</xdr:colOff>
      <xdr:row>14</xdr:row>
      <xdr:rowOff>69273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584864" y="2824100"/>
          <a:ext cx="1575955" cy="397082"/>
        </a:xfrm>
        <a:prstGeom prst="borderCallout1">
          <a:avLst>
            <a:gd name="adj1" fmla="val 99785"/>
            <a:gd name="adj2" fmla="val 2957"/>
            <a:gd name="adj3" fmla="val 210345"/>
            <a:gd name="adj4" fmla="val -17453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Données</a:t>
          </a:r>
          <a:r>
            <a:rPr lang="fr-FR" sz="1100" baseline="0"/>
            <a:t> pour l'exemple</a:t>
          </a:r>
          <a:endParaRPr lang="fr-FR" sz="1100"/>
        </a:p>
      </xdr:txBody>
    </xdr:sp>
    <xdr:clientData/>
  </xdr:twoCellAnchor>
  <xdr:twoCellAnchor>
    <xdr:from>
      <xdr:col>6</xdr:col>
      <xdr:colOff>288471</xdr:colOff>
      <xdr:row>18</xdr:row>
      <xdr:rowOff>29937</xdr:rowOff>
    </xdr:from>
    <xdr:to>
      <xdr:col>7</xdr:col>
      <xdr:colOff>762000</xdr:colOff>
      <xdr:row>22</xdr:row>
      <xdr:rowOff>103910</xdr:rowOff>
    </xdr:to>
    <xdr:sp macro="" textlink="">
      <xdr:nvSpPr>
        <xdr:cNvPr id="3" name="Légende : encadré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458198" y="4982937"/>
          <a:ext cx="1668484" cy="974518"/>
        </a:xfrm>
        <a:prstGeom prst="borderCallout1">
          <a:avLst>
            <a:gd name="adj1" fmla="val 99785"/>
            <a:gd name="adj2" fmla="val 2957"/>
            <a:gd name="adj3" fmla="val 210345"/>
            <a:gd name="adj4" fmla="val -17453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Laisser</a:t>
          </a:r>
          <a:r>
            <a:rPr lang="fr-FR" sz="1100" baseline="0"/>
            <a:t> un vide entre deux sous-groupe</a:t>
          </a:r>
          <a:endParaRPr lang="fr-FR" sz="1100"/>
        </a:p>
      </xdr:txBody>
    </xdr:sp>
    <xdr:clientData/>
  </xdr:twoCellAnchor>
  <xdr:twoCellAnchor>
    <xdr:from>
      <xdr:col>6</xdr:col>
      <xdr:colOff>658586</xdr:colOff>
      <xdr:row>12</xdr:row>
      <xdr:rowOff>19052</xdr:rowOff>
    </xdr:from>
    <xdr:to>
      <xdr:col>7</xdr:col>
      <xdr:colOff>1132115</xdr:colOff>
      <xdr:row>15</xdr:row>
      <xdr:rowOff>86591</xdr:rowOff>
    </xdr:to>
    <xdr:sp macro="" textlink="">
      <xdr:nvSpPr>
        <xdr:cNvPr id="4" name="Légende : encadré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7828313" y="2720688"/>
          <a:ext cx="1668484" cy="742948"/>
        </a:xfrm>
        <a:prstGeom prst="borderCallout1">
          <a:avLst>
            <a:gd name="adj1" fmla="val 5110"/>
            <a:gd name="adj2" fmla="val 1354"/>
            <a:gd name="adj3" fmla="val -55928"/>
            <a:gd name="adj4" fmla="val -20658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Sur</a:t>
          </a:r>
          <a:r>
            <a:rPr lang="fr-FR" sz="1100" baseline="0"/>
            <a:t> quel sous-groupe</a:t>
          </a:r>
          <a:r>
            <a:rPr lang="fr-FR" sz="1100"/>
            <a:t> sera attribué</a:t>
          </a:r>
          <a:r>
            <a:rPr lang="fr-FR" sz="1100" baseline="0"/>
            <a:t> la chute ?</a:t>
          </a:r>
          <a:endParaRPr lang="fr-FR" sz="1100"/>
        </a:p>
      </xdr:txBody>
    </xdr:sp>
    <xdr:clientData/>
  </xdr:twoCellAnchor>
  <xdr:twoCellAnchor>
    <xdr:from>
      <xdr:col>3</xdr:col>
      <xdr:colOff>966107</xdr:colOff>
      <xdr:row>41</xdr:row>
      <xdr:rowOff>54429</xdr:rowOff>
    </xdr:from>
    <xdr:to>
      <xdr:col>5</xdr:col>
      <xdr:colOff>345622</xdr:colOff>
      <xdr:row>44</xdr:row>
      <xdr:rowOff>46263</xdr:rowOff>
    </xdr:to>
    <xdr:sp macro="" textlink="">
      <xdr:nvSpPr>
        <xdr:cNvPr id="7" name="Légende : encadré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4640036" y="9416143"/>
          <a:ext cx="1828800" cy="644977"/>
        </a:xfrm>
        <a:prstGeom prst="borderCallout1">
          <a:avLst>
            <a:gd name="adj1" fmla="val 629"/>
            <a:gd name="adj2" fmla="val -134"/>
            <a:gd name="adj3" fmla="val -64254"/>
            <a:gd name="adj4" fmla="val -44067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faire</a:t>
          </a:r>
          <a:r>
            <a:rPr lang="fr-FR" sz="1100" baseline="0"/>
            <a:t> un total par rapport à tous les sous-groupe débités</a:t>
          </a:r>
          <a:endParaRPr lang="fr-FR" sz="1100"/>
        </a:p>
      </xdr:txBody>
    </xdr:sp>
    <xdr:clientData/>
  </xdr:twoCellAnchor>
  <xdr:twoCellAnchor>
    <xdr:from>
      <xdr:col>4</xdr:col>
      <xdr:colOff>0</xdr:colOff>
      <xdr:row>64</xdr:row>
      <xdr:rowOff>0</xdr:rowOff>
    </xdr:from>
    <xdr:to>
      <xdr:col>5</xdr:col>
      <xdr:colOff>604157</xdr:colOff>
      <xdr:row>66</xdr:row>
      <xdr:rowOff>209549</xdr:rowOff>
    </xdr:to>
    <xdr:sp macro="" textlink="">
      <xdr:nvSpPr>
        <xdr:cNvPr id="8" name="Légende : encadré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4898571" y="14369143"/>
          <a:ext cx="1828800" cy="644977"/>
        </a:xfrm>
        <a:prstGeom prst="borderCallout1">
          <a:avLst>
            <a:gd name="adj1" fmla="val 629"/>
            <a:gd name="adj2" fmla="val -134"/>
            <a:gd name="adj3" fmla="val -64254"/>
            <a:gd name="adj4" fmla="val -44067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Page 2 et suivantes s'activent uniquement au</a:t>
          </a:r>
          <a:r>
            <a:rPr lang="fr-FR" sz="1100" baseline="0"/>
            <a:t> besoin</a:t>
          </a:r>
          <a:endParaRPr lang="fr-FR" sz="1100"/>
        </a:p>
      </xdr:txBody>
    </xdr:sp>
    <xdr:clientData/>
  </xdr:twoCellAnchor>
  <xdr:twoCellAnchor>
    <xdr:from>
      <xdr:col>3</xdr:col>
      <xdr:colOff>326570</xdr:colOff>
      <xdr:row>3</xdr:row>
      <xdr:rowOff>81642</xdr:rowOff>
    </xdr:from>
    <xdr:to>
      <xdr:col>6</xdr:col>
      <xdr:colOff>381000</xdr:colOff>
      <xdr:row>5</xdr:row>
      <xdr:rowOff>122466</xdr:rowOff>
    </xdr:to>
    <xdr:sp macro="" textlink="">
      <xdr:nvSpPr>
        <xdr:cNvPr id="6" name="Légende : encadré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4000499" y="734785"/>
          <a:ext cx="3728358" cy="476252"/>
        </a:xfrm>
        <a:prstGeom prst="borderCallout1">
          <a:avLst>
            <a:gd name="adj1" fmla="val 2643"/>
            <a:gd name="adj2" fmla="val 767"/>
            <a:gd name="adj3" fmla="val 81791"/>
            <a:gd name="adj4" fmla="val -23949"/>
          </a:avLst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Possibilité que la liste puisse s'allonger s'il y a d'autres déclinaison ? Et donc que le tableau descende</a:t>
          </a:r>
          <a:r>
            <a:rPr lang="fr-FR" sz="1100" baseline="0"/>
            <a:t> en fonction ?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546.522028009262" createdVersion="8" refreshedVersion="8" minRefreshableVersion="3" recordCount="89" xr:uid="{26A9F13C-DD77-49A9-A3E7-2FAB05B3CBAD}">
  <cacheSource type="worksheet">
    <worksheetSource name="Tabel3"/>
  </cacheSource>
  <cacheFields count="7">
    <cacheField name="Sous-groupe" numFmtId="1">
      <sharedItems containsSemiMixedTypes="0" containsString="0" containsNumber="1" containsInteger="1" minValue="1" maxValue="9"/>
    </cacheField>
    <cacheField name="No. LP" numFmtId="1">
      <sharedItems containsSemiMixedTypes="0" containsString="0" containsNumber="1" containsInteger="1" minValue="12" maxValue="304"/>
    </cacheField>
    <cacheField name="Nom" numFmtId="1">
      <sharedItems containsBlank="1"/>
    </cacheField>
    <cacheField name="Qté" numFmtId="1">
      <sharedItems containsSemiMixedTypes="0" containsString="0" containsNumber="1" containsInteger="1" minValue="1" maxValue="12"/>
    </cacheField>
    <cacheField name="Long." numFmtId="4">
      <sharedItems containsSemiMixedTypes="0" containsString="0" containsNumber="1" minValue="40.5" maxValue="5818.5"/>
    </cacheField>
    <cacheField name="tot" numFmtId="2">
      <sharedItems containsSemiMixedTypes="0" containsString="0" containsNumber="1" minValue="40.5" maxValue="32229.600000000002"/>
    </cacheField>
    <cacheField name="Compteur" numFmtId="1">
      <sharedItems containsSemiMixedTypes="0" containsString="0" containsNumber="1" containsInteger="1" minValue="1" maxValue="8" count="8">
        <n v="1"/>
        <n v="2"/>
        <n v="3"/>
        <n v="4"/>
        <n v="5"/>
        <n v="6"/>
        <n v="7"/>
        <n v="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9">
  <r>
    <n v="1"/>
    <n v="134"/>
    <s v="exemple"/>
    <n v="1"/>
    <n v="40.5"/>
    <n v="40.5"/>
    <x v="0"/>
  </r>
  <r>
    <n v="1"/>
    <n v="135"/>
    <s v="exemple 1"/>
    <n v="1"/>
    <n v="52.5"/>
    <n v="52.5"/>
    <x v="0"/>
  </r>
  <r>
    <n v="1"/>
    <n v="139"/>
    <s v="exemple"/>
    <n v="1"/>
    <n v="179.5"/>
    <n v="179.5"/>
    <x v="0"/>
  </r>
  <r>
    <n v="1"/>
    <n v="152"/>
    <s v="exemple 2"/>
    <n v="1"/>
    <n v="328.5"/>
    <n v="328.5"/>
    <x v="0"/>
  </r>
  <r>
    <n v="1"/>
    <n v="153"/>
    <s v="exemple"/>
    <n v="1"/>
    <n v="338.5"/>
    <n v="338.5"/>
    <x v="0"/>
  </r>
  <r>
    <n v="1"/>
    <n v="167"/>
    <s v="exemple 3"/>
    <n v="1"/>
    <n v="467.5"/>
    <n v="467.5"/>
    <x v="0"/>
  </r>
  <r>
    <n v="1"/>
    <n v="181"/>
    <s v="exemple"/>
    <n v="3"/>
    <n v="553"/>
    <n v="1659"/>
    <x v="0"/>
  </r>
  <r>
    <n v="1"/>
    <n v="195"/>
    <s v="exemple 4"/>
    <n v="2"/>
    <n v="745"/>
    <n v="1490"/>
    <x v="0"/>
  </r>
  <r>
    <n v="1"/>
    <n v="203"/>
    <s v="exemple"/>
    <n v="2"/>
    <n v="965"/>
    <n v="1930"/>
    <x v="0"/>
  </r>
  <r>
    <n v="1"/>
    <n v="213"/>
    <s v="exemple 5"/>
    <n v="1"/>
    <n v="1200"/>
    <n v="1200"/>
    <x v="0"/>
  </r>
  <r>
    <n v="1"/>
    <n v="222"/>
    <s v="exemple"/>
    <n v="1"/>
    <n v="1290"/>
    <n v="1290"/>
    <x v="0"/>
  </r>
  <r>
    <n v="1"/>
    <n v="232"/>
    <s v="exemple 6"/>
    <n v="1"/>
    <n v="1290"/>
    <n v="1290"/>
    <x v="0"/>
  </r>
  <r>
    <n v="1"/>
    <n v="251"/>
    <m/>
    <n v="2"/>
    <n v="2430"/>
    <n v="4860"/>
    <x v="0"/>
  </r>
  <r>
    <n v="1"/>
    <n v="288"/>
    <m/>
    <n v="9"/>
    <n v="3220"/>
    <n v="28980"/>
    <x v="0"/>
  </r>
  <r>
    <n v="1"/>
    <n v="296"/>
    <m/>
    <n v="2"/>
    <n v="3516"/>
    <n v="7032"/>
    <x v="0"/>
  </r>
  <r>
    <n v="2"/>
    <n v="136"/>
    <m/>
    <n v="1"/>
    <n v="108.5"/>
    <n v="108.5"/>
    <x v="1"/>
  </r>
  <r>
    <n v="2"/>
    <n v="143"/>
    <m/>
    <n v="1"/>
    <n v="247.5"/>
    <n v="247.5"/>
    <x v="1"/>
  </r>
  <r>
    <n v="2"/>
    <n v="145"/>
    <m/>
    <n v="1"/>
    <n v="260.5"/>
    <n v="260.5"/>
    <x v="1"/>
  </r>
  <r>
    <n v="2"/>
    <n v="158"/>
    <m/>
    <n v="1"/>
    <n v="399.5"/>
    <n v="399.5"/>
    <x v="1"/>
  </r>
  <r>
    <n v="2"/>
    <n v="159"/>
    <m/>
    <n v="1"/>
    <n v="410.5"/>
    <n v="410.5"/>
    <x v="1"/>
  </r>
  <r>
    <n v="2"/>
    <n v="182"/>
    <m/>
    <n v="2"/>
    <n v="553"/>
    <n v="1106"/>
    <x v="1"/>
  </r>
  <r>
    <n v="2"/>
    <n v="189"/>
    <m/>
    <n v="1"/>
    <n v="590.5"/>
    <n v="590.5"/>
    <x v="1"/>
  </r>
  <r>
    <n v="2"/>
    <n v="194"/>
    <m/>
    <n v="2"/>
    <n v="745"/>
    <n v="1490"/>
    <x v="1"/>
  </r>
  <r>
    <n v="2"/>
    <n v="202"/>
    <m/>
    <n v="2"/>
    <n v="965"/>
    <n v="1930"/>
    <x v="1"/>
  </r>
  <r>
    <n v="2"/>
    <n v="210"/>
    <m/>
    <n v="1"/>
    <n v="1200"/>
    <n v="1200"/>
    <x v="1"/>
  </r>
  <r>
    <n v="2"/>
    <n v="227"/>
    <m/>
    <n v="1"/>
    <n v="1290"/>
    <n v="1290"/>
    <x v="1"/>
  </r>
  <r>
    <n v="2"/>
    <n v="228"/>
    <m/>
    <n v="1"/>
    <n v="1290"/>
    <n v="1290"/>
    <x v="1"/>
  </r>
  <r>
    <n v="2"/>
    <n v="250"/>
    <m/>
    <n v="2"/>
    <n v="2430"/>
    <n v="4860"/>
    <x v="1"/>
  </r>
  <r>
    <n v="2"/>
    <n v="289"/>
    <m/>
    <n v="7"/>
    <n v="3220"/>
    <n v="22540"/>
    <x v="1"/>
  </r>
  <r>
    <n v="2"/>
    <n v="298"/>
    <m/>
    <n v="2"/>
    <n v="3528"/>
    <n v="7056"/>
    <x v="1"/>
  </r>
  <r>
    <n v="3"/>
    <n v="138"/>
    <m/>
    <n v="1"/>
    <n v="148.5"/>
    <n v="148.5"/>
    <x v="2"/>
  </r>
  <r>
    <n v="3"/>
    <n v="142"/>
    <m/>
    <n v="1"/>
    <n v="220.5"/>
    <n v="220.5"/>
    <x v="2"/>
  </r>
  <r>
    <n v="3"/>
    <n v="146"/>
    <m/>
    <n v="1"/>
    <n v="287.5"/>
    <n v="287.5"/>
    <x v="2"/>
  </r>
  <r>
    <n v="3"/>
    <n v="155"/>
    <m/>
    <n v="1"/>
    <n v="359.5"/>
    <n v="359.5"/>
    <x v="2"/>
  </r>
  <r>
    <n v="3"/>
    <n v="168"/>
    <m/>
    <n v="1"/>
    <n v="470.5"/>
    <n v="470.5"/>
    <x v="2"/>
  </r>
  <r>
    <n v="3"/>
    <n v="172"/>
    <m/>
    <n v="1"/>
    <n v="518.5"/>
    <n v="518.5"/>
    <x v="2"/>
  </r>
  <r>
    <n v="3"/>
    <n v="175"/>
    <m/>
    <n v="2"/>
    <n v="553"/>
    <n v="1106"/>
    <x v="2"/>
  </r>
  <r>
    <n v="3"/>
    <n v="196"/>
    <m/>
    <n v="2"/>
    <n v="745"/>
    <n v="1490"/>
    <x v="2"/>
  </r>
  <r>
    <n v="3"/>
    <n v="201"/>
    <m/>
    <n v="2"/>
    <n v="965"/>
    <n v="1930"/>
    <x v="2"/>
  </r>
  <r>
    <n v="3"/>
    <n v="212"/>
    <m/>
    <n v="1"/>
    <n v="1200"/>
    <n v="1200"/>
    <x v="2"/>
  </r>
  <r>
    <n v="3"/>
    <n v="221"/>
    <m/>
    <n v="1"/>
    <n v="1290"/>
    <n v="1290"/>
    <x v="2"/>
  </r>
  <r>
    <n v="3"/>
    <n v="234"/>
    <m/>
    <n v="1"/>
    <n v="1290"/>
    <n v="1290"/>
    <x v="2"/>
  </r>
  <r>
    <n v="3"/>
    <n v="248"/>
    <m/>
    <n v="2"/>
    <n v="2430"/>
    <n v="4860"/>
    <x v="2"/>
  </r>
  <r>
    <n v="3"/>
    <n v="290"/>
    <m/>
    <n v="8"/>
    <n v="3220"/>
    <n v="25760"/>
    <x v="2"/>
  </r>
  <r>
    <n v="3"/>
    <n v="297"/>
    <m/>
    <n v="2"/>
    <n v="3516"/>
    <n v="7032"/>
    <x v="2"/>
  </r>
  <r>
    <n v="4"/>
    <n v="148"/>
    <m/>
    <n v="1"/>
    <n v="298.5"/>
    <n v="298.5"/>
    <x v="3"/>
  </r>
  <r>
    <n v="4"/>
    <n v="154"/>
    <m/>
    <n v="1"/>
    <n v="348.5"/>
    <n v="348.5"/>
    <x v="3"/>
  </r>
  <r>
    <n v="4"/>
    <n v="184"/>
    <m/>
    <n v="3"/>
    <n v="553"/>
    <n v="1659"/>
    <x v="3"/>
  </r>
  <r>
    <n v="4"/>
    <n v="204"/>
    <m/>
    <n v="2"/>
    <n v="965"/>
    <n v="1930"/>
    <x v="3"/>
  </r>
  <r>
    <n v="4"/>
    <n v="209"/>
    <m/>
    <n v="1"/>
    <n v="1200"/>
    <n v="1200"/>
    <x v="3"/>
  </r>
  <r>
    <n v="4"/>
    <n v="226"/>
    <m/>
    <n v="1"/>
    <n v="1290"/>
    <n v="1290"/>
    <x v="3"/>
  </r>
  <r>
    <n v="4"/>
    <n v="229"/>
    <m/>
    <n v="1"/>
    <n v="1290"/>
    <n v="1290"/>
    <x v="3"/>
  </r>
  <r>
    <n v="4"/>
    <n v="246"/>
    <m/>
    <n v="2"/>
    <n v="2420.7869639999999"/>
    <n v="4841.6000000000004"/>
    <x v="3"/>
  </r>
  <r>
    <n v="4"/>
    <n v="253"/>
    <m/>
    <n v="2"/>
    <n v="2495.7869639999999"/>
    <n v="4991.6000000000004"/>
    <x v="3"/>
  </r>
  <r>
    <n v="4"/>
    <n v="257"/>
    <m/>
    <n v="12"/>
    <n v="2685.7869639999999"/>
    <n v="32229.600000000002"/>
    <x v="3"/>
  </r>
  <r>
    <n v="4"/>
    <n v="299"/>
    <m/>
    <n v="1"/>
    <n v="4250"/>
    <n v="4250"/>
    <x v="3"/>
  </r>
  <r>
    <n v="4"/>
    <n v="300"/>
    <m/>
    <n v="1"/>
    <n v="4340"/>
    <n v="4340"/>
    <x v="3"/>
  </r>
  <r>
    <n v="5"/>
    <n v="216"/>
    <m/>
    <n v="1"/>
    <n v="1245"/>
    <n v="1245"/>
    <x v="4"/>
  </r>
  <r>
    <n v="5"/>
    <n v="219"/>
    <m/>
    <n v="1"/>
    <n v="1252.577646"/>
    <n v="1252.5999999999999"/>
    <x v="4"/>
  </r>
  <r>
    <n v="5"/>
    <n v="262"/>
    <m/>
    <n v="1"/>
    <n v="2706.4569390000001"/>
    <n v="2706.5"/>
    <x v="4"/>
  </r>
  <r>
    <n v="5"/>
    <n v="266"/>
    <m/>
    <n v="1"/>
    <n v="2734.7531680000002"/>
    <n v="2734.8"/>
    <x v="4"/>
  </r>
  <r>
    <n v="5"/>
    <n v="270"/>
    <m/>
    <n v="1"/>
    <n v="2782.5931679999999"/>
    <n v="2782.6"/>
    <x v="4"/>
  </r>
  <r>
    <n v="5"/>
    <n v="273"/>
    <m/>
    <n v="1"/>
    <n v="2802.4569390000001"/>
    <n v="2802.5"/>
    <x v="4"/>
  </r>
  <r>
    <n v="6"/>
    <n v="151"/>
    <m/>
    <n v="2"/>
    <n v="327.74447900000001"/>
    <n v="655.4"/>
    <x v="5"/>
  </r>
  <r>
    <n v="6"/>
    <n v="223"/>
    <m/>
    <n v="1"/>
    <n v="1290"/>
    <n v="1290"/>
    <x v="5"/>
  </r>
  <r>
    <n v="6"/>
    <n v="230"/>
    <m/>
    <n v="1"/>
    <n v="1290"/>
    <n v="1290"/>
    <x v="5"/>
  </r>
  <r>
    <n v="6"/>
    <n v="249"/>
    <m/>
    <n v="4"/>
    <n v="2430"/>
    <n v="9720"/>
    <x v="5"/>
  </r>
  <r>
    <n v="6"/>
    <n v="274"/>
    <m/>
    <n v="9"/>
    <n v="2802.744479"/>
    <n v="25224.3"/>
    <x v="5"/>
  </r>
  <r>
    <n v="6"/>
    <n v="284"/>
    <m/>
    <n v="2"/>
    <n v="3190"/>
    <n v="6380"/>
    <x v="5"/>
  </r>
  <r>
    <n v="6"/>
    <n v="304"/>
    <m/>
    <n v="2"/>
    <n v="5818.5"/>
    <n v="11637"/>
    <x v="5"/>
  </r>
  <r>
    <n v="7"/>
    <n v="12"/>
    <m/>
    <n v="1"/>
    <n v="1245"/>
    <n v="1245"/>
    <x v="6"/>
  </r>
  <r>
    <n v="7"/>
    <n v="13"/>
    <m/>
    <n v="1"/>
    <n v="1252.577646"/>
    <n v="1252.5999999999999"/>
    <x v="6"/>
  </r>
  <r>
    <n v="7"/>
    <n v="14"/>
    <m/>
    <n v="1"/>
    <n v="2706.3131680000001"/>
    <n v="2706.3"/>
    <x v="6"/>
  </r>
  <r>
    <n v="7"/>
    <n v="15"/>
    <m/>
    <n v="1"/>
    <n v="2734.7531680000002"/>
    <n v="2734.8"/>
    <x v="6"/>
  </r>
  <r>
    <n v="7"/>
    <n v="16"/>
    <m/>
    <n v="1"/>
    <n v="2782.5931679999999"/>
    <n v="2782.6"/>
    <x v="6"/>
  </r>
  <r>
    <n v="7"/>
    <n v="17"/>
    <m/>
    <n v="1"/>
    <n v="2802.3131680000001"/>
    <n v="2802.3"/>
    <x v="6"/>
  </r>
  <r>
    <n v="7"/>
    <n v="18"/>
    <m/>
    <n v="1"/>
    <n v="2802.4569390000001"/>
    <n v="2802.5"/>
    <x v="6"/>
  </r>
  <r>
    <n v="9"/>
    <n v="140"/>
    <m/>
    <n v="1"/>
    <n v="190"/>
    <n v="190"/>
    <x v="7"/>
  </r>
  <r>
    <n v="9"/>
    <n v="164"/>
    <m/>
    <n v="1"/>
    <n v="412"/>
    <n v="412"/>
    <x v="7"/>
  </r>
  <r>
    <n v="9"/>
    <n v="186"/>
    <m/>
    <n v="1"/>
    <n v="558"/>
    <n v="558"/>
    <x v="7"/>
  </r>
  <r>
    <n v="9"/>
    <n v="220"/>
    <m/>
    <n v="3"/>
    <n v="1265"/>
    <n v="3795"/>
    <x v="7"/>
  </r>
  <r>
    <n v="9"/>
    <n v="237"/>
    <m/>
    <n v="1"/>
    <n v="2190"/>
    <n v="2190"/>
    <x v="7"/>
  </r>
  <r>
    <n v="9"/>
    <n v="243"/>
    <m/>
    <n v="1"/>
    <n v="2280"/>
    <n v="2280"/>
    <x v="7"/>
  </r>
  <r>
    <n v="9"/>
    <n v="244"/>
    <m/>
    <n v="1"/>
    <n v="2280"/>
    <n v="2280"/>
    <x v="7"/>
  </r>
  <r>
    <n v="9"/>
    <n v="247"/>
    <m/>
    <n v="2"/>
    <n v="2420.7869639999999"/>
    <n v="4841.6000000000004"/>
    <x v="7"/>
  </r>
  <r>
    <n v="9"/>
    <n v="252"/>
    <m/>
    <n v="3"/>
    <n v="2450.7869639999999"/>
    <n v="7352.4000000000005"/>
    <x v="7"/>
  </r>
  <r>
    <n v="9"/>
    <n v="258"/>
    <m/>
    <n v="5"/>
    <n v="2685.7869639999999"/>
    <n v="13429"/>
    <x v="7"/>
  </r>
  <r>
    <n v="9"/>
    <n v="293"/>
    <m/>
    <n v="1"/>
    <n v="3369"/>
    <n v="3369"/>
    <x v="7"/>
  </r>
  <r>
    <n v="9"/>
    <n v="294"/>
    <m/>
    <n v="1"/>
    <n v="3501.5"/>
    <n v="3501.5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4AF8584-3D4E-4938-9850-543CD6353325}" name="Draaitabel1" cacheId="29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AJ8:AL18" firstHeaderRow="1" firstDataRow="2" firstDataCol="1"/>
  <pivotFields count="7">
    <pivotField compact="0" numFmtId="1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4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2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1" outline="0" subtotalTop="0" showAll="0" insertBlankRow="1">
      <items count="9">
        <item x="0"/>
        <item x="1"/>
        <item x="2"/>
        <item x="3"/>
        <item x="4"/>
        <item x="5"/>
        <item x="6"/>
        <item x="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6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 van Qté" fld="3" baseField="0" baseItem="0"/>
    <dataField name="Som van tot" fld="5" baseField="0" baseItem="3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Stock" displayName="tblStock" ref="J3:L5" totalsRowShown="0" headerRowDxfId="62" tableBorderDxfId="61">
  <autoFilter ref="J3:L5" xr:uid="{00000000-0009-0000-0100-000001000000}">
    <filterColumn colId="0" hiddenButton="1"/>
    <filterColumn colId="1" hiddenButton="1"/>
    <filterColumn colId="2" hiddenButton="1"/>
  </autoFilter>
  <tableColumns count="3">
    <tableColumn id="1" xr3:uid="{00000000-0010-0000-0000-000001000000}" name="Qté"/>
    <tableColumn id="2" xr3:uid="{00000000-0010-0000-0000-000002000000}" name="Long." dataDxfId="60">
      <calculatedColumnFormula>+tblStock[[#This Row],[Long.2]]+L_saw-2*L_ends</calculatedColumnFormula>
    </tableColumn>
    <tableColumn id="3" xr3:uid="{BAE29A5B-5BE1-4D60-9778-B776C8EA67EE}" name="Long.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1130B1-E9AE-41DD-BAAA-987B60B16319}" name="Tabel3" displayName="Tabel3" ref="AA8:AG101" totalsRowShown="0" headerRowDxfId="59" dataDxfId="57" headerRowBorderDxfId="58" tableBorderDxfId="56" totalsRowBorderDxfId="55">
  <tableColumns count="7">
    <tableColumn id="1" xr3:uid="{A31F1484-49EF-4DB5-8034-D518531B7C7D}" name="Sous-groupe" dataDxfId="54"/>
    <tableColumn id="2" xr3:uid="{8CE842E3-9E0D-4A8A-B53A-BD87ABAD5A0C}" name="No. LP" dataDxfId="53"/>
    <tableColumn id="3" xr3:uid="{868D7C40-1A42-4197-8CAC-C6CBEE147FC4}" name="Nom" dataDxfId="52"/>
    <tableColumn id="4" xr3:uid="{107F6008-6156-4DD4-A1F4-79D6EF121593}" name="Qté" dataDxfId="51"/>
    <tableColumn id="5" xr3:uid="{1EAC5C36-BB70-4B42-8CDA-564712A17F8F}" name="Long." dataDxfId="50"/>
    <tableColumn id="6" xr3:uid="{DB2AF9BE-F55A-4432-9ACD-169C42803857}" name="tot" dataDxfId="49">
      <calculatedColumnFormula>ROUND(Tabel3[[#This Row],[Long.]],1)*Tabel3[[#This Row],[Qté]]</calculatedColumnFormula>
    </tableColumn>
    <tableColumn id="8" xr3:uid="{2387ECB7-97B0-4769-AECD-978B904F541A}" name="Compteur" dataDxfId="48">
      <calculatedColumnFormula>SUM(OFFSET(Tabel3[[#This Row],[Compteur]],-1,),Tabel3[[#This Row],[Sous-groupe]]&lt;&gt;OFFSET(Tabel3[[#This Row],[Sous-groupe]],-1,))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118A15-0EA1-4F55-954D-443812B49DA8}" name="TBL_Synthese" displayName="TBL_Synthese" ref="Y11:BK79" totalsRowShown="0" headerRowDxfId="47" dataDxfId="46" tableBorderDxfId="45">
  <tableColumns count="39">
    <tableColumn id="25" xr3:uid="{7788FB8F-B3DD-4972-8633-2510BBFBD7CF}" name="tijd" dataDxfId="44">
      <calculatedColumnFormula>IF(ROW()=ROW(TBL_Synthese[[#Headers],[tijd]])+1,$Z$1,Y11)+IF(LEFT(TBL_Synthese[[#This Row],[check]],1)="&gt;",0,$Z$2+COUNTA(TBL_Synthese[[#This Row],[P1]:[P15]])*$Z$3)</calculatedColumnFormula>
    </tableColumn>
    <tableColumn id="23" xr3:uid="{4B6BD0B8-DEAD-4F4B-9B90-625013027A8C}" name="check" dataDxfId="43"/>
    <tableColumn id="24" xr3:uid="{3D4D9C29-3C44-4BA5-80AA-04283A8DD433}" name="Check_x000a_longueur" dataDxfId="42">
      <calculatedColumnFormula>SUM(TBL_Synthese[[#This Row],[P1]:[P15]])+MAX(COUNT(TBL_Synthese[[#This Row],[P1]:[P15]])-1,0)*L_saw+IF(ISNUMBER(MATCH(TBL_Synthese[[#This Row],[Longueur]],tblStock[Long.],0)),2*L_ends,0)</calculatedColumnFormula>
    </tableColumn>
    <tableColumn id="26" xr3:uid="{7A51E47A-D38F-4CDD-B6F7-937741C9FC9C}" name="Kolom1" dataDxfId="41"/>
    <tableColumn id="1" xr3:uid="{8C97633D-AC1C-41DB-A9D7-84C06335CD6B}" name="Sous_x000a_groupe" dataDxfId="40"/>
    <tableColumn id="2" xr3:uid="{6EA86D25-B29F-4BC7-868D-9B96F3FD02A7}" name="planche" dataDxfId="39"/>
    <tableColumn id="3" xr3:uid="{79B32DC0-9F96-4C9D-9521-FC95F5F5D258}" name="Longueur" dataDxfId="38"/>
    <tableColumn id="4" xr3:uid="{48E90FC5-A9F1-450C-A10B-339C706D1FC3}" name="chute" dataDxfId="37"/>
    <tableColumn id="5" xr3:uid="{36BB9411-1A0D-41FC-8594-B7F613A5050B}" name="Cuts" dataDxfId="36"/>
    <tableColumn id="6" xr3:uid="{0EDD4342-7191-4102-8AC8-92F82122FB0E}" name="P1" dataDxfId="35"/>
    <tableColumn id="7" xr3:uid="{8129B0E1-8B29-4E47-94BF-FCB88C330CAD}" name="P2" dataDxfId="34"/>
    <tableColumn id="8" xr3:uid="{22E51157-AE24-4994-9A02-C0E08AA96DBF}" name="P3" dataDxfId="33"/>
    <tableColumn id="9" xr3:uid="{A9402003-97A8-4171-BD20-8F3539110727}" name="P4" dataDxfId="32"/>
    <tableColumn id="10" xr3:uid="{127F031E-482A-4BD4-878C-ACC75B671B76}" name="P5" dataDxfId="31"/>
    <tableColumn id="11" xr3:uid="{19FEC39C-4BBC-4E7D-815D-6ECE3B8396C6}" name="P6" dataDxfId="30"/>
    <tableColumn id="12" xr3:uid="{1BFC16B1-9EC6-49C7-812F-5F836FACA516}" name="P7" dataDxfId="29"/>
    <tableColumn id="13" xr3:uid="{2966A6E5-C251-403A-AE29-5B596FD3E1E9}" name="P8" dataDxfId="28"/>
    <tableColumn id="14" xr3:uid="{B780EB37-C3CA-4ED6-A3A5-4E16A4F2E358}" name="P9" dataDxfId="27"/>
    <tableColumn id="15" xr3:uid="{E8EBD146-D80F-4BD5-852A-08B2D87921B5}" name="P10" dataDxfId="26"/>
    <tableColumn id="16" xr3:uid="{5E2AFE2F-4488-4194-A333-5F33742EC212}" name="P11" dataDxfId="25"/>
    <tableColumn id="17" xr3:uid="{BC3F8A60-8F2E-42BF-B8AF-715EDA2141C6}" name="P12" dataDxfId="24"/>
    <tableColumn id="18" xr3:uid="{C4BADBD5-E0A6-4A74-A703-422E1331A1A6}" name="P13" dataDxfId="23"/>
    <tableColumn id="19" xr3:uid="{19CDE443-2085-40E1-B9C7-8E81AB1A717B}" name="P14" dataDxfId="22"/>
    <tableColumn id="20" xr3:uid="{D658BDAF-44E8-42D7-B9E6-2861D3945CF8}" name="P15" dataDxfId="21"/>
    <tableColumn id="27" xr3:uid="{78D8A32A-316F-45AE-8EFB-B1E6884C41D8}" name="LP1" dataDxfId="20"/>
    <tableColumn id="28" xr3:uid="{8464D7DB-C57C-40CD-AB13-6B1F729A4BE4}" name="LP2" dataDxfId="19"/>
    <tableColumn id="29" xr3:uid="{AFF1F0FD-CFA3-4F9F-9DB8-313B4698374D}" name="LP3" dataDxfId="18"/>
    <tableColumn id="30" xr3:uid="{E0B6AA1C-2EFF-47BE-8394-D6345E926EAD}" name="LP4" dataDxfId="17"/>
    <tableColumn id="31" xr3:uid="{573D3C81-CA84-4BCF-AD5E-D346C2EEE57B}" name="LP5" dataDxfId="16"/>
    <tableColumn id="32" xr3:uid="{E2EE39BD-ACBA-4EFF-BDD1-0994C1F90CE9}" name="LP6" dataDxfId="15"/>
    <tableColumn id="33" xr3:uid="{A14092B8-E36A-4BA5-A762-D8B829B2EED9}" name="LP7" dataDxfId="14"/>
    <tableColumn id="34" xr3:uid="{1E1BCB7D-C8D5-4F6F-9A5C-CA9877CE4C1C}" name="LP8" dataDxfId="13"/>
    <tableColumn id="35" xr3:uid="{649E2BE8-4F83-4242-93A1-FAA5C0A00736}" name="LP9" dataDxfId="12"/>
    <tableColumn id="36" xr3:uid="{7C49F790-ACE7-45F4-99FC-303416F762B1}" name="LP10" dataDxfId="11"/>
    <tableColumn id="37" xr3:uid="{0CD6D13C-0823-4DC2-85CD-E56F0FED5C69}" name="LP11" dataDxfId="10"/>
    <tableColumn id="38" xr3:uid="{C3B4010A-75C0-436F-A72C-ABD0B46AF8F2}" name="LP12" dataDxfId="9"/>
    <tableColumn id="39" xr3:uid="{6F6C5B16-F603-48EB-AD48-EDB6929F3842}" name="LP13" dataDxfId="8"/>
    <tableColumn id="40" xr3:uid="{1B8B3D42-BE30-4097-A806-92384970A6CA}" name="LP14" dataDxfId="7"/>
    <tableColumn id="41" xr3:uid="{79145227-4F1B-4BE7-8E6F-1D3030E7A99E}" name="LP15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Q187"/>
  <sheetViews>
    <sheetView showGridLines="0" tabSelected="1" topLeftCell="D137" zoomScale="85" zoomScaleNormal="85" workbookViewId="0">
      <selection activeCell="AQ187" sqref="AQ187"/>
    </sheetView>
  </sheetViews>
  <sheetFormatPr defaultColWidth="9.140625" defaultRowHeight="12" customHeight="1" x14ac:dyDescent="0.2"/>
  <cols>
    <col min="1" max="1" width="16.7109375" customWidth="1"/>
    <col min="2" max="2" width="9.7109375" customWidth="1"/>
    <col min="3" max="3" width="16.7109375" customWidth="1"/>
    <col min="4" max="4" width="4.5703125" customWidth="1"/>
    <col min="5" max="5" width="9.7109375" style="73" customWidth="1"/>
    <col min="15" max="15" width="11.85546875" customWidth="1"/>
    <col min="16" max="25" width="16.28515625" hidden="1" customWidth="1"/>
    <col min="26" max="26" width="16.28515625" customWidth="1"/>
    <col min="27" max="27" width="16.28515625" style="42" customWidth="1"/>
    <col min="28" max="30" width="9.140625" style="42"/>
    <col min="31" max="31" width="9.140625" style="87"/>
    <col min="32" max="32" width="9.85546875" bestFit="1" customWidth="1"/>
    <col min="33" max="33" width="9.85546875" customWidth="1"/>
    <col min="36" max="36" width="13.28515625" bestFit="1" customWidth="1"/>
    <col min="37" max="37" width="13.42578125" bestFit="1" customWidth="1"/>
    <col min="38" max="39" width="12.7109375" bestFit="1" customWidth="1"/>
    <col min="41" max="41" width="11.85546875" bestFit="1" customWidth="1"/>
  </cols>
  <sheetData>
    <row r="1" spans="1:43" ht="12" customHeight="1" thickBot="1" x14ac:dyDescent="0.25">
      <c r="A1" s="1" t="s">
        <v>0</v>
      </c>
      <c r="B1" s="2" t="s">
        <v>1</v>
      </c>
      <c r="C1" s="10" t="s">
        <v>8</v>
      </c>
      <c r="D1" s="3" t="s">
        <v>2</v>
      </c>
      <c r="E1" s="94" t="s">
        <v>3</v>
      </c>
      <c r="J1" s="136" t="s">
        <v>5</v>
      </c>
      <c r="K1" s="137"/>
      <c r="M1" s="132" t="s">
        <v>6</v>
      </c>
      <c r="N1" s="133"/>
      <c r="O1" s="42" t="s">
        <v>31</v>
      </c>
    </row>
    <row r="2" spans="1:43" ht="12" customHeight="1" thickTop="1" x14ac:dyDescent="0.25">
      <c r="A2" s="59">
        <v>1</v>
      </c>
      <c r="B2" s="59" t="s">
        <v>153</v>
      </c>
      <c r="C2" s="59"/>
      <c r="D2" s="59">
        <v>1</v>
      </c>
      <c r="E2" s="95">
        <v>5603</v>
      </c>
      <c r="J2" s="138"/>
      <c r="K2" s="139"/>
      <c r="M2" s="134"/>
      <c r="N2" s="135"/>
      <c r="O2" s="49">
        <v>700</v>
      </c>
      <c r="P2" s="42" t="s">
        <v>27</v>
      </c>
    </row>
    <row r="3" spans="1:43" ht="12" customHeight="1" x14ac:dyDescent="0.2">
      <c r="A3" s="61">
        <v>1</v>
      </c>
      <c r="B3" s="61" t="s">
        <v>154</v>
      </c>
      <c r="C3" s="61"/>
      <c r="D3" s="61">
        <v>1</v>
      </c>
      <c r="E3" s="96">
        <v>13</v>
      </c>
      <c r="J3" s="4" t="s">
        <v>2</v>
      </c>
      <c r="K3" s="6" t="s">
        <v>3</v>
      </c>
      <c r="L3" s="6" t="s">
        <v>59</v>
      </c>
      <c r="M3" s="4" t="s">
        <v>2</v>
      </c>
      <c r="N3" s="6" t="s">
        <v>3</v>
      </c>
      <c r="O3" s="48"/>
    </row>
    <row r="4" spans="1:43" ht="12" customHeight="1" x14ac:dyDescent="0.25">
      <c r="A4" s="59">
        <v>2</v>
      </c>
      <c r="B4" s="59">
        <v>134</v>
      </c>
      <c r="C4" s="59" t="s">
        <v>11</v>
      </c>
      <c r="D4" s="59">
        <v>1</v>
      </c>
      <c r="E4" s="95">
        <v>43.5</v>
      </c>
      <c r="J4" s="46">
        <v>110</v>
      </c>
      <c r="K4" s="46">
        <f>+tblStock[[#This Row],[Long.2]]+L_saw-2*L_ends</f>
        <v>5983</v>
      </c>
      <c r="L4" s="46">
        <v>6000</v>
      </c>
      <c r="M4" s="5">
        <v>2</v>
      </c>
      <c r="N4" s="7">
        <v>990</v>
      </c>
      <c r="O4" s="48"/>
    </row>
    <row r="5" spans="1:43" ht="12" customHeight="1" x14ac:dyDescent="0.25">
      <c r="A5" s="61">
        <v>2</v>
      </c>
      <c r="B5" s="61">
        <v>135</v>
      </c>
      <c r="C5" s="61" t="s">
        <v>14</v>
      </c>
      <c r="D5" s="61">
        <v>1</v>
      </c>
      <c r="E5" s="96">
        <v>55.5</v>
      </c>
      <c r="J5" s="47">
        <v>28</v>
      </c>
      <c r="K5" s="47">
        <f>+tblStock[[#This Row],[Long.2]]+L_saw-2*L_ends</f>
        <v>5083</v>
      </c>
      <c r="L5" s="47">
        <v>5100</v>
      </c>
      <c r="M5" s="5"/>
      <c r="N5" s="7"/>
    </row>
    <row r="6" spans="1:43" ht="12" customHeight="1" x14ac:dyDescent="0.2">
      <c r="A6" s="59">
        <v>2</v>
      </c>
      <c r="B6" s="59">
        <v>139</v>
      </c>
      <c r="C6" s="59" t="s">
        <v>11</v>
      </c>
      <c r="D6" s="59">
        <v>1</v>
      </c>
      <c r="E6" s="95">
        <v>182.5</v>
      </c>
    </row>
    <row r="7" spans="1:43" ht="12" customHeight="1" x14ac:dyDescent="0.2">
      <c r="A7" s="61">
        <v>2</v>
      </c>
      <c r="B7" s="61">
        <v>152</v>
      </c>
      <c r="C7" s="61" t="s">
        <v>15</v>
      </c>
      <c r="D7" s="61">
        <v>1</v>
      </c>
      <c r="E7" s="96">
        <v>331.5</v>
      </c>
      <c r="AD7" s="90">
        <f>SUM(Tabel3[Qté])</f>
        <v>169</v>
      </c>
      <c r="AE7" s="90"/>
      <c r="AF7" s="90">
        <f>SUM(Tabel3[tot])</f>
        <v>346604.09999999992</v>
      </c>
      <c r="AG7" s="90"/>
    </row>
    <row r="8" spans="1:43" ht="12" customHeight="1" thickBot="1" x14ac:dyDescent="0.25">
      <c r="A8" s="59">
        <v>2</v>
      </c>
      <c r="B8" s="59">
        <v>153</v>
      </c>
      <c r="C8" s="59" t="s">
        <v>11</v>
      </c>
      <c r="D8" s="59">
        <v>1</v>
      </c>
      <c r="E8" s="95">
        <v>341.5</v>
      </c>
      <c r="AA8" s="83" t="s">
        <v>0</v>
      </c>
      <c r="AB8" s="83" t="s">
        <v>1</v>
      </c>
      <c r="AC8" s="83" t="s">
        <v>8</v>
      </c>
      <c r="AD8" s="83" t="s">
        <v>2</v>
      </c>
      <c r="AE8" s="85" t="s">
        <v>3</v>
      </c>
      <c r="AF8" s="89" t="s">
        <v>60</v>
      </c>
      <c r="AG8" s="92" t="s">
        <v>66</v>
      </c>
      <c r="AK8" s="91" t="s">
        <v>64</v>
      </c>
    </row>
    <row r="9" spans="1:43" ht="12" customHeight="1" thickTop="1" x14ac:dyDescent="0.2">
      <c r="A9" s="61">
        <v>2</v>
      </c>
      <c r="B9" s="61">
        <v>167</v>
      </c>
      <c r="C9" s="61" t="s">
        <v>16</v>
      </c>
      <c r="D9" s="61">
        <v>1</v>
      </c>
      <c r="E9" s="96">
        <v>470.5</v>
      </c>
      <c r="AA9" s="100">
        <v>99</v>
      </c>
      <c r="AB9" s="100" t="s">
        <v>153</v>
      </c>
      <c r="AC9" s="100"/>
      <c r="AD9" s="100">
        <v>1</v>
      </c>
      <c r="AE9" s="101">
        <v>5600</v>
      </c>
      <c r="AF9" s="102">
        <f>ROUND(Tabel3[[#This Row],[Long.]],1)*Tabel3[[#This Row],[Qté]]</f>
        <v>5600</v>
      </c>
      <c r="AG9" s="100">
        <f ca="1">SUM(OFFSET(Tabel3[[#This Row],[Compteur]],-1,),Tabel3[[#This Row],[Sous-groupe]]&lt;&gt;OFFSET(Tabel3[[#This Row],[Sous-groupe]],-1,))</f>
        <v>1</v>
      </c>
      <c r="AJ9" s="91" t="s">
        <v>66</v>
      </c>
      <c r="AK9" t="s">
        <v>63</v>
      </c>
      <c r="AL9" t="s">
        <v>65</v>
      </c>
    </row>
    <row r="10" spans="1:43" ht="12" customHeight="1" x14ac:dyDescent="0.2">
      <c r="A10" s="59">
        <v>2</v>
      </c>
      <c r="B10" s="59">
        <v>181</v>
      </c>
      <c r="C10" s="59" t="s">
        <v>11</v>
      </c>
      <c r="D10" s="59">
        <v>3</v>
      </c>
      <c r="E10" s="95">
        <v>556</v>
      </c>
      <c r="AA10" s="103">
        <v>99</v>
      </c>
      <c r="AB10" s="103" t="s">
        <v>154</v>
      </c>
      <c r="AC10" s="103"/>
      <c r="AD10" s="106">
        <v>1</v>
      </c>
      <c r="AE10" s="104">
        <v>10</v>
      </c>
      <c r="AF10" s="105">
        <f>ROUND(Tabel3[[#This Row],[Long.]],1)*Tabel3[[#This Row],[Qté]]</f>
        <v>10</v>
      </c>
      <c r="AG10" s="103">
        <f ca="1">SUM(OFFSET(Tabel3[[#This Row],[Compteur]],-1,),Tabel3[[#This Row],[Sous-groupe]]&lt;&gt;OFFSET(Tabel3[[#This Row],[Sous-groupe]],-1,))</f>
        <v>1</v>
      </c>
      <c r="AJ10" s="67">
        <v>1</v>
      </c>
      <c r="AK10">
        <v>29</v>
      </c>
      <c r="AL10" s="73">
        <v>51138</v>
      </c>
      <c r="AN10" cm="1">
        <f t="array" ref="AN10">SUMPRODUCT(ISNUMBER(TBL_Synthese[[P1]:[P15]])*(TBL_Synthese[Sous
groupe]=Listings!AJ10))</f>
        <v>2</v>
      </c>
      <c r="AO10" s="93" t="e" cm="1">
        <f t="array" ref="AO10">SUMPRODUCT(TBL_Synthese[[P1]:[P15]]*(TBL_Synthese[Sous
groupe]=Listings!AJ10))+AK10*L_saw</f>
        <v>#VALUE!</v>
      </c>
      <c r="AP10">
        <f>+AN10-AK10</f>
        <v>-27</v>
      </c>
      <c r="AQ10" t="e">
        <f>+AO10-AL10</f>
        <v>#VALUE!</v>
      </c>
    </row>
    <row r="11" spans="1:43" ht="12" customHeight="1" x14ac:dyDescent="0.2">
      <c r="A11" s="61">
        <v>2</v>
      </c>
      <c r="B11" s="61">
        <v>195</v>
      </c>
      <c r="C11" s="61" t="s">
        <v>17</v>
      </c>
      <c r="D11" s="61">
        <v>2</v>
      </c>
      <c r="E11" s="96">
        <v>748</v>
      </c>
      <c r="AA11" s="84">
        <v>1</v>
      </c>
      <c r="AB11" s="84">
        <v>134</v>
      </c>
      <c r="AC11" s="84" t="s">
        <v>11</v>
      </c>
      <c r="AD11" s="84">
        <v>1</v>
      </c>
      <c r="AE11" s="86">
        <v>40.5</v>
      </c>
      <c r="AF11" s="88">
        <f>ROUND(Tabel3[[#This Row],[Long.]],1)*Tabel3[[#This Row],[Qté]]</f>
        <v>40.5</v>
      </c>
      <c r="AG11" s="84">
        <f ca="1">SUM(OFFSET(Tabel3[[#This Row],[Compteur]],-1,),Tabel3[[#This Row],[Sous-groupe]]&lt;&gt;OFFSET(Tabel3[[#This Row],[Sous-groupe]],-1,))</f>
        <v>2</v>
      </c>
      <c r="AJ11" s="67">
        <v>2</v>
      </c>
      <c r="AK11">
        <v>26</v>
      </c>
      <c r="AL11" s="73">
        <v>44779</v>
      </c>
      <c r="AN11" cm="1">
        <f t="array" ref="AN11">SUMPRODUCT(ISNUMBER(TBL_Synthese[[P1]:[P15]])*(TBL_Synthese[Sous
groupe]=Listings!AJ11))</f>
        <v>29</v>
      </c>
      <c r="AO11" s="93" t="e" cm="1">
        <f t="array" ref="AO11">SUMPRODUCT(TBL_Synthese[[P1]:[P15]]*(TBL_Synthese[Sous
groupe]=Listings!AJ11))+AK11*L_saw</f>
        <v>#VALUE!</v>
      </c>
      <c r="AP11">
        <f t="shared" ref="AP11:AP17" si="0">+AN11-AK11</f>
        <v>3</v>
      </c>
      <c r="AQ11" t="e">
        <f t="shared" ref="AQ11:AQ17" si="1">+AO11-AL11</f>
        <v>#VALUE!</v>
      </c>
    </row>
    <row r="12" spans="1:43" ht="12" customHeight="1" x14ac:dyDescent="0.2">
      <c r="A12" s="59">
        <v>2</v>
      </c>
      <c r="B12" s="59">
        <v>203</v>
      </c>
      <c r="C12" s="59" t="s">
        <v>11</v>
      </c>
      <c r="D12" s="59">
        <v>2</v>
      </c>
      <c r="E12" s="95">
        <v>968</v>
      </c>
      <c r="AA12" s="84">
        <v>1</v>
      </c>
      <c r="AB12" s="84">
        <v>135</v>
      </c>
      <c r="AC12" s="84" t="s">
        <v>14</v>
      </c>
      <c r="AD12" s="84">
        <v>1</v>
      </c>
      <c r="AE12" s="86">
        <v>52.5</v>
      </c>
      <c r="AF12" s="88">
        <f>ROUND(Tabel3[[#This Row],[Long.]],1)*Tabel3[[#This Row],[Qté]]</f>
        <v>52.5</v>
      </c>
      <c r="AG12" s="84">
        <f ca="1">SUM(OFFSET(Tabel3[[#This Row],[Compteur]],-1,),Tabel3[[#This Row],[Sous-groupe]]&lt;&gt;OFFSET(Tabel3[[#This Row],[Sous-groupe]],-1,))</f>
        <v>2</v>
      </c>
      <c r="AJ12" s="67">
        <v>3</v>
      </c>
      <c r="AK12">
        <v>27</v>
      </c>
      <c r="AL12" s="73">
        <v>47963</v>
      </c>
      <c r="AN12" cm="1">
        <f t="array" ref="AN12">SUMPRODUCT(ISNUMBER(TBL_Synthese[[P1]:[P15]])*(TBL_Synthese[Sous
groupe]=Listings!AJ12))</f>
        <v>26</v>
      </c>
      <c r="AO12" s="93" t="e" cm="1">
        <f t="array" ref="AO12">SUMPRODUCT(TBL_Synthese[[P1]:[P15]]*(TBL_Synthese[Sous
groupe]=Listings!AJ12))+AK12*L_saw</f>
        <v>#VALUE!</v>
      </c>
      <c r="AP12">
        <f t="shared" si="0"/>
        <v>-1</v>
      </c>
      <c r="AQ12" t="e">
        <f t="shared" si="1"/>
        <v>#VALUE!</v>
      </c>
    </row>
    <row r="13" spans="1:43" ht="12" customHeight="1" x14ac:dyDescent="0.25">
      <c r="A13" s="61">
        <v>2</v>
      </c>
      <c r="B13" s="61">
        <v>213</v>
      </c>
      <c r="C13" s="61" t="s">
        <v>18</v>
      </c>
      <c r="D13" s="61">
        <v>1</v>
      </c>
      <c r="E13" s="96">
        <v>1203</v>
      </c>
      <c r="I13" s="43" t="s">
        <v>30</v>
      </c>
      <c r="J13" s="45">
        <v>3</v>
      </c>
      <c r="K13" s="42" t="s">
        <v>27</v>
      </c>
      <c r="AA13" s="84">
        <v>1</v>
      </c>
      <c r="AB13" s="84">
        <v>139</v>
      </c>
      <c r="AC13" s="84" t="s">
        <v>11</v>
      </c>
      <c r="AD13" s="84">
        <v>1</v>
      </c>
      <c r="AE13" s="86">
        <v>179.5</v>
      </c>
      <c r="AF13" s="88">
        <f>ROUND(Tabel3[[#This Row],[Long.]],1)*Tabel3[[#This Row],[Qté]]</f>
        <v>179.5</v>
      </c>
      <c r="AG13" s="84">
        <f ca="1">SUM(OFFSET(Tabel3[[#This Row],[Compteur]],-1,),Tabel3[[#This Row],[Sous-groupe]]&lt;&gt;OFFSET(Tabel3[[#This Row],[Sous-groupe]],-1,))</f>
        <v>2</v>
      </c>
      <c r="AJ13" s="67">
        <v>4</v>
      </c>
      <c r="AK13">
        <v>28</v>
      </c>
      <c r="AL13" s="73">
        <v>58668.800000000003</v>
      </c>
      <c r="AN13" cm="1">
        <f t="array" ref="AN13">SUMPRODUCT(ISNUMBER(TBL_Synthese[[P1]:[P15]])*(TBL_Synthese[Sous
groupe]=Listings!AJ13))</f>
        <v>28</v>
      </c>
      <c r="AO13" s="93" t="e" cm="1">
        <f t="array" ref="AO13">SUMPRODUCT(TBL_Synthese[[P1]:[P15]]*(TBL_Synthese[Sous
groupe]=Listings!AJ13))+AK13*L_saw</f>
        <v>#VALUE!</v>
      </c>
      <c r="AP13">
        <f t="shared" si="0"/>
        <v>0</v>
      </c>
      <c r="AQ13" t="e">
        <f t="shared" si="1"/>
        <v>#VALUE!</v>
      </c>
    </row>
    <row r="14" spans="1:43" ht="12" customHeight="1" x14ac:dyDescent="0.25">
      <c r="A14" s="59">
        <v>2</v>
      </c>
      <c r="B14" s="59">
        <v>222</v>
      </c>
      <c r="C14" s="59" t="s">
        <v>11</v>
      </c>
      <c r="D14" s="59">
        <v>1</v>
      </c>
      <c r="E14" s="95">
        <v>1293</v>
      </c>
      <c r="I14" s="43" t="s">
        <v>28</v>
      </c>
      <c r="J14" s="45">
        <v>10</v>
      </c>
      <c r="K14" s="42" t="s">
        <v>27</v>
      </c>
      <c r="AA14" s="84">
        <v>1</v>
      </c>
      <c r="AB14" s="84">
        <v>152</v>
      </c>
      <c r="AC14" s="84" t="s">
        <v>15</v>
      </c>
      <c r="AD14" s="84">
        <v>1</v>
      </c>
      <c r="AE14" s="86">
        <v>328.5</v>
      </c>
      <c r="AF14" s="88">
        <f>ROUND(Tabel3[[#This Row],[Long.]],1)*Tabel3[[#This Row],[Qté]]</f>
        <v>328.5</v>
      </c>
      <c r="AG14" s="84">
        <f ca="1">SUM(OFFSET(Tabel3[[#This Row],[Compteur]],-1,),Tabel3[[#This Row],[Sous-groupe]]&lt;&gt;OFFSET(Tabel3[[#This Row],[Sous-groupe]],-1,))</f>
        <v>2</v>
      </c>
      <c r="AJ14" s="67">
        <v>5</v>
      </c>
      <c r="AK14">
        <v>6</v>
      </c>
      <c r="AL14" s="73">
        <v>13524</v>
      </c>
      <c r="AN14" cm="1">
        <f t="array" ref="AN14">SUMPRODUCT(ISNUMBER(TBL_Synthese[[P1]:[P15]])*(TBL_Synthese[Sous
groupe]=Listings!AJ14))</f>
        <v>27</v>
      </c>
      <c r="AO14" s="93" t="e" cm="1">
        <f t="array" ref="AO14">SUMPRODUCT(TBL_Synthese[[P1]:[P15]]*(TBL_Synthese[Sous
groupe]=Listings!AJ14))+AK14*L_saw</f>
        <v>#VALUE!</v>
      </c>
      <c r="AP14">
        <f t="shared" si="0"/>
        <v>21</v>
      </c>
      <c r="AQ14" t="e">
        <f t="shared" si="1"/>
        <v>#VALUE!</v>
      </c>
    </row>
    <row r="15" spans="1:43" ht="12" customHeight="1" x14ac:dyDescent="0.2">
      <c r="A15" s="61">
        <v>2</v>
      </c>
      <c r="B15" s="61">
        <v>232</v>
      </c>
      <c r="C15" s="61" t="s">
        <v>19</v>
      </c>
      <c r="D15" s="61">
        <v>1</v>
      </c>
      <c r="E15" s="96">
        <v>1293</v>
      </c>
      <c r="I15" s="43" t="s">
        <v>29</v>
      </c>
      <c r="AA15" s="84">
        <v>1</v>
      </c>
      <c r="AB15" s="84">
        <v>153</v>
      </c>
      <c r="AC15" s="84" t="s">
        <v>11</v>
      </c>
      <c r="AD15" s="84">
        <v>1</v>
      </c>
      <c r="AE15" s="86">
        <v>338.5</v>
      </c>
      <c r="AF15" s="88">
        <f>ROUND(Tabel3[[#This Row],[Long.]],1)*Tabel3[[#This Row],[Qté]]</f>
        <v>338.5</v>
      </c>
      <c r="AG15" s="84">
        <f ca="1">SUM(OFFSET(Tabel3[[#This Row],[Compteur]],-1,),Tabel3[[#This Row],[Sous-groupe]]&lt;&gt;OFFSET(Tabel3[[#This Row],[Sous-groupe]],-1,))</f>
        <v>2</v>
      </c>
      <c r="AJ15" s="67">
        <v>6</v>
      </c>
      <c r="AK15">
        <v>21</v>
      </c>
      <c r="AL15" s="73">
        <v>56196.7</v>
      </c>
      <c r="AN15" cm="1">
        <f t="array" ref="AN15">SUMPRODUCT(ISNUMBER(TBL_Synthese[[P1]:[P15]])*(TBL_Synthese[Sous
groupe]=Listings!AJ15))</f>
        <v>5</v>
      </c>
      <c r="AO15" s="93" t="e" cm="1">
        <f t="array" ref="AO15">SUMPRODUCT(TBL_Synthese[[P1]:[P15]]*(TBL_Synthese[Sous
groupe]=Listings!AJ15))+AK15*L_saw</f>
        <v>#VALUE!</v>
      </c>
      <c r="AP15">
        <f t="shared" si="0"/>
        <v>-16</v>
      </c>
      <c r="AQ15" t="e">
        <f t="shared" si="1"/>
        <v>#VALUE!</v>
      </c>
    </row>
    <row r="16" spans="1:43" ht="12" customHeight="1" x14ac:dyDescent="0.2">
      <c r="A16" s="59">
        <v>2</v>
      </c>
      <c r="B16" s="59">
        <v>251</v>
      </c>
      <c r="C16" s="59"/>
      <c r="D16" s="59">
        <v>2</v>
      </c>
      <c r="E16" s="95">
        <v>2433</v>
      </c>
      <c r="AA16" s="84">
        <v>1</v>
      </c>
      <c r="AB16" s="84">
        <v>167</v>
      </c>
      <c r="AC16" s="84" t="s">
        <v>16</v>
      </c>
      <c r="AD16" s="84">
        <v>1</v>
      </c>
      <c r="AE16" s="86">
        <v>467.5</v>
      </c>
      <c r="AF16" s="88">
        <f>ROUND(Tabel3[[#This Row],[Long.]],1)*Tabel3[[#This Row],[Qté]]</f>
        <v>467.5</v>
      </c>
      <c r="AG16" s="84">
        <f ca="1">SUM(OFFSET(Tabel3[[#This Row],[Compteur]],-1,),Tabel3[[#This Row],[Sous-groupe]]&lt;&gt;OFFSET(Tabel3[[#This Row],[Sous-groupe]],-1,))</f>
        <v>2</v>
      </c>
      <c r="AJ16" s="67">
        <v>7</v>
      </c>
      <c r="AK16">
        <v>7</v>
      </c>
      <c r="AL16" s="73">
        <v>16326.099999999999</v>
      </c>
      <c r="AN16" cm="1">
        <f t="array" ref="AN16">SUMPRODUCT(ISNUMBER(TBL_Synthese[[P1]:[P15]])*(TBL_Synthese[Sous
groupe]=Listings!AJ16))</f>
        <v>20</v>
      </c>
      <c r="AO16" s="93" t="e" cm="1">
        <f t="array" ref="AO16">SUMPRODUCT(TBL_Synthese[[P1]:[P15]]*(TBL_Synthese[Sous
groupe]=Listings!AJ16))+AK16*L_saw</f>
        <v>#VALUE!</v>
      </c>
      <c r="AP16">
        <f t="shared" si="0"/>
        <v>13</v>
      </c>
      <c r="AQ16" t="e">
        <f t="shared" si="1"/>
        <v>#VALUE!</v>
      </c>
    </row>
    <row r="17" spans="1:43" ht="12" customHeight="1" x14ac:dyDescent="0.2">
      <c r="A17" s="59">
        <v>2</v>
      </c>
      <c r="B17" s="59">
        <v>288</v>
      </c>
      <c r="C17" s="59"/>
      <c r="D17" s="59">
        <v>9</v>
      </c>
      <c r="E17" s="95">
        <v>3223</v>
      </c>
      <c r="AA17" s="84">
        <v>1</v>
      </c>
      <c r="AB17" s="84">
        <v>181</v>
      </c>
      <c r="AC17" s="84" t="s">
        <v>11</v>
      </c>
      <c r="AD17" s="84">
        <v>3</v>
      </c>
      <c r="AE17" s="86">
        <v>553</v>
      </c>
      <c r="AF17" s="88">
        <f>ROUND(Tabel3[[#This Row],[Long.]],1)*Tabel3[[#This Row],[Qté]]</f>
        <v>1659</v>
      </c>
      <c r="AG17" s="84">
        <f ca="1">SUM(OFFSET(Tabel3[[#This Row],[Compteur]],-1,),Tabel3[[#This Row],[Sous-groupe]]&lt;&gt;OFFSET(Tabel3[[#This Row],[Sous-groupe]],-1,))</f>
        <v>2</v>
      </c>
      <c r="AJ17" s="67">
        <v>8</v>
      </c>
      <c r="AK17">
        <v>21</v>
      </c>
      <c r="AL17" s="73">
        <v>44198.5</v>
      </c>
      <c r="AN17" cm="1">
        <f t="array" ref="AN17">SUMPRODUCT(ISNUMBER(TBL_Synthese[[P1]:[P15]])*(TBL_Synthese[Sous
groupe]=Listings!AJ17))</f>
        <v>6</v>
      </c>
      <c r="AO17" s="93" t="e" cm="1">
        <f t="array" ref="AO17">SUMPRODUCT(TBL_Synthese[[P1]:[P15]]*(TBL_Synthese[Sous
groupe]=Listings!AJ17))+AK17*L_saw</f>
        <v>#VALUE!</v>
      </c>
      <c r="AP17">
        <f t="shared" si="0"/>
        <v>-15</v>
      </c>
      <c r="AQ17" t="e">
        <f t="shared" si="1"/>
        <v>#VALUE!</v>
      </c>
    </row>
    <row r="18" spans="1:43" ht="12" customHeight="1" x14ac:dyDescent="0.2">
      <c r="A18" s="61">
        <v>2</v>
      </c>
      <c r="B18" s="61">
        <v>296</v>
      </c>
      <c r="C18" s="61"/>
      <c r="D18" s="61">
        <v>2</v>
      </c>
      <c r="E18" s="96">
        <v>3519</v>
      </c>
      <c r="AA18" s="84">
        <v>1</v>
      </c>
      <c r="AB18" s="84">
        <v>195</v>
      </c>
      <c r="AC18" s="84" t="s">
        <v>17</v>
      </c>
      <c r="AD18" s="84">
        <v>2</v>
      </c>
      <c r="AE18" s="86">
        <v>745</v>
      </c>
      <c r="AF18" s="88">
        <f>ROUND(Tabel3[[#This Row],[Long.]],1)*Tabel3[[#This Row],[Qté]]</f>
        <v>1490</v>
      </c>
      <c r="AG18" s="84">
        <f ca="1">SUM(OFFSET(Tabel3[[#This Row],[Compteur]],-1,),Tabel3[[#This Row],[Sous-groupe]]&lt;&gt;OFFSET(Tabel3[[#This Row],[Sous-groupe]],-1,))</f>
        <v>2</v>
      </c>
      <c r="AJ18" s="67" t="s">
        <v>62</v>
      </c>
      <c r="AK18">
        <v>165</v>
      </c>
      <c r="AL18" s="73">
        <v>332794.09999999998</v>
      </c>
    </row>
    <row r="19" spans="1:43" ht="12" customHeight="1" x14ac:dyDescent="0.2">
      <c r="A19" s="59">
        <v>3</v>
      </c>
      <c r="B19" s="59">
        <v>136</v>
      </c>
      <c r="C19" s="59"/>
      <c r="D19" s="59">
        <v>1</v>
      </c>
      <c r="E19" s="95">
        <v>111.5</v>
      </c>
      <c r="AA19" s="84">
        <v>1</v>
      </c>
      <c r="AB19" s="84">
        <v>203</v>
      </c>
      <c r="AC19" s="84" t="s">
        <v>11</v>
      </c>
      <c r="AD19" s="84">
        <v>2</v>
      </c>
      <c r="AE19" s="86">
        <v>965</v>
      </c>
      <c r="AF19" s="88">
        <f>ROUND(Tabel3[[#This Row],[Long.]],1)*Tabel3[[#This Row],[Qté]]</f>
        <v>1930</v>
      </c>
      <c r="AG19" s="84">
        <f ca="1">SUM(OFFSET(Tabel3[[#This Row],[Compteur]],-1,),Tabel3[[#This Row],[Sous-groupe]]&lt;&gt;OFFSET(Tabel3[[#This Row],[Sous-groupe]],-1,))</f>
        <v>2</v>
      </c>
    </row>
    <row r="20" spans="1:43" ht="12" customHeight="1" x14ac:dyDescent="0.2">
      <c r="A20" s="61">
        <v>3</v>
      </c>
      <c r="B20" s="61">
        <v>143</v>
      </c>
      <c r="C20" s="61"/>
      <c r="D20" s="61">
        <v>1</v>
      </c>
      <c r="E20" s="96">
        <v>250.5</v>
      </c>
      <c r="AA20" s="84">
        <v>1</v>
      </c>
      <c r="AB20" s="84">
        <v>213</v>
      </c>
      <c r="AC20" s="84" t="s">
        <v>18</v>
      </c>
      <c r="AD20" s="84">
        <v>1</v>
      </c>
      <c r="AE20" s="86">
        <v>1200</v>
      </c>
      <c r="AF20" s="88">
        <f>ROUND(Tabel3[[#This Row],[Long.]],1)*Tabel3[[#This Row],[Qté]]</f>
        <v>1200</v>
      </c>
      <c r="AG20" s="84">
        <f ca="1">SUM(OFFSET(Tabel3[[#This Row],[Compteur]],-1,),Tabel3[[#This Row],[Sous-groupe]]&lt;&gt;OFFSET(Tabel3[[#This Row],[Sous-groupe]],-1,))</f>
        <v>2</v>
      </c>
    </row>
    <row r="21" spans="1:43" ht="12" customHeight="1" x14ac:dyDescent="0.2">
      <c r="A21" s="59">
        <v>3</v>
      </c>
      <c r="B21" s="59">
        <v>145</v>
      </c>
      <c r="C21" s="59"/>
      <c r="D21" s="59">
        <v>1</v>
      </c>
      <c r="E21" s="95">
        <v>263.5</v>
      </c>
      <c r="AA21" s="84">
        <v>1</v>
      </c>
      <c r="AB21" s="84">
        <v>222</v>
      </c>
      <c r="AC21" s="84" t="s">
        <v>11</v>
      </c>
      <c r="AD21" s="84">
        <v>1</v>
      </c>
      <c r="AE21" s="86">
        <v>1290</v>
      </c>
      <c r="AF21" s="88">
        <f>ROUND(Tabel3[[#This Row],[Long.]],1)*Tabel3[[#This Row],[Qté]]</f>
        <v>1290</v>
      </c>
      <c r="AG21" s="84">
        <f ca="1">SUM(OFFSET(Tabel3[[#This Row],[Compteur]],-1,),Tabel3[[#This Row],[Sous-groupe]]&lt;&gt;OFFSET(Tabel3[[#This Row],[Sous-groupe]],-1,))</f>
        <v>2</v>
      </c>
    </row>
    <row r="22" spans="1:43" ht="12" customHeight="1" x14ac:dyDescent="0.2">
      <c r="A22" s="61">
        <v>3</v>
      </c>
      <c r="B22" s="61">
        <v>158</v>
      </c>
      <c r="C22" s="61"/>
      <c r="D22" s="61">
        <v>1</v>
      </c>
      <c r="E22" s="96">
        <v>402.5</v>
      </c>
      <c r="AA22" s="84">
        <v>1</v>
      </c>
      <c r="AB22" s="84">
        <v>232</v>
      </c>
      <c r="AC22" s="84" t="s">
        <v>19</v>
      </c>
      <c r="AD22" s="84">
        <v>1</v>
      </c>
      <c r="AE22" s="86">
        <v>1290</v>
      </c>
      <c r="AF22" s="88">
        <f>ROUND(Tabel3[[#This Row],[Long.]],1)*Tabel3[[#This Row],[Qté]]</f>
        <v>1290</v>
      </c>
      <c r="AG22" s="84">
        <f ca="1">SUM(OFFSET(Tabel3[[#This Row],[Compteur]],-1,),Tabel3[[#This Row],[Sous-groupe]]&lt;&gt;OFFSET(Tabel3[[#This Row],[Sous-groupe]],-1,))</f>
        <v>2</v>
      </c>
    </row>
    <row r="23" spans="1:43" ht="12" customHeight="1" x14ac:dyDescent="0.2">
      <c r="A23" s="59">
        <v>3</v>
      </c>
      <c r="B23" s="59">
        <v>159</v>
      </c>
      <c r="C23" s="59"/>
      <c r="D23" s="59">
        <v>1</v>
      </c>
      <c r="E23" s="95">
        <v>413.5</v>
      </c>
      <c r="AA23" s="84">
        <v>1</v>
      </c>
      <c r="AB23" s="84">
        <v>251</v>
      </c>
      <c r="AC23" s="84"/>
      <c r="AD23" s="84">
        <v>2</v>
      </c>
      <c r="AE23" s="86">
        <v>2430</v>
      </c>
      <c r="AF23" s="88">
        <f>ROUND(Tabel3[[#This Row],[Long.]],1)*Tabel3[[#This Row],[Qté]]</f>
        <v>4860</v>
      </c>
      <c r="AG23" s="84">
        <f ca="1">SUM(OFFSET(Tabel3[[#This Row],[Compteur]],-1,),Tabel3[[#This Row],[Sous-groupe]]&lt;&gt;OFFSET(Tabel3[[#This Row],[Sous-groupe]],-1,))</f>
        <v>2</v>
      </c>
    </row>
    <row r="24" spans="1:43" ht="12" customHeight="1" x14ac:dyDescent="0.2">
      <c r="A24" s="61">
        <v>3</v>
      </c>
      <c r="B24" s="61">
        <v>182</v>
      </c>
      <c r="C24" s="61"/>
      <c r="D24" s="61">
        <v>2</v>
      </c>
      <c r="E24" s="96">
        <v>556</v>
      </c>
      <c r="AA24" s="84">
        <v>1</v>
      </c>
      <c r="AB24" s="84">
        <v>288</v>
      </c>
      <c r="AC24" s="84"/>
      <c r="AD24" s="84">
        <v>9</v>
      </c>
      <c r="AE24" s="86">
        <v>3220</v>
      </c>
      <c r="AF24" s="88">
        <f>ROUND(Tabel3[[#This Row],[Long.]],1)*Tabel3[[#This Row],[Qté]]</f>
        <v>28980</v>
      </c>
      <c r="AG24" s="84">
        <f ca="1">SUM(OFFSET(Tabel3[[#This Row],[Compteur]],-1,),Tabel3[[#This Row],[Sous-groupe]]&lt;&gt;OFFSET(Tabel3[[#This Row],[Sous-groupe]],-1,))</f>
        <v>2</v>
      </c>
    </row>
    <row r="25" spans="1:43" ht="12" customHeight="1" x14ac:dyDescent="0.2">
      <c r="A25" s="59">
        <v>3</v>
      </c>
      <c r="B25" s="59">
        <v>189</v>
      </c>
      <c r="C25" s="59"/>
      <c r="D25" s="59">
        <v>1</v>
      </c>
      <c r="E25" s="95">
        <v>593.5</v>
      </c>
      <c r="AA25" s="84">
        <v>1</v>
      </c>
      <c r="AB25" s="84">
        <v>296</v>
      </c>
      <c r="AC25" s="84"/>
      <c r="AD25" s="84">
        <v>2</v>
      </c>
      <c r="AE25" s="86">
        <v>3516</v>
      </c>
      <c r="AF25" s="88">
        <f>ROUND(Tabel3[[#This Row],[Long.]],1)*Tabel3[[#This Row],[Qté]]</f>
        <v>7032</v>
      </c>
      <c r="AG25" s="84">
        <f ca="1">SUM(OFFSET(Tabel3[[#This Row],[Compteur]],-1,),Tabel3[[#This Row],[Sous-groupe]]&lt;&gt;OFFSET(Tabel3[[#This Row],[Sous-groupe]],-1,))</f>
        <v>2</v>
      </c>
    </row>
    <row r="26" spans="1:43" ht="12" customHeight="1" x14ac:dyDescent="0.2">
      <c r="A26" s="61">
        <v>3</v>
      </c>
      <c r="B26" s="61">
        <v>194</v>
      </c>
      <c r="C26" s="61"/>
      <c r="D26" s="61">
        <v>2</v>
      </c>
      <c r="E26" s="96">
        <v>748</v>
      </c>
      <c r="AA26" s="84">
        <v>2</v>
      </c>
      <c r="AB26" s="84">
        <v>136</v>
      </c>
      <c r="AC26" s="84"/>
      <c r="AD26" s="84">
        <v>1</v>
      </c>
      <c r="AE26" s="86">
        <v>108.5</v>
      </c>
      <c r="AF26" s="88">
        <f>ROUND(Tabel3[[#This Row],[Long.]],1)*Tabel3[[#This Row],[Qté]]</f>
        <v>108.5</v>
      </c>
      <c r="AG26" s="84">
        <f ca="1">SUM(OFFSET(Tabel3[[#This Row],[Compteur]],-1,),Tabel3[[#This Row],[Sous-groupe]]&lt;&gt;OFFSET(Tabel3[[#This Row],[Sous-groupe]],-1,))</f>
        <v>3</v>
      </c>
    </row>
    <row r="27" spans="1:43" ht="12" customHeight="1" x14ac:dyDescent="0.2">
      <c r="A27" s="59">
        <v>3</v>
      </c>
      <c r="B27" s="59">
        <v>202</v>
      </c>
      <c r="C27" s="59"/>
      <c r="D27" s="59">
        <v>2</v>
      </c>
      <c r="E27" s="95">
        <v>968</v>
      </c>
      <c r="AA27" s="84">
        <v>2</v>
      </c>
      <c r="AB27" s="84">
        <v>143</v>
      </c>
      <c r="AC27" s="84"/>
      <c r="AD27" s="84">
        <v>1</v>
      </c>
      <c r="AE27" s="86">
        <v>247.5</v>
      </c>
      <c r="AF27" s="88">
        <f>ROUND(Tabel3[[#This Row],[Long.]],1)*Tabel3[[#This Row],[Qté]]</f>
        <v>247.5</v>
      </c>
      <c r="AG27" s="84">
        <f ca="1">SUM(OFFSET(Tabel3[[#This Row],[Compteur]],-1,),Tabel3[[#This Row],[Sous-groupe]]&lt;&gt;OFFSET(Tabel3[[#This Row],[Sous-groupe]],-1,))</f>
        <v>3</v>
      </c>
    </row>
    <row r="28" spans="1:43" ht="12" customHeight="1" x14ac:dyDescent="0.2">
      <c r="A28" s="61">
        <v>3</v>
      </c>
      <c r="B28" s="61">
        <v>210</v>
      </c>
      <c r="C28" s="61"/>
      <c r="D28" s="61">
        <v>1</v>
      </c>
      <c r="E28" s="96">
        <v>1203</v>
      </c>
      <c r="AA28" s="84">
        <v>2</v>
      </c>
      <c r="AB28" s="84">
        <v>145</v>
      </c>
      <c r="AC28" s="84"/>
      <c r="AD28" s="84">
        <v>1</v>
      </c>
      <c r="AE28" s="86">
        <v>260.5</v>
      </c>
      <c r="AF28" s="88">
        <f>ROUND(Tabel3[[#This Row],[Long.]],1)*Tabel3[[#This Row],[Qté]]</f>
        <v>260.5</v>
      </c>
      <c r="AG28" s="84">
        <f ca="1">SUM(OFFSET(Tabel3[[#This Row],[Compteur]],-1,),Tabel3[[#This Row],[Sous-groupe]]&lt;&gt;OFFSET(Tabel3[[#This Row],[Sous-groupe]],-1,))</f>
        <v>3</v>
      </c>
    </row>
    <row r="29" spans="1:43" ht="12" customHeight="1" x14ac:dyDescent="0.2">
      <c r="A29" s="59">
        <v>3</v>
      </c>
      <c r="B29" s="59">
        <v>227</v>
      </c>
      <c r="C29" s="59"/>
      <c r="D29" s="59">
        <v>1</v>
      </c>
      <c r="E29" s="95">
        <v>1293</v>
      </c>
      <c r="AA29" s="84">
        <v>2</v>
      </c>
      <c r="AB29" s="84">
        <v>158</v>
      </c>
      <c r="AC29" s="84"/>
      <c r="AD29" s="84">
        <v>1</v>
      </c>
      <c r="AE29" s="86">
        <v>399.5</v>
      </c>
      <c r="AF29" s="88">
        <f>ROUND(Tabel3[[#This Row],[Long.]],1)*Tabel3[[#This Row],[Qté]]</f>
        <v>399.5</v>
      </c>
      <c r="AG29" s="84">
        <f ca="1">SUM(OFFSET(Tabel3[[#This Row],[Compteur]],-1,),Tabel3[[#This Row],[Sous-groupe]]&lt;&gt;OFFSET(Tabel3[[#This Row],[Sous-groupe]],-1,))</f>
        <v>3</v>
      </c>
    </row>
    <row r="30" spans="1:43" ht="12" customHeight="1" x14ac:dyDescent="0.2">
      <c r="A30" s="61">
        <v>3</v>
      </c>
      <c r="B30" s="61">
        <v>228</v>
      </c>
      <c r="C30" s="61"/>
      <c r="D30" s="61">
        <v>1</v>
      </c>
      <c r="E30" s="96">
        <v>1293</v>
      </c>
      <c r="AA30" s="84">
        <v>2</v>
      </c>
      <c r="AB30" s="84">
        <v>159</v>
      </c>
      <c r="AC30" s="84"/>
      <c r="AD30" s="84">
        <v>1</v>
      </c>
      <c r="AE30" s="86">
        <v>410.5</v>
      </c>
      <c r="AF30" s="88">
        <f>ROUND(Tabel3[[#This Row],[Long.]],1)*Tabel3[[#This Row],[Qté]]</f>
        <v>410.5</v>
      </c>
      <c r="AG30" s="84">
        <f ca="1">SUM(OFFSET(Tabel3[[#This Row],[Compteur]],-1,),Tabel3[[#This Row],[Sous-groupe]]&lt;&gt;OFFSET(Tabel3[[#This Row],[Sous-groupe]],-1,))</f>
        <v>3</v>
      </c>
    </row>
    <row r="31" spans="1:43" ht="12" customHeight="1" x14ac:dyDescent="0.2">
      <c r="A31" s="59">
        <v>3</v>
      </c>
      <c r="B31" s="59">
        <v>250</v>
      </c>
      <c r="C31" s="59"/>
      <c r="D31" s="59">
        <v>2</v>
      </c>
      <c r="E31" s="95">
        <v>2433</v>
      </c>
      <c r="AA31" s="84">
        <v>2</v>
      </c>
      <c r="AB31" s="84">
        <v>182</v>
      </c>
      <c r="AC31" s="84"/>
      <c r="AD31" s="84">
        <v>2</v>
      </c>
      <c r="AE31" s="86">
        <v>553</v>
      </c>
      <c r="AF31" s="88">
        <f>ROUND(Tabel3[[#This Row],[Long.]],1)*Tabel3[[#This Row],[Qté]]</f>
        <v>1106</v>
      </c>
      <c r="AG31" s="84">
        <f ca="1">SUM(OFFSET(Tabel3[[#This Row],[Compteur]],-1,),Tabel3[[#This Row],[Sous-groupe]]&lt;&gt;OFFSET(Tabel3[[#This Row],[Sous-groupe]],-1,))</f>
        <v>3</v>
      </c>
    </row>
    <row r="32" spans="1:43" ht="12" customHeight="1" x14ac:dyDescent="0.2">
      <c r="A32" s="59">
        <v>3</v>
      </c>
      <c r="B32" s="59">
        <v>289</v>
      </c>
      <c r="C32" s="59"/>
      <c r="D32" s="59">
        <v>7</v>
      </c>
      <c r="E32" s="95">
        <v>3223</v>
      </c>
      <c r="AA32" s="84">
        <v>2</v>
      </c>
      <c r="AB32" s="84">
        <v>189</v>
      </c>
      <c r="AC32" s="84"/>
      <c r="AD32" s="84">
        <v>1</v>
      </c>
      <c r="AE32" s="86">
        <v>590.5</v>
      </c>
      <c r="AF32" s="88">
        <f>ROUND(Tabel3[[#This Row],[Long.]],1)*Tabel3[[#This Row],[Qté]]</f>
        <v>590.5</v>
      </c>
      <c r="AG32" s="84">
        <f ca="1">SUM(OFFSET(Tabel3[[#This Row],[Compteur]],-1,),Tabel3[[#This Row],[Sous-groupe]]&lt;&gt;OFFSET(Tabel3[[#This Row],[Sous-groupe]],-1,))</f>
        <v>3</v>
      </c>
    </row>
    <row r="33" spans="1:33" ht="12" customHeight="1" x14ac:dyDescent="0.2">
      <c r="A33" s="61">
        <v>3</v>
      </c>
      <c r="B33" s="61">
        <v>298</v>
      </c>
      <c r="C33" s="61"/>
      <c r="D33" s="61">
        <v>2</v>
      </c>
      <c r="E33" s="96">
        <v>3531</v>
      </c>
      <c r="AA33" s="84">
        <v>2</v>
      </c>
      <c r="AB33" s="84">
        <v>194</v>
      </c>
      <c r="AC33" s="84"/>
      <c r="AD33" s="84">
        <v>2</v>
      </c>
      <c r="AE33" s="86">
        <v>745</v>
      </c>
      <c r="AF33" s="88">
        <f>ROUND(Tabel3[[#This Row],[Long.]],1)*Tabel3[[#This Row],[Qté]]</f>
        <v>1490</v>
      </c>
      <c r="AG33" s="84">
        <f ca="1">SUM(OFFSET(Tabel3[[#This Row],[Compteur]],-1,),Tabel3[[#This Row],[Sous-groupe]]&lt;&gt;OFFSET(Tabel3[[#This Row],[Sous-groupe]],-1,))</f>
        <v>3</v>
      </c>
    </row>
    <row r="34" spans="1:33" ht="12" customHeight="1" x14ac:dyDescent="0.2">
      <c r="A34" s="59">
        <v>4</v>
      </c>
      <c r="B34" s="59">
        <v>138</v>
      </c>
      <c r="C34" s="59"/>
      <c r="D34" s="59">
        <v>1</v>
      </c>
      <c r="E34" s="95">
        <v>151.5</v>
      </c>
      <c r="AA34" s="84">
        <v>2</v>
      </c>
      <c r="AB34" s="84">
        <v>202</v>
      </c>
      <c r="AC34" s="84"/>
      <c r="AD34" s="84">
        <v>2</v>
      </c>
      <c r="AE34" s="86">
        <v>965</v>
      </c>
      <c r="AF34" s="88">
        <f>ROUND(Tabel3[[#This Row],[Long.]],1)*Tabel3[[#This Row],[Qté]]</f>
        <v>1930</v>
      </c>
      <c r="AG34" s="84">
        <f ca="1">SUM(OFFSET(Tabel3[[#This Row],[Compteur]],-1,),Tabel3[[#This Row],[Sous-groupe]]&lt;&gt;OFFSET(Tabel3[[#This Row],[Sous-groupe]],-1,))</f>
        <v>3</v>
      </c>
    </row>
    <row r="35" spans="1:33" ht="12" customHeight="1" x14ac:dyDescent="0.2">
      <c r="A35" s="61">
        <v>4</v>
      </c>
      <c r="B35" s="61">
        <v>142</v>
      </c>
      <c r="C35" s="61"/>
      <c r="D35" s="61">
        <v>1</v>
      </c>
      <c r="E35" s="96">
        <v>223.5</v>
      </c>
      <c r="AA35" s="84">
        <v>2</v>
      </c>
      <c r="AB35" s="84">
        <v>210</v>
      </c>
      <c r="AC35" s="84"/>
      <c r="AD35" s="84">
        <v>1</v>
      </c>
      <c r="AE35" s="86">
        <v>1200</v>
      </c>
      <c r="AF35" s="88">
        <f>ROUND(Tabel3[[#This Row],[Long.]],1)*Tabel3[[#This Row],[Qté]]</f>
        <v>1200</v>
      </c>
      <c r="AG35" s="84">
        <f ca="1">SUM(OFFSET(Tabel3[[#This Row],[Compteur]],-1,),Tabel3[[#This Row],[Sous-groupe]]&lt;&gt;OFFSET(Tabel3[[#This Row],[Sous-groupe]],-1,))</f>
        <v>3</v>
      </c>
    </row>
    <row r="36" spans="1:33" ht="12" customHeight="1" x14ac:dyDescent="0.2">
      <c r="A36" s="59">
        <v>4</v>
      </c>
      <c r="B36" s="59">
        <v>146</v>
      </c>
      <c r="C36" s="59"/>
      <c r="D36" s="59">
        <v>1</v>
      </c>
      <c r="E36" s="95">
        <v>290.5</v>
      </c>
      <c r="AA36" s="84">
        <v>2</v>
      </c>
      <c r="AB36" s="84">
        <v>227</v>
      </c>
      <c r="AC36" s="84"/>
      <c r="AD36" s="84">
        <v>1</v>
      </c>
      <c r="AE36" s="86">
        <v>1290</v>
      </c>
      <c r="AF36" s="88">
        <f>ROUND(Tabel3[[#This Row],[Long.]],1)*Tabel3[[#This Row],[Qté]]</f>
        <v>1290</v>
      </c>
      <c r="AG36" s="84">
        <f ca="1">SUM(OFFSET(Tabel3[[#This Row],[Compteur]],-1,),Tabel3[[#This Row],[Sous-groupe]]&lt;&gt;OFFSET(Tabel3[[#This Row],[Sous-groupe]],-1,))</f>
        <v>3</v>
      </c>
    </row>
    <row r="37" spans="1:33" ht="12" customHeight="1" x14ac:dyDescent="0.2">
      <c r="A37" s="61">
        <v>4</v>
      </c>
      <c r="B37" s="61">
        <v>155</v>
      </c>
      <c r="C37" s="61"/>
      <c r="D37" s="61">
        <v>1</v>
      </c>
      <c r="E37" s="96">
        <v>362.5</v>
      </c>
      <c r="AA37" s="84">
        <v>2</v>
      </c>
      <c r="AB37" s="84">
        <v>228</v>
      </c>
      <c r="AC37" s="84"/>
      <c r="AD37" s="84">
        <v>1</v>
      </c>
      <c r="AE37" s="86">
        <v>1290</v>
      </c>
      <c r="AF37" s="88">
        <f>ROUND(Tabel3[[#This Row],[Long.]],1)*Tabel3[[#This Row],[Qté]]</f>
        <v>1290</v>
      </c>
      <c r="AG37" s="84">
        <f ca="1">SUM(OFFSET(Tabel3[[#This Row],[Compteur]],-1,),Tabel3[[#This Row],[Sous-groupe]]&lt;&gt;OFFSET(Tabel3[[#This Row],[Sous-groupe]],-1,))</f>
        <v>3</v>
      </c>
    </row>
    <row r="38" spans="1:33" ht="12" customHeight="1" x14ac:dyDescent="0.2">
      <c r="A38" s="59">
        <v>4</v>
      </c>
      <c r="B38" s="59">
        <v>168</v>
      </c>
      <c r="C38" s="59"/>
      <c r="D38" s="59">
        <v>1</v>
      </c>
      <c r="E38" s="95">
        <v>473.5</v>
      </c>
      <c r="AA38" s="84">
        <v>2</v>
      </c>
      <c r="AB38" s="84">
        <v>250</v>
      </c>
      <c r="AC38" s="84"/>
      <c r="AD38" s="84">
        <v>2</v>
      </c>
      <c r="AE38" s="86">
        <v>2430</v>
      </c>
      <c r="AF38" s="88">
        <f>ROUND(Tabel3[[#This Row],[Long.]],1)*Tabel3[[#This Row],[Qté]]</f>
        <v>4860</v>
      </c>
      <c r="AG38" s="84">
        <f ca="1">SUM(OFFSET(Tabel3[[#This Row],[Compteur]],-1,),Tabel3[[#This Row],[Sous-groupe]]&lt;&gt;OFFSET(Tabel3[[#This Row],[Sous-groupe]],-1,))</f>
        <v>3</v>
      </c>
    </row>
    <row r="39" spans="1:33" ht="12" customHeight="1" x14ac:dyDescent="0.2">
      <c r="A39" s="61">
        <v>4</v>
      </c>
      <c r="B39" s="61" t="s">
        <v>146</v>
      </c>
      <c r="C39" s="61"/>
      <c r="D39" s="61">
        <v>1</v>
      </c>
      <c r="E39" s="96">
        <v>2603</v>
      </c>
      <c r="AA39" s="84">
        <v>2</v>
      </c>
      <c r="AB39" s="84">
        <v>289</v>
      </c>
      <c r="AC39" s="84"/>
      <c r="AD39" s="84">
        <v>7</v>
      </c>
      <c r="AE39" s="86">
        <v>3220</v>
      </c>
      <c r="AF39" s="88">
        <f>ROUND(Tabel3[[#This Row],[Long.]],1)*Tabel3[[#This Row],[Qté]]</f>
        <v>22540</v>
      </c>
      <c r="AG39" s="84">
        <f ca="1">SUM(OFFSET(Tabel3[[#This Row],[Compteur]],-1,),Tabel3[[#This Row],[Sous-groupe]]&lt;&gt;OFFSET(Tabel3[[#This Row],[Sous-groupe]],-1,))</f>
        <v>3</v>
      </c>
    </row>
    <row r="40" spans="1:33" ht="12" customHeight="1" x14ac:dyDescent="0.2">
      <c r="A40" s="59">
        <v>4</v>
      </c>
      <c r="B40" s="59">
        <v>172</v>
      </c>
      <c r="C40" s="59"/>
      <c r="D40" s="59">
        <v>1</v>
      </c>
      <c r="E40" s="95">
        <v>521.5</v>
      </c>
      <c r="AA40" s="84">
        <v>2</v>
      </c>
      <c r="AB40" s="84">
        <v>298</v>
      </c>
      <c r="AC40" s="84"/>
      <c r="AD40" s="84">
        <v>2</v>
      </c>
      <c r="AE40" s="86">
        <v>3528</v>
      </c>
      <c r="AF40" s="88">
        <f>ROUND(Tabel3[[#This Row],[Long.]],1)*Tabel3[[#This Row],[Qté]]</f>
        <v>7056</v>
      </c>
      <c r="AG40" s="84">
        <f ca="1">SUM(OFFSET(Tabel3[[#This Row],[Compteur]],-1,),Tabel3[[#This Row],[Sous-groupe]]&lt;&gt;OFFSET(Tabel3[[#This Row],[Sous-groupe]],-1,))</f>
        <v>3</v>
      </c>
    </row>
    <row r="41" spans="1:33" ht="12" customHeight="1" x14ac:dyDescent="0.2">
      <c r="A41" s="61">
        <v>4</v>
      </c>
      <c r="B41" s="61">
        <v>175</v>
      </c>
      <c r="C41" s="61"/>
      <c r="D41" s="61">
        <v>2</v>
      </c>
      <c r="E41" s="96">
        <v>556</v>
      </c>
      <c r="AA41" s="84">
        <v>3</v>
      </c>
      <c r="AB41" s="84">
        <v>138</v>
      </c>
      <c r="AC41" s="84"/>
      <c r="AD41" s="84">
        <v>1</v>
      </c>
      <c r="AE41" s="86">
        <v>148.5</v>
      </c>
      <c r="AF41" s="88">
        <f>ROUND(Tabel3[[#This Row],[Long.]],1)*Tabel3[[#This Row],[Qté]]</f>
        <v>148.5</v>
      </c>
      <c r="AG41" s="84">
        <f ca="1">SUM(OFFSET(Tabel3[[#This Row],[Compteur]],-1,),Tabel3[[#This Row],[Sous-groupe]]&lt;&gt;OFFSET(Tabel3[[#This Row],[Sous-groupe]],-1,))</f>
        <v>4</v>
      </c>
    </row>
    <row r="42" spans="1:33" ht="12" customHeight="1" x14ac:dyDescent="0.2">
      <c r="A42" s="59">
        <v>4</v>
      </c>
      <c r="B42" s="59">
        <v>196</v>
      </c>
      <c r="C42" s="59"/>
      <c r="D42" s="59">
        <v>2</v>
      </c>
      <c r="E42" s="95">
        <v>748</v>
      </c>
      <c r="AA42" s="84">
        <v>3</v>
      </c>
      <c r="AB42" s="84">
        <v>142</v>
      </c>
      <c r="AC42" s="84"/>
      <c r="AD42" s="84">
        <v>1</v>
      </c>
      <c r="AE42" s="86">
        <v>220.5</v>
      </c>
      <c r="AF42" s="88">
        <f>ROUND(Tabel3[[#This Row],[Long.]],1)*Tabel3[[#This Row],[Qté]]</f>
        <v>220.5</v>
      </c>
      <c r="AG42" s="84">
        <f ca="1">SUM(OFFSET(Tabel3[[#This Row],[Compteur]],-1,),Tabel3[[#This Row],[Sous-groupe]]&lt;&gt;OFFSET(Tabel3[[#This Row],[Sous-groupe]],-1,))</f>
        <v>4</v>
      </c>
    </row>
    <row r="43" spans="1:33" ht="12" customHeight="1" x14ac:dyDescent="0.2">
      <c r="A43" s="61">
        <v>4</v>
      </c>
      <c r="B43" s="61">
        <v>201</v>
      </c>
      <c r="C43" s="61"/>
      <c r="D43" s="61">
        <v>2</v>
      </c>
      <c r="E43" s="96">
        <v>968</v>
      </c>
      <c r="AA43" s="84">
        <v>3</v>
      </c>
      <c r="AB43" s="84">
        <v>146</v>
      </c>
      <c r="AC43" s="84"/>
      <c r="AD43" s="84">
        <v>1</v>
      </c>
      <c r="AE43" s="86">
        <v>287.5</v>
      </c>
      <c r="AF43" s="88">
        <f>ROUND(Tabel3[[#This Row],[Long.]],1)*Tabel3[[#This Row],[Qté]]</f>
        <v>287.5</v>
      </c>
      <c r="AG43" s="84">
        <f ca="1">SUM(OFFSET(Tabel3[[#This Row],[Compteur]],-1,),Tabel3[[#This Row],[Sous-groupe]]&lt;&gt;OFFSET(Tabel3[[#This Row],[Sous-groupe]],-1,))</f>
        <v>4</v>
      </c>
    </row>
    <row r="44" spans="1:33" ht="12" customHeight="1" x14ac:dyDescent="0.2">
      <c r="A44" s="59">
        <v>4</v>
      </c>
      <c r="B44" s="59">
        <v>212</v>
      </c>
      <c r="C44" s="59"/>
      <c r="D44" s="59">
        <v>1</v>
      </c>
      <c r="E44" s="95">
        <v>1203</v>
      </c>
      <c r="AA44" s="84">
        <v>3</v>
      </c>
      <c r="AB44" s="84">
        <v>155</v>
      </c>
      <c r="AC44" s="84"/>
      <c r="AD44" s="84">
        <v>1</v>
      </c>
      <c r="AE44" s="86">
        <v>359.5</v>
      </c>
      <c r="AF44" s="88">
        <f>ROUND(Tabel3[[#This Row],[Long.]],1)*Tabel3[[#This Row],[Qté]]</f>
        <v>359.5</v>
      </c>
      <c r="AG44" s="84">
        <f ca="1">SUM(OFFSET(Tabel3[[#This Row],[Compteur]],-1,),Tabel3[[#This Row],[Sous-groupe]]&lt;&gt;OFFSET(Tabel3[[#This Row],[Sous-groupe]],-1,))</f>
        <v>4</v>
      </c>
    </row>
    <row r="45" spans="1:33" ht="12" customHeight="1" x14ac:dyDescent="0.2">
      <c r="A45" s="61">
        <v>4</v>
      </c>
      <c r="B45" s="61">
        <v>221</v>
      </c>
      <c r="C45" s="61"/>
      <c r="D45" s="61">
        <v>1</v>
      </c>
      <c r="E45" s="96">
        <v>1293</v>
      </c>
      <c r="AA45" s="84">
        <v>3</v>
      </c>
      <c r="AB45" s="84">
        <v>168</v>
      </c>
      <c r="AC45" s="84"/>
      <c r="AD45" s="84">
        <v>1</v>
      </c>
      <c r="AE45" s="86">
        <v>470.5</v>
      </c>
      <c r="AF45" s="88">
        <f>ROUND(Tabel3[[#This Row],[Long.]],1)*Tabel3[[#This Row],[Qté]]</f>
        <v>470.5</v>
      </c>
      <c r="AG45" s="84">
        <f ca="1">SUM(OFFSET(Tabel3[[#This Row],[Compteur]],-1,),Tabel3[[#This Row],[Sous-groupe]]&lt;&gt;OFFSET(Tabel3[[#This Row],[Sous-groupe]],-1,))</f>
        <v>4</v>
      </c>
    </row>
    <row r="46" spans="1:33" ht="12" customHeight="1" x14ac:dyDescent="0.2">
      <c r="A46" s="59">
        <v>4</v>
      </c>
      <c r="B46" s="59">
        <v>234</v>
      </c>
      <c r="C46" s="59"/>
      <c r="D46" s="59">
        <v>1</v>
      </c>
      <c r="E46" s="95">
        <v>1293</v>
      </c>
      <c r="AA46" s="103">
        <v>3</v>
      </c>
      <c r="AB46" s="103" t="s">
        <v>146</v>
      </c>
      <c r="AC46" s="103"/>
      <c r="AD46" s="106">
        <v>1</v>
      </c>
      <c r="AE46" s="104">
        <v>2600</v>
      </c>
      <c r="AF46" s="105">
        <f>ROUND(Tabel3[[#This Row],[Long.]],1)*Tabel3[[#This Row],[Qté]]</f>
        <v>2600</v>
      </c>
      <c r="AG46" s="103">
        <f ca="1">SUM(OFFSET(Tabel3[[#This Row],[Compteur]],-1,),Tabel3[[#This Row],[Sous-groupe]]&lt;&gt;OFFSET(Tabel3[[#This Row],[Sous-groupe]],-1,))</f>
        <v>4</v>
      </c>
    </row>
    <row r="47" spans="1:33" ht="12" customHeight="1" x14ac:dyDescent="0.2">
      <c r="A47" s="59">
        <v>4</v>
      </c>
      <c r="B47" s="59">
        <v>248</v>
      </c>
      <c r="C47" s="59"/>
      <c r="D47" s="59">
        <v>2</v>
      </c>
      <c r="E47" s="95">
        <v>2433</v>
      </c>
      <c r="AA47" s="84">
        <v>3</v>
      </c>
      <c r="AB47" s="84">
        <v>172</v>
      </c>
      <c r="AC47" s="84"/>
      <c r="AD47" s="84">
        <v>1</v>
      </c>
      <c r="AE47" s="86">
        <v>518.5</v>
      </c>
      <c r="AF47" s="88">
        <f>ROUND(Tabel3[[#This Row],[Long.]],1)*Tabel3[[#This Row],[Qté]]</f>
        <v>518.5</v>
      </c>
      <c r="AG47" s="84">
        <f ca="1">SUM(OFFSET(Tabel3[[#This Row],[Compteur]],-1,),Tabel3[[#This Row],[Sous-groupe]]&lt;&gt;OFFSET(Tabel3[[#This Row],[Sous-groupe]],-1,))</f>
        <v>4</v>
      </c>
    </row>
    <row r="48" spans="1:33" ht="12" customHeight="1" x14ac:dyDescent="0.2">
      <c r="A48" s="61">
        <v>4</v>
      </c>
      <c r="B48" s="61">
        <v>290</v>
      </c>
      <c r="C48" s="61"/>
      <c r="D48" s="61">
        <v>8</v>
      </c>
      <c r="E48" s="96">
        <v>3223</v>
      </c>
      <c r="AA48" s="84">
        <v>3</v>
      </c>
      <c r="AB48" s="84">
        <v>175</v>
      </c>
      <c r="AC48" s="84"/>
      <c r="AD48" s="84">
        <v>2</v>
      </c>
      <c r="AE48" s="86">
        <v>553</v>
      </c>
      <c r="AF48" s="88">
        <f>ROUND(Tabel3[[#This Row],[Long.]],1)*Tabel3[[#This Row],[Qté]]</f>
        <v>1106</v>
      </c>
      <c r="AG48" s="84">
        <f ca="1">SUM(OFFSET(Tabel3[[#This Row],[Compteur]],-1,),Tabel3[[#This Row],[Sous-groupe]]&lt;&gt;OFFSET(Tabel3[[#This Row],[Sous-groupe]],-1,))</f>
        <v>4</v>
      </c>
    </row>
    <row r="49" spans="1:33" ht="12" customHeight="1" x14ac:dyDescent="0.2">
      <c r="A49" s="59">
        <v>4</v>
      </c>
      <c r="B49" s="59">
        <v>297</v>
      </c>
      <c r="C49" s="59"/>
      <c r="D49" s="59">
        <v>2</v>
      </c>
      <c r="E49" s="95">
        <v>3519</v>
      </c>
      <c r="AA49" s="84">
        <v>3</v>
      </c>
      <c r="AB49" s="84">
        <v>196</v>
      </c>
      <c r="AC49" s="84"/>
      <c r="AD49" s="84">
        <v>2</v>
      </c>
      <c r="AE49" s="86">
        <v>745</v>
      </c>
      <c r="AF49" s="88">
        <f>ROUND(Tabel3[[#This Row],[Long.]],1)*Tabel3[[#This Row],[Qté]]</f>
        <v>1490</v>
      </c>
      <c r="AG49" s="84">
        <f ca="1">SUM(OFFSET(Tabel3[[#This Row],[Compteur]],-1,),Tabel3[[#This Row],[Sous-groupe]]&lt;&gt;OFFSET(Tabel3[[#This Row],[Sous-groupe]],-1,))</f>
        <v>4</v>
      </c>
    </row>
    <row r="50" spans="1:33" ht="12" customHeight="1" x14ac:dyDescent="0.2">
      <c r="A50" s="61">
        <v>5</v>
      </c>
      <c r="B50" s="61">
        <v>148</v>
      </c>
      <c r="C50" s="61"/>
      <c r="D50" s="61">
        <v>1</v>
      </c>
      <c r="E50" s="96">
        <v>301.5</v>
      </c>
      <c r="AA50" s="84">
        <v>3</v>
      </c>
      <c r="AB50" s="84">
        <v>201</v>
      </c>
      <c r="AC50" s="84"/>
      <c r="AD50" s="84">
        <v>2</v>
      </c>
      <c r="AE50" s="86">
        <v>965</v>
      </c>
      <c r="AF50" s="88">
        <f>ROUND(Tabel3[[#This Row],[Long.]],1)*Tabel3[[#This Row],[Qté]]</f>
        <v>1930</v>
      </c>
      <c r="AG50" s="84">
        <f ca="1">SUM(OFFSET(Tabel3[[#This Row],[Compteur]],-1,),Tabel3[[#This Row],[Sous-groupe]]&lt;&gt;OFFSET(Tabel3[[#This Row],[Sous-groupe]],-1,))</f>
        <v>4</v>
      </c>
    </row>
    <row r="51" spans="1:33" ht="12" customHeight="1" x14ac:dyDescent="0.2">
      <c r="A51" s="59">
        <v>5</v>
      </c>
      <c r="B51" s="59">
        <v>154</v>
      </c>
      <c r="C51" s="59"/>
      <c r="D51" s="59">
        <v>1</v>
      </c>
      <c r="E51" s="95">
        <v>351.5</v>
      </c>
      <c r="AA51" s="84">
        <v>3</v>
      </c>
      <c r="AB51" s="84">
        <v>212</v>
      </c>
      <c r="AC51" s="84"/>
      <c r="AD51" s="84">
        <v>1</v>
      </c>
      <c r="AE51" s="86">
        <v>1200</v>
      </c>
      <c r="AF51" s="88">
        <f>ROUND(Tabel3[[#This Row],[Long.]],1)*Tabel3[[#This Row],[Qté]]</f>
        <v>1200</v>
      </c>
      <c r="AG51" s="84">
        <f ca="1">SUM(OFFSET(Tabel3[[#This Row],[Compteur]],-1,),Tabel3[[#This Row],[Sous-groupe]]&lt;&gt;OFFSET(Tabel3[[#This Row],[Sous-groupe]],-1,))</f>
        <v>4</v>
      </c>
    </row>
    <row r="52" spans="1:33" ht="12" customHeight="1" x14ac:dyDescent="0.2">
      <c r="A52" s="61">
        <v>5</v>
      </c>
      <c r="B52" s="61">
        <v>184</v>
      </c>
      <c r="C52" s="61"/>
      <c r="D52" s="61">
        <v>3</v>
      </c>
      <c r="E52" s="96">
        <v>556</v>
      </c>
      <c r="AA52" s="84">
        <v>3</v>
      </c>
      <c r="AB52" s="84">
        <v>221</v>
      </c>
      <c r="AC52" s="84"/>
      <c r="AD52" s="84">
        <v>1</v>
      </c>
      <c r="AE52" s="86">
        <v>1290</v>
      </c>
      <c r="AF52" s="88">
        <f>ROUND(Tabel3[[#This Row],[Long.]],1)*Tabel3[[#This Row],[Qté]]</f>
        <v>1290</v>
      </c>
      <c r="AG52" s="84">
        <f ca="1">SUM(OFFSET(Tabel3[[#This Row],[Compteur]],-1,),Tabel3[[#This Row],[Sous-groupe]]&lt;&gt;OFFSET(Tabel3[[#This Row],[Sous-groupe]],-1,))</f>
        <v>4</v>
      </c>
    </row>
    <row r="53" spans="1:33" ht="12" customHeight="1" x14ac:dyDescent="0.2">
      <c r="A53" s="59">
        <v>5</v>
      </c>
      <c r="B53" s="59">
        <v>204</v>
      </c>
      <c r="C53" s="59"/>
      <c r="D53" s="59">
        <v>2</v>
      </c>
      <c r="E53" s="95">
        <v>968</v>
      </c>
      <c r="AA53" s="84">
        <v>3</v>
      </c>
      <c r="AB53" s="84">
        <v>234</v>
      </c>
      <c r="AC53" s="84"/>
      <c r="AD53" s="84">
        <v>1</v>
      </c>
      <c r="AE53" s="86">
        <v>1290</v>
      </c>
      <c r="AF53" s="88">
        <f>ROUND(Tabel3[[#This Row],[Long.]],1)*Tabel3[[#This Row],[Qté]]</f>
        <v>1290</v>
      </c>
      <c r="AG53" s="84">
        <f ca="1">SUM(OFFSET(Tabel3[[#This Row],[Compteur]],-1,),Tabel3[[#This Row],[Sous-groupe]]&lt;&gt;OFFSET(Tabel3[[#This Row],[Sous-groupe]],-1,))</f>
        <v>4</v>
      </c>
    </row>
    <row r="54" spans="1:33" ht="12" customHeight="1" x14ac:dyDescent="0.2">
      <c r="A54" s="61">
        <v>5</v>
      </c>
      <c r="B54" s="61">
        <v>209</v>
      </c>
      <c r="C54" s="61"/>
      <c r="D54" s="61">
        <v>1</v>
      </c>
      <c r="E54" s="96">
        <v>1203</v>
      </c>
      <c r="AA54" s="84">
        <v>3</v>
      </c>
      <c r="AB54" s="84">
        <v>248</v>
      </c>
      <c r="AC54" s="84"/>
      <c r="AD54" s="84">
        <v>2</v>
      </c>
      <c r="AE54" s="86">
        <v>2430</v>
      </c>
      <c r="AF54" s="88">
        <f>ROUND(Tabel3[[#This Row],[Long.]],1)*Tabel3[[#This Row],[Qté]]</f>
        <v>4860</v>
      </c>
      <c r="AG54" s="84">
        <f ca="1">SUM(OFFSET(Tabel3[[#This Row],[Compteur]],-1,),Tabel3[[#This Row],[Sous-groupe]]&lt;&gt;OFFSET(Tabel3[[#This Row],[Sous-groupe]],-1,))</f>
        <v>4</v>
      </c>
    </row>
    <row r="55" spans="1:33" ht="12" customHeight="1" x14ac:dyDescent="0.2">
      <c r="A55" s="59">
        <v>5</v>
      </c>
      <c r="B55" s="59">
        <v>226</v>
      </c>
      <c r="C55" s="59"/>
      <c r="D55" s="59">
        <v>1</v>
      </c>
      <c r="E55" s="95">
        <v>1293</v>
      </c>
      <c r="AA55" s="84">
        <v>3</v>
      </c>
      <c r="AB55" s="84">
        <v>290</v>
      </c>
      <c r="AC55" s="84"/>
      <c r="AD55" s="84">
        <v>8</v>
      </c>
      <c r="AE55" s="86">
        <v>3220</v>
      </c>
      <c r="AF55" s="88">
        <f>ROUND(Tabel3[[#This Row],[Long.]],1)*Tabel3[[#This Row],[Qté]]</f>
        <v>25760</v>
      </c>
      <c r="AG55" s="84">
        <f ca="1">SUM(OFFSET(Tabel3[[#This Row],[Compteur]],-1,),Tabel3[[#This Row],[Sous-groupe]]&lt;&gt;OFFSET(Tabel3[[#This Row],[Sous-groupe]],-1,))</f>
        <v>4</v>
      </c>
    </row>
    <row r="56" spans="1:33" ht="12" customHeight="1" x14ac:dyDescent="0.2">
      <c r="A56" s="61">
        <v>5</v>
      </c>
      <c r="B56" s="61">
        <v>229</v>
      </c>
      <c r="C56" s="61"/>
      <c r="D56" s="61">
        <v>1</v>
      </c>
      <c r="E56" s="96">
        <v>1293</v>
      </c>
      <c r="AA56" s="84">
        <v>3</v>
      </c>
      <c r="AB56" s="84">
        <v>297</v>
      </c>
      <c r="AC56" s="84"/>
      <c r="AD56" s="84">
        <v>2</v>
      </c>
      <c r="AE56" s="86">
        <v>3516</v>
      </c>
      <c r="AF56" s="88">
        <f>ROUND(Tabel3[[#This Row],[Long.]],1)*Tabel3[[#This Row],[Qté]]</f>
        <v>7032</v>
      </c>
      <c r="AG56" s="84">
        <f ca="1">SUM(OFFSET(Tabel3[[#This Row],[Compteur]],-1,),Tabel3[[#This Row],[Sous-groupe]]&lt;&gt;OFFSET(Tabel3[[#This Row],[Sous-groupe]],-1,))</f>
        <v>4</v>
      </c>
    </row>
    <row r="57" spans="1:33" ht="12" customHeight="1" x14ac:dyDescent="0.2">
      <c r="A57" s="59">
        <v>5</v>
      </c>
      <c r="B57" s="59">
        <v>246</v>
      </c>
      <c r="C57" s="59"/>
      <c r="D57" s="59">
        <v>2</v>
      </c>
      <c r="E57" s="95">
        <v>2423.8000000000002</v>
      </c>
      <c r="AA57" s="84">
        <v>4</v>
      </c>
      <c r="AB57" s="84">
        <v>148</v>
      </c>
      <c r="AC57" s="84"/>
      <c r="AD57" s="84">
        <v>1</v>
      </c>
      <c r="AE57" s="86">
        <v>298.5</v>
      </c>
      <c r="AF57" s="88">
        <f>ROUND(Tabel3[[#This Row],[Long.]],1)*Tabel3[[#This Row],[Qté]]</f>
        <v>298.5</v>
      </c>
      <c r="AG57" s="84">
        <f ca="1">SUM(OFFSET(Tabel3[[#This Row],[Compteur]],-1,),Tabel3[[#This Row],[Sous-groupe]]&lt;&gt;OFFSET(Tabel3[[#This Row],[Sous-groupe]],-1,))</f>
        <v>5</v>
      </c>
    </row>
    <row r="58" spans="1:33" ht="12" customHeight="1" x14ac:dyDescent="0.2">
      <c r="A58" s="61">
        <v>5</v>
      </c>
      <c r="B58" s="61">
        <v>253</v>
      </c>
      <c r="C58" s="61"/>
      <c r="D58" s="61">
        <v>2</v>
      </c>
      <c r="E58" s="96">
        <v>2498.8000000000002</v>
      </c>
      <c r="AA58" s="84">
        <v>4</v>
      </c>
      <c r="AB58" s="84">
        <v>154</v>
      </c>
      <c r="AC58" s="84"/>
      <c r="AD58" s="84">
        <v>1</v>
      </c>
      <c r="AE58" s="86">
        <v>348.5</v>
      </c>
      <c r="AF58" s="88">
        <f>ROUND(Tabel3[[#This Row],[Long.]],1)*Tabel3[[#This Row],[Qté]]</f>
        <v>348.5</v>
      </c>
      <c r="AG58" s="84">
        <f ca="1">SUM(OFFSET(Tabel3[[#This Row],[Compteur]],-1,),Tabel3[[#This Row],[Sous-groupe]]&lt;&gt;OFFSET(Tabel3[[#This Row],[Sous-groupe]],-1,))</f>
        <v>5</v>
      </c>
    </row>
    <row r="59" spans="1:33" ht="12" customHeight="1" x14ac:dyDescent="0.2">
      <c r="A59" s="61">
        <v>5</v>
      </c>
      <c r="B59" s="61">
        <v>257</v>
      </c>
      <c r="C59" s="61"/>
      <c r="D59" s="61">
        <v>12</v>
      </c>
      <c r="E59" s="96">
        <v>2688.8</v>
      </c>
      <c r="AA59" s="84">
        <v>4</v>
      </c>
      <c r="AB59" s="84">
        <v>184</v>
      </c>
      <c r="AC59" s="84"/>
      <c r="AD59" s="84">
        <v>3</v>
      </c>
      <c r="AE59" s="86">
        <v>553</v>
      </c>
      <c r="AF59" s="88">
        <f>ROUND(Tabel3[[#This Row],[Long.]],1)*Tabel3[[#This Row],[Qté]]</f>
        <v>1659</v>
      </c>
      <c r="AG59" s="84">
        <f ca="1">SUM(OFFSET(Tabel3[[#This Row],[Compteur]],-1,),Tabel3[[#This Row],[Sous-groupe]]&lt;&gt;OFFSET(Tabel3[[#This Row],[Sous-groupe]],-1,))</f>
        <v>5</v>
      </c>
    </row>
    <row r="60" spans="1:33" ht="12" customHeight="1" x14ac:dyDescent="0.2">
      <c r="A60" s="59">
        <v>5</v>
      </c>
      <c r="B60" s="59">
        <v>299</v>
      </c>
      <c r="C60" s="59"/>
      <c r="D60" s="59">
        <v>1</v>
      </c>
      <c r="E60" s="95">
        <v>4253</v>
      </c>
      <c r="AA60" s="84">
        <v>4</v>
      </c>
      <c r="AB60" s="84">
        <v>204</v>
      </c>
      <c r="AC60" s="84"/>
      <c r="AD60" s="84">
        <v>2</v>
      </c>
      <c r="AE60" s="86">
        <v>965</v>
      </c>
      <c r="AF60" s="88">
        <f>ROUND(Tabel3[[#This Row],[Long.]],1)*Tabel3[[#This Row],[Qté]]</f>
        <v>1930</v>
      </c>
      <c r="AG60" s="84">
        <f ca="1">SUM(OFFSET(Tabel3[[#This Row],[Compteur]],-1,),Tabel3[[#This Row],[Sous-groupe]]&lt;&gt;OFFSET(Tabel3[[#This Row],[Sous-groupe]],-1,))</f>
        <v>5</v>
      </c>
    </row>
    <row r="61" spans="1:33" ht="12" customHeight="1" x14ac:dyDescent="0.2">
      <c r="A61" s="61">
        <v>5</v>
      </c>
      <c r="B61" s="61">
        <v>300</v>
      </c>
      <c r="C61" s="61"/>
      <c r="D61" s="61">
        <v>1</v>
      </c>
      <c r="E61" s="96">
        <v>4343</v>
      </c>
      <c r="AA61" s="84">
        <v>4</v>
      </c>
      <c r="AB61" s="84">
        <v>209</v>
      </c>
      <c r="AC61" s="84"/>
      <c r="AD61" s="84">
        <v>1</v>
      </c>
      <c r="AE61" s="86">
        <v>1200</v>
      </c>
      <c r="AF61" s="88">
        <f>ROUND(Tabel3[[#This Row],[Long.]],1)*Tabel3[[#This Row],[Qté]]</f>
        <v>1200</v>
      </c>
      <c r="AG61" s="84">
        <f ca="1">SUM(OFFSET(Tabel3[[#This Row],[Compteur]],-1,),Tabel3[[#This Row],[Sous-groupe]]&lt;&gt;OFFSET(Tabel3[[#This Row],[Sous-groupe]],-1,))</f>
        <v>5</v>
      </c>
    </row>
    <row r="62" spans="1:33" ht="12" customHeight="1" x14ac:dyDescent="0.2">
      <c r="A62" s="59">
        <v>6</v>
      </c>
      <c r="B62" s="59">
        <v>216</v>
      </c>
      <c r="C62" s="59"/>
      <c r="D62" s="59">
        <v>1</v>
      </c>
      <c r="E62" s="95">
        <v>1248</v>
      </c>
      <c r="AA62" s="84">
        <v>4</v>
      </c>
      <c r="AB62" s="84">
        <v>226</v>
      </c>
      <c r="AC62" s="84"/>
      <c r="AD62" s="84">
        <v>1</v>
      </c>
      <c r="AE62" s="86">
        <v>1290</v>
      </c>
      <c r="AF62" s="88">
        <f>ROUND(Tabel3[[#This Row],[Long.]],1)*Tabel3[[#This Row],[Qté]]</f>
        <v>1290</v>
      </c>
      <c r="AG62" s="84">
        <f ca="1">SUM(OFFSET(Tabel3[[#This Row],[Compteur]],-1,),Tabel3[[#This Row],[Sous-groupe]]&lt;&gt;OFFSET(Tabel3[[#This Row],[Sous-groupe]],-1,))</f>
        <v>5</v>
      </c>
    </row>
    <row r="63" spans="1:33" ht="12" customHeight="1" x14ac:dyDescent="0.2">
      <c r="A63" s="61">
        <v>6</v>
      </c>
      <c r="B63" s="61">
        <v>219</v>
      </c>
      <c r="C63" s="61"/>
      <c r="D63" s="61">
        <v>1</v>
      </c>
      <c r="E63" s="96">
        <v>1255.5999999999999</v>
      </c>
      <c r="AA63" s="84">
        <v>4</v>
      </c>
      <c r="AB63" s="84">
        <v>229</v>
      </c>
      <c r="AC63" s="84"/>
      <c r="AD63" s="84">
        <v>1</v>
      </c>
      <c r="AE63" s="86">
        <v>1290</v>
      </c>
      <c r="AF63" s="88">
        <f>ROUND(Tabel3[[#This Row],[Long.]],1)*Tabel3[[#This Row],[Qté]]</f>
        <v>1290</v>
      </c>
      <c r="AG63" s="84">
        <f ca="1">SUM(OFFSET(Tabel3[[#This Row],[Compteur]],-1,),Tabel3[[#This Row],[Sous-groupe]]&lt;&gt;OFFSET(Tabel3[[#This Row],[Sous-groupe]],-1,))</f>
        <v>5</v>
      </c>
    </row>
    <row r="64" spans="1:33" ht="12" customHeight="1" x14ac:dyDescent="0.2">
      <c r="A64" s="59">
        <v>6</v>
      </c>
      <c r="B64" s="59">
        <v>262</v>
      </c>
      <c r="C64" s="59"/>
      <c r="D64" s="59">
        <v>1</v>
      </c>
      <c r="E64" s="95">
        <v>2709.5</v>
      </c>
      <c r="AA64" s="84">
        <v>4</v>
      </c>
      <c r="AB64" s="84">
        <v>246</v>
      </c>
      <c r="AC64" s="84"/>
      <c r="AD64" s="84">
        <v>2</v>
      </c>
      <c r="AE64" s="86">
        <v>2420.7869639999999</v>
      </c>
      <c r="AF64" s="88">
        <f>ROUND(Tabel3[[#This Row],[Long.]],1)*Tabel3[[#This Row],[Qté]]</f>
        <v>4841.6000000000004</v>
      </c>
      <c r="AG64" s="84">
        <f ca="1">SUM(OFFSET(Tabel3[[#This Row],[Compteur]],-1,),Tabel3[[#This Row],[Sous-groupe]]&lt;&gt;OFFSET(Tabel3[[#This Row],[Sous-groupe]],-1,))</f>
        <v>5</v>
      </c>
    </row>
    <row r="65" spans="1:33" ht="12" customHeight="1" x14ac:dyDescent="0.2">
      <c r="A65" s="59">
        <v>6</v>
      </c>
      <c r="B65" s="59">
        <v>266</v>
      </c>
      <c r="C65" s="59"/>
      <c r="D65" s="59">
        <v>1</v>
      </c>
      <c r="E65" s="95">
        <v>2737.8</v>
      </c>
      <c r="AA65" s="84">
        <v>4</v>
      </c>
      <c r="AB65" s="84">
        <v>253</v>
      </c>
      <c r="AC65" s="84"/>
      <c r="AD65" s="84">
        <v>2</v>
      </c>
      <c r="AE65" s="86">
        <v>2495.7869639999999</v>
      </c>
      <c r="AF65" s="88">
        <f>ROUND(Tabel3[[#This Row],[Long.]],1)*Tabel3[[#This Row],[Qté]]</f>
        <v>4991.6000000000004</v>
      </c>
      <c r="AG65" s="84">
        <f ca="1">SUM(OFFSET(Tabel3[[#This Row],[Compteur]],-1,),Tabel3[[#This Row],[Sous-groupe]]&lt;&gt;OFFSET(Tabel3[[#This Row],[Sous-groupe]],-1,))</f>
        <v>5</v>
      </c>
    </row>
    <row r="66" spans="1:33" ht="12" customHeight="1" x14ac:dyDescent="0.2">
      <c r="A66" s="61">
        <v>6</v>
      </c>
      <c r="B66" s="61">
        <v>270</v>
      </c>
      <c r="C66" s="61"/>
      <c r="D66" s="61">
        <v>1</v>
      </c>
      <c r="E66" s="96">
        <v>2785.6</v>
      </c>
      <c r="AA66" s="84">
        <v>4</v>
      </c>
      <c r="AB66" s="84">
        <v>257</v>
      </c>
      <c r="AC66" s="84"/>
      <c r="AD66" s="84">
        <v>12</v>
      </c>
      <c r="AE66" s="86">
        <v>2685.7869639999999</v>
      </c>
      <c r="AF66" s="88">
        <f>ROUND(Tabel3[[#This Row],[Long.]],1)*Tabel3[[#This Row],[Qté]]</f>
        <v>32229.600000000002</v>
      </c>
      <c r="AG66" s="84">
        <f ca="1">SUM(OFFSET(Tabel3[[#This Row],[Compteur]],-1,),Tabel3[[#This Row],[Sous-groupe]]&lt;&gt;OFFSET(Tabel3[[#This Row],[Sous-groupe]],-1,))</f>
        <v>5</v>
      </c>
    </row>
    <row r="67" spans="1:33" ht="12" customHeight="1" x14ac:dyDescent="0.2">
      <c r="A67" s="59">
        <v>6</v>
      </c>
      <c r="B67" s="59">
        <v>273</v>
      </c>
      <c r="C67" s="59"/>
      <c r="D67" s="59">
        <v>1</v>
      </c>
      <c r="E67" s="95">
        <v>2805.5</v>
      </c>
      <c r="AA67" s="84">
        <v>4</v>
      </c>
      <c r="AB67" s="84">
        <v>299</v>
      </c>
      <c r="AC67" s="84"/>
      <c r="AD67" s="84">
        <v>1</v>
      </c>
      <c r="AE67" s="86">
        <v>4250</v>
      </c>
      <c r="AF67" s="88">
        <f>ROUND(Tabel3[[#This Row],[Long.]],1)*Tabel3[[#This Row],[Qté]]</f>
        <v>4250</v>
      </c>
      <c r="AG67" s="84">
        <f ca="1">SUM(OFFSET(Tabel3[[#This Row],[Compteur]],-1,),Tabel3[[#This Row],[Sous-groupe]]&lt;&gt;OFFSET(Tabel3[[#This Row],[Sous-groupe]],-1,))</f>
        <v>5</v>
      </c>
    </row>
    <row r="68" spans="1:33" ht="12" customHeight="1" x14ac:dyDescent="0.2">
      <c r="A68" s="61">
        <v>7</v>
      </c>
      <c r="B68" s="61">
        <v>151</v>
      </c>
      <c r="C68" s="61"/>
      <c r="D68" s="61">
        <v>2</v>
      </c>
      <c r="E68" s="96">
        <v>330.7</v>
      </c>
      <c r="AA68" s="84">
        <v>4</v>
      </c>
      <c r="AB68" s="84">
        <v>300</v>
      </c>
      <c r="AC68" s="84"/>
      <c r="AD68" s="84">
        <v>1</v>
      </c>
      <c r="AE68" s="86">
        <v>4340</v>
      </c>
      <c r="AF68" s="88">
        <f>ROUND(Tabel3[[#This Row],[Long.]],1)*Tabel3[[#This Row],[Qté]]</f>
        <v>4340</v>
      </c>
      <c r="AG68" s="84">
        <f ca="1">SUM(OFFSET(Tabel3[[#This Row],[Compteur]],-1,),Tabel3[[#This Row],[Sous-groupe]]&lt;&gt;OFFSET(Tabel3[[#This Row],[Sous-groupe]],-1,))</f>
        <v>5</v>
      </c>
    </row>
    <row r="69" spans="1:33" ht="12" customHeight="1" x14ac:dyDescent="0.2">
      <c r="A69" s="59">
        <v>7</v>
      </c>
      <c r="B69" s="59">
        <v>223</v>
      </c>
      <c r="C69" s="59"/>
      <c r="D69" s="59">
        <v>1</v>
      </c>
      <c r="E69" s="95">
        <v>1293</v>
      </c>
      <c r="AA69" s="84">
        <v>5</v>
      </c>
      <c r="AB69" s="84">
        <v>216</v>
      </c>
      <c r="AC69" s="84"/>
      <c r="AD69" s="84">
        <v>1</v>
      </c>
      <c r="AE69" s="86">
        <v>1245</v>
      </c>
      <c r="AF69" s="88">
        <f>ROUND(Tabel3[[#This Row],[Long.]],1)*Tabel3[[#This Row],[Qté]]</f>
        <v>1245</v>
      </c>
      <c r="AG69" s="84">
        <f ca="1">SUM(OFFSET(Tabel3[[#This Row],[Compteur]],-1,),Tabel3[[#This Row],[Sous-groupe]]&lt;&gt;OFFSET(Tabel3[[#This Row],[Sous-groupe]],-1,))</f>
        <v>6</v>
      </c>
    </row>
    <row r="70" spans="1:33" ht="12" customHeight="1" x14ac:dyDescent="0.2">
      <c r="A70" s="61">
        <v>7</v>
      </c>
      <c r="B70" s="61">
        <v>230</v>
      </c>
      <c r="C70" s="61"/>
      <c r="D70" s="61">
        <v>1</v>
      </c>
      <c r="E70" s="96">
        <v>1293</v>
      </c>
      <c r="AA70" s="84">
        <v>5</v>
      </c>
      <c r="AB70" s="84">
        <v>219</v>
      </c>
      <c r="AC70" s="84"/>
      <c r="AD70" s="84">
        <v>1</v>
      </c>
      <c r="AE70" s="86">
        <v>1252.577646</v>
      </c>
      <c r="AF70" s="88">
        <f>ROUND(Tabel3[[#This Row],[Long.]],1)*Tabel3[[#This Row],[Qté]]</f>
        <v>1252.5999999999999</v>
      </c>
      <c r="AG70" s="84">
        <f ca="1">SUM(OFFSET(Tabel3[[#This Row],[Compteur]],-1,),Tabel3[[#This Row],[Sous-groupe]]&lt;&gt;OFFSET(Tabel3[[#This Row],[Sous-groupe]],-1,))</f>
        <v>6</v>
      </c>
    </row>
    <row r="71" spans="1:33" ht="12" customHeight="1" x14ac:dyDescent="0.2">
      <c r="A71" s="59">
        <v>7</v>
      </c>
      <c r="B71" s="59">
        <v>249</v>
      </c>
      <c r="C71" s="59"/>
      <c r="D71" s="59">
        <v>4</v>
      </c>
      <c r="E71" s="95">
        <v>2433</v>
      </c>
      <c r="AA71" s="84">
        <v>5</v>
      </c>
      <c r="AB71" s="84">
        <v>262</v>
      </c>
      <c r="AC71" s="84"/>
      <c r="AD71" s="84">
        <v>1</v>
      </c>
      <c r="AE71" s="86">
        <v>2706.4569390000001</v>
      </c>
      <c r="AF71" s="88">
        <f>ROUND(Tabel3[[#This Row],[Long.]],1)*Tabel3[[#This Row],[Qté]]</f>
        <v>2706.5</v>
      </c>
      <c r="AG71" s="84">
        <f ca="1">SUM(OFFSET(Tabel3[[#This Row],[Compteur]],-1,),Tabel3[[#This Row],[Sous-groupe]]&lt;&gt;OFFSET(Tabel3[[#This Row],[Sous-groupe]],-1,))</f>
        <v>6</v>
      </c>
    </row>
    <row r="72" spans="1:33" ht="12" customHeight="1" x14ac:dyDescent="0.2">
      <c r="A72" s="59">
        <v>7</v>
      </c>
      <c r="B72" s="59">
        <v>274</v>
      </c>
      <c r="C72" s="59"/>
      <c r="D72" s="59">
        <v>9</v>
      </c>
      <c r="E72" s="95">
        <v>2805.7</v>
      </c>
      <c r="AA72" s="84">
        <v>5</v>
      </c>
      <c r="AB72" s="84">
        <v>266</v>
      </c>
      <c r="AC72" s="84"/>
      <c r="AD72" s="84">
        <v>1</v>
      </c>
      <c r="AE72" s="86">
        <v>2734.7531680000002</v>
      </c>
      <c r="AF72" s="88">
        <f>ROUND(Tabel3[[#This Row],[Long.]],1)*Tabel3[[#This Row],[Qté]]</f>
        <v>2734.8</v>
      </c>
      <c r="AG72" s="84">
        <f ca="1">SUM(OFFSET(Tabel3[[#This Row],[Compteur]],-1,),Tabel3[[#This Row],[Sous-groupe]]&lt;&gt;OFFSET(Tabel3[[#This Row],[Sous-groupe]],-1,))</f>
        <v>6</v>
      </c>
    </row>
    <row r="73" spans="1:33" ht="12" customHeight="1" x14ac:dyDescent="0.2">
      <c r="A73" s="61">
        <v>7</v>
      </c>
      <c r="B73" s="61">
        <v>284</v>
      </c>
      <c r="C73" s="61"/>
      <c r="D73" s="61">
        <v>2</v>
      </c>
      <c r="E73" s="96">
        <v>3193</v>
      </c>
      <c r="AA73" s="84">
        <v>5</v>
      </c>
      <c r="AB73" s="84">
        <v>270</v>
      </c>
      <c r="AC73" s="84"/>
      <c r="AD73" s="84">
        <v>1</v>
      </c>
      <c r="AE73" s="86">
        <v>2782.5931679999999</v>
      </c>
      <c r="AF73" s="88">
        <f>ROUND(Tabel3[[#This Row],[Long.]],1)*Tabel3[[#This Row],[Qté]]</f>
        <v>2782.6</v>
      </c>
      <c r="AG73" s="84">
        <f ca="1">SUM(OFFSET(Tabel3[[#This Row],[Compteur]],-1,),Tabel3[[#This Row],[Sous-groupe]]&lt;&gt;OFFSET(Tabel3[[#This Row],[Sous-groupe]],-1,))</f>
        <v>6</v>
      </c>
    </row>
    <row r="74" spans="1:33" ht="12" customHeight="1" x14ac:dyDescent="0.2">
      <c r="A74" s="59">
        <v>7</v>
      </c>
      <c r="B74" s="59">
        <v>304</v>
      </c>
      <c r="C74" s="59"/>
      <c r="D74" s="59">
        <v>2</v>
      </c>
      <c r="E74" s="95">
        <v>5821.5</v>
      </c>
      <c r="AA74" s="84">
        <v>5</v>
      </c>
      <c r="AB74" s="84">
        <v>273</v>
      </c>
      <c r="AC74" s="84"/>
      <c r="AD74" s="84">
        <v>1</v>
      </c>
      <c r="AE74" s="86">
        <v>2802.4569390000001</v>
      </c>
      <c r="AF74" s="88">
        <f>ROUND(Tabel3[[#This Row],[Long.]],1)*Tabel3[[#This Row],[Qté]]</f>
        <v>2802.5</v>
      </c>
      <c r="AG74" s="84">
        <f ca="1">SUM(OFFSET(Tabel3[[#This Row],[Compteur]],-1,),Tabel3[[#This Row],[Sous-groupe]]&lt;&gt;OFFSET(Tabel3[[#This Row],[Sous-groupe]],-1,))</f>
        <v>6</v>
      </c>
    </row>
    <row r="75" spans="1:33" ht="12" customHeight="1" x14ac:dyDescent="0.2">
      <c r="A75" s="61">
        <v>8</v>
      </c>
      <c r="B75" s="61">
        <v>12</v>
      </c>
      <c r="C75" s="61"/>
      <c r="D75" s="61">
        <v>1</v>
      </c>
      <c r="E75" s="96">
        <v>1248</v>
      </c>
      <c r="AA75" s="84">
        <v>6</v>
      </c>
      <c r="AB75" s="84">
        <v>151</v>
      </c>
      <c r="AC75" s="84"/>
      <c r="AD75" s="84">
        <v>2</v>
      </c>
      <c r="AE75" s="86">
        <v>327.74447900000001</v>
      </c>
      <c r="AF75" s="88">
        <f>ROUND(Tabel3[[#This Row],[Long.]],1)*Tabel3[[#This Row],[Qté]]</f>
        <v>655.4</v>
      </c>
      <c r="AG75" s="84">
        <f ca="1">SUM(OFFSET(Tabel3[[#This Row],[Compteur]],-1,),Tabel3[[#This Row],[Sous-groupe]]&lt;&gt;OFFSET(Tabel3[[#This Row],[Sous-groupe]],-1,))</f>
        <v>7</v>
      </c>
    </row>
    <row r="76" spans="1:33" ht="12" customHeight="1" x14ac:dyDescent="0.2">
      <c r="A76" s="59">
        <v>8</v>
      </c>
      <c r="B76" s="59">
        <v>13</v>
      </c>
      <c r="C76" s="59"/>
      <c r="D76" s="59">
        <v>1</v>
      </c>
      <c r="E76" s="95">
        <v>1255.5999999999999</v>
      </c>
      <c r="AA76" s="84">
        <v>6</v>
      </c>
      <c r="AB76" s="84">
        <v>223</v>
      </c>
      <c r="AC76" s="84"/>
      <c r="AD76" s="84">
        <v>1</v>
      </c>
      <c r="AE76" s="86">
        <v>1290</v>
      </c>
      <c r="AF76" s="88">
        <f>ROUND(Tabel3[[#This Row],[Long.]],1)*Tabel3[[#This Row],[Qté]]</f>
        <v>1290</v>
      </c>
      <c r="AG76" s="84">
        <f ca="1">SUM(OFFSET(Tabel3[[#This Row],[Compteur]],-1,),Tabel3[[#This Row],[Sous-groupe]]&lt;&gt;OFFSET(Tabel3[[#This Row],[Sous-groupe]],-1,))</f>
        <v>7</v>
      </c>
    </row>
    <row r="77" spans="1:33" ht="12" customHeight="1" x14ac:dyDescent="0.2">
      <c r="A77" s="61">
        <v>8</v>
      </c>
      <c r="B77" s="61">
        <v>14</v>
      </c>
      <c r="C77" s="61"/>
      <c r="D77" s="61">
        <v>1</v>
      </c>
      <c r="E77" s="96">
        <v>2709.3</v>
      </c>
      <c r="AA77" s="84">
        <v>6</v>
      </c>
      <c r="AB77" s="84">
        <v>230</v>
      </c>
      <c r="AC77" s="84"/>
      <c r="AD77" s="84">
        <v>1</v>
      </c>
      <c r="AE77" s="86">
        <v>1290</v>
      </c>
      <c r="AF77" s="88">
        <f>ROUND(Tabel3[[#This Row],[Long.]],1)*Tabel3[[#This Row],[Qté]]</f>
        <v>1290</v>
      </c>
      <c r="AG77" s="84">
        <f ca="1">SUM(OFFSET(Tabel3[[#This Row],[Compteur]],-1,),Tabel3[[#This Row],[Sous-groupe]]&lt;&gt;OFFSET(Tabel3[[#This Row],[Sous-groupe]],-1,))</f>
        <v>7</v>
      </c>
    </row>
    <row r="78" spans="1:33" ht="12" customHeight="1" x14ac:dyDescent="0.2">
      <c r="A78" s="59">
        <v>8</v>
      </c>
      <c r="B78" s="59">
        <v>15</v>
      </c>
      <c r="C78" s="59"/>
      <c r="D78" s="59">
        <v>1</v>
      </c>
      <c r="E78" s="95">
        <v>2737.8</v>
      </c>
      <c r="AA78" s="84">
        <v>6</v>
      </c>
      <c r="AB78" s="84">
        <v>249</v>
      </c>
      <c r="AC78" s="84"/>
      <c r="AD78" s="84">
        <v>4</v>
      </c>
      <c r="AE78" s="86">
        <v>2430</v>
      </c>
      <c r="AF78" s="88">
        <f>ROUND(Tabel3[[#This Row],[Long.]],1)*Tabel3[[#This Row],[Qté]]</f>
        <v>9720</v>
      </c>
      <c r="AG78" s="84">
        <f ca="1">SUM(OFFSET(Tabel3[[#This Row],[Compteur]],-1,),Tabel3[[#This Row],[Sous-groupe]]&lt;&gt;OFFSET(Tabel3[[#This Row],[Sous-groupe]],-1,))</f>
        <v>7</v>
      </c>
    </row>
    <row r="79" spans="1:33" ht="12" customHeight="1" x14ac:dyDescent="0.2">
      <c r="A79" s="59">
        <v>8</v>
      </c>
      <c r="B79" s="59">
        <v>16</v>
      </c>
      <c r="C79" s="59"/>
      <c r="D79" s="59">
        <v>1</v>
      </c>
      <c r="E79" s="95">
        <v>2785.6</v>
      </c>
      <c r="AA79" s="84">
        <v>6</v>
      </c>
      <c r="AB79" s="84">
        <v>274</v>
      </c>
      <c r="AC79" s="84"/>
      <c r="AD79" s="84">
        <v>9</v>
      </c>
      <c r="AE79" s="86">
        <v>2802.744479</v>
      </c>
      <c r="AF79" s="88">
        <f>ROUND(Tabel3[[#This Row],[Long.]],1)*Tabel3[[#This Row],[Qté]]</f>
        <v>25224.3</v>
      </c>
      <c r="AG79" s="84">
        <f ca="1">SUM(OFFSET(Tabel3[[#This Row],[Compteur]],-1,),Tabel3[[#This Row],[Sous-groupe]]&lt;&gt;OFFSET(Tabel3[[#This Row],[Sous-groupe]],-1,))</f>
        <v>7</v>
      </c>
    </row>
    <row r="80" spans="1:33" ht="12" customHeight="1" x14ac:dyDescent="0.2">
      <c r="A80" s="61">
        <v>8</v>
      </c>
      <c r="B80" s="61">
        <v>17</v>
      </c>
      <c r="C80" s="61"/>
      <c r="D80" s="61">
        <v>1</v>
      </c>
      <c r="E80" s="96">
        <v>2805.3</v>
      </c>
      <c r="AA80" s="84">
        <v>6</v>
      </c>
      <c r="AB80" s="84">
        <v>284</v>
      </c>
      <c r="AC80" s="84"/>
      <c r="AD80" s="84">
        <v>2</v>
      </c>
      <c r="AE80" s="86">
        <v>3190</v>
      </c>
      <c r="AF80" s="88">
        <f>ROUND(Tabel3[[#This Row],[Long.]],1)*Tabel3[[#This Row],[Qté]]</f>
        <v>6380</v>
      </c>
      <c r="AG80" s="84">
        <f ca="1">SUM(OFFSET(Tabel3[[#This Row],[Compteur]],-1,),Tabel3[[#This Row],[Sous-groupe]]&lt;&gt;OFFSET(Tabel3[[#This Row],[Sous-groupe]],-1,))</f>
        <v>7</v>
      </c>
    </row>
    <row r="81" spans="1:33" ht="12" customHeight="1" x14ac:dyDescent="0.2">
      <c r="A81" s="59">
        <v>8</v>
      </c>
      <c r="B81" s="59">
        <v>18</v>
      </c>
      <c r="C81" s="59"/>
      <c r="D81" s="59">
        <v>1</v>
      </c>
      <c r="E81" s="95">
        <v>2805.5</v>
      </c>
      <c r="AA81" s="84">
        <v>6</v>
      </c>
      <c r="AB81" s="84">
        <v>304</v>
      </c>
      <c r="AC81" s="84"/>
      <c r="AD81" s="84">
        <v>2</v>
      </c>
      <c r="AE81" s="86">
        <v>5818.5</v>
      </c>
      <c r="AF81" s="88">
        <f>ROUND(Tabel3[[#This Row],[Long.]],1)*Tabel3[[#This Row],[Qté]]</f>
        <v>11637</v>
      </c>
      <c r="AG81" s="84">
        <f ca="1">SUM(OFFSET(Tabel3[[#This Row],[Compteur]],-1,),Tabel3[[#This Row],[Sous-groupe]]&lt;&gt;OFFSET(Tabel3[[#This Row],[Sous-groupe]],-1,))</f>
        <v>7</v>
      </c>
    </row>
    <row r="82" spans="1:33" ht="12" customHeight="1" x14ac:dyDescent="0.2">
      <c r="A82" s="61">
        <v>9</v>
      </c>
      <c r="B82" s="61">
        <v>140</v>
      </c>
      <c r="C82" s="61"/>
      <c r="D82" s="61">
        <v>1</v>
      </c>
      <c r="E82" s="96">
        <v>193</v>
      </c>
      <c r="AA82" s="84">
        <v>7</v>
      </c>
      <c r="AB82" s="84">
        <v>12</v>
      </c>
      <c r="AC82" s="84"/>
      <c r="AD82" s="84">
        <v>1</v>
      </c>
      <c r="AE82" s="86">
        <v>1245</v>
      </c>
      <c r="AF82" s="88">
        <f>ROUND(Tabel3[[#This Row],[Long.]],1)*Tabel3[[#This Row],[Qté]]</f>
        <v>1245</v>
      </c>
      <c r="AG82" s="84">
        <f ca="1">SUM(OFFSET(Tabel3[[#This Row],[Compteur]],-1,),Tabel3[[#This Row],[Sous-groupe]]&lt;&gt;OFFSET(Tabel3[[#This Row],[Sous-groupe]],-1,))</f>
        <v>8</v>
      </c>
    </row>
    <row r="83" spans="1:33" ht="12" customHeight="1" x14ac:dyDescent="0.2">
      <c r="A83" s="59">
        <v>9</v>
      </c>
      <c r="B83" s="59">
        <v>164</v>
      </c>
      <c r="C83" s="59"/>
      <c r="D83" s="59">
        <v>1</v>
      </c>
      <c r="E83" s="95">
        <v>415</v>
      </c>
      <c r="AA83" s="84">
        <v>7</v>
      </c>
      <c r="AB83" s="84">
        <v>13</v>
      </c>
      <c r="AC83" s="84"/>
      <c r="AD83" s="84">
        <v>1</v>
      </c>
      <c r="AE83" s="86">
        <v>1252.577646</v>
      </c>
      <c r="AF83" s="88">
        <f>ROUND(Tabel3[[#This Row],[Long.]],1)*Tabel3[[#This Row],[Qté]]</f>
        <v>1252.5999999999999</v>
      </c>
      <c r="AG83" s="84">
        <f ca="1">SUM(OFFSET(Tabel3[[#This Row],[Compteur]],-1,),Tabel3[[#This Row],[Sous-groupe]]&lt;&gt;OFFSET(Tabel3[[#This Row],[Sous-groupe]],-1,))</f>
        <v>8</v>
      </c>
    </row>
    <row r="84" spans="1:33" ht="12" customHeight="1" x14ac:dyDescent="0.2">
      <c r="A84" s="61">
        <v>9</v>
      </c>
      <c r="B84" s="61">
        <v>186</v>
      </c>
      <c r="C84" s="61"/>
      <c r="D84" s="61">
        <v>1</v>
      </c>
      <c r="E84" s="96">
        <v>561</v>
      </c>
      <c r="AA84" s="84">
        <v>7</v>
      </c>
      <c r="AB84" s="84">
        <v>14</v>
      </c>
      <c r="AC84" s="84"/>
      <c r="AD84" s="84">
        <v>1</v>
      </c>
      <c r="AE84" s="86">
        <v>2706.3131680000001</v>
      </c>
      <c r="AF84" s="88">
        <f>ROUND(Tabel3[[#This Row],[Long.]],1)*Tabel3[[#This Row],[Qté]]</f>
        <v>2706.3</v>
      </c>
      <c r="AG84" s="84">
        <f ca="1">SUM(OFFSET(Tabel3[[#This Row],[Compteur]],-1,),Tabel3[[#This Row],[Sous-groupe]]&lt;&gt;OFFSET(Tabel3[[#This Row],[Sous-groupe]],-1,))</f>
        <v>8</v>
      </c>
    </row>
    <row r="85" spans="1:33" ht="12" customHeight="1" x14ac:dyDescent="0.2">
      <c r="A85" s="59">
        <v>9</v>
      </c>
      <c r="B85" s="59">
        <v>220</v>
      </c>
      <c r="C85" s="59"/>
      <c r="D85" s="59">
        <v>3</v>
      </c>
      <c r="E85" s="95">
        <v>1268</v>
      </c>
      <c r="AA85" s="84">
        <v>7</v>
      </c>
      <c r="AB85" s="84">
        <v>15</v>
      </c>
      <c r="AC85" s="84"/>
      <c r="AD85" s="84">
        <v>1</v>
      </c>
      <c r="AE85" s="86">
        <v>2734.7531680000002</v>
      </c>
      <c r="AF85" s="88">
        <f>ROUND(Tabel3[[#This Row],[Long.]],1)*Tabel3[[#This Row],[Qté]]</f>
        <v>2734.8</v>
      </c>
      <c r="AG85" s="84">
        <f ca="1">SUM(OFFSET(Tabel3[[#This Row],[Compteur]],-1,),Tabel3[[#This Row],[Sous-groupe]]&lt;&gt;OFFSET(Tabel3[[#This Row],[Sous-groupe]],-1,))</f>
        <v>8</v>
      </c>
    </row>
    <row r="86" spans="1:33" ht="12" customHeight="1" x14ac:dyDescent="0.2">
      <c r="A86" s="61">
        <v>9</v>
      </c>
      <c r="B86" s="61">
        <v>237</v>
      </c>
      <c r="C86" s="61"/>
      <c r="D86" s="61">
        <v>1</v>
      </c>
      <c r="E86" s="96">
        <v>2193</v>
      </c>
      <c r="AA86" s="84">
        <v>7</v>
      </c>
      <c r="AB86" s="84">
        <v>16</v>
      </c>
      <c r="AC86" s="84"/>
      <c r="AD86" s="84">
        <v>1</v>
      </c>
      <c r="AE86" s="86">
        <v>2782.5931679999999</v>
      </c>
      <c r="AF86" s="88">
        <f>ROUND(Tabel3[[#This Row],[Long.]],1)*Tabel3[[#This Row],[Qté]]</f>
        <v>2782.6</v>
      </c>
      <c r="AG86" s="84">
        <f ca="1">SUM(OFFSET(Tabel3[[#This Row],[Compteur]],-1,),Tabel3[[#This Row],[Sous-groupe]]&lt;&gt;OFFSET(Tabel3[[#This Row],[Sous-groupe]],-1,))</f>
        <v>8</v>
      </c>
    </row>
    <row r="87" spans="1:33" ht="12" customHeight="1" x14ac:dyDescent="0.2">
      <c r="A87" s="59">
        <v>9</v>
      </c>
      <c r="B87" s="59">
        <v>243</v>
      </c>
      <c r="C87" s="59"/>
      <c r="D87" s="59">
        <v>1</v>
      </c>
      <c r="E87" s="95">
        <v>2283</v>
      </c>
      <c r="AA87" s="84">
        <v>7</v>
      </c>
      <c r="AB87" s="84">
        <v>17</v>
      </c>
      <c r="AC87" s="84"/>
      <c r="AD87" s="84">
        <v>1</v>
      </c>
      <c r="AE87" s="86">
        <v>2802.3131680000001</v>
      </c>
      <c r="AF87" s="88">
        <f>ROUND(Tabel3[[#This Row],[Long.]],1)*Tabel3[[#This Row],[Qté]]</f>
        <v>2802.3</v>
      </c>
      <c r="AG87" s="84">
        <f ca="1">SUM(OFFSET(Tabel3[[#This Row],[Compteur]],-1,),Tabel3[[#This Row],[Sous-groupe]]&lt;&gt;OFFSET(Tabel3[[#This Row],[Sous-groupe]],-1,))</f>
        <v>8</v>
      </c>
    </row>
    <row r="88" spans="1:33" ht="12" customHeight="1" x14ac:dyDescent="0.2">
      <c r="A88" s="61">
        <v>9</v>
      </c>
      <c r="B88" s="61">
        <v>244</v>
      </c>
      <c r="C88" s="61"/>
      <c r="D88" s="61">
        <v>1</v>
      </c>
      <c r="E88" s="96">
        <v>2283</v>
      </c>
      <c r="AA88" s="84">
        <v>7</v>
      </c>
      <c r="AB88" s="84">
        <v>18</v>
      </c>
      <c r="AC88" s="84"/>
      <c r="AD88" s="84">
        <v>1</v>
      </c>
      <c r="AE88" s="86">
        <v>2802.4569390000001</v>
      </c>
      <c r="AF88" s="88">
        <f>ROUND(Tabel3[[#This Row],[Long.]],1)*Tabel3[[#This Row],[Qté]]</f>
        <v>2802.5</v>
      </c>
      <c r="AG88" s="84">
        <f ca="1">SUM(OFFSET(Tabel3[[#This Row],[Compteur]],-1,),Tabel3[[#This Row],[Sous-groupe]]&lt;&gt;OFFSET(Tabel3[[#This Row],[Sous-groupe]],-1,))</f>
        <v>8</v>
      </c>
    </row>
    <row r="89" spans="1:33" ht="12" customHeight="1" x14ac:dyDescent="0.2">
      <c r="A89" s="59">
        <v>9</v>
      </c>
      <c r="B89" s="59">
        <v>247</v>
      </c>
      <c r="C89" s="59"/>
      <c r="D89" s="59">
        <v>2</v>
      </c>
      <c r="E89" s="95">
        <v>2423.8000000000002</v>
      </c>
      <c r="AA89" s="84">
        <v>9</v>
      </c>
      <c r="AB89" s="84">
        <v>140</v>
      </c>
      <c r="AC89" s="84"/>
      <c r="AD89" s="84">
        <v>1</v>
      </c>
      <c r="AE89" s="86">
        <v>190</v>
      </c>
      <c r="AF89" s="88">
        <f>ROUND(Tabel3[[#This Row],[Long.]],1)*Tabel3[[#This Row],[Qté]]</f>
        <v>190</v>
      </c>
      <c r="AG89" s="84">
        <f ca="1">SUM(OFFSET(Tabel3[[#This Row],[Compteur]],-1,),Tabel3[[#This Row],[Sous-groupe]]&lt;&gt;OFFSET(Tabel3[[#This Row],[Sous-groupe]],-1,))</f>
        <v>9</v>
      </c>
    </row>
    <row r="90" spans="1:33" ht="12" customHeight="1" x14ac:dyDescent="0.2">
      <c r="A90" s="61">
        <v>9</v>
      </c>
      <c r="B90" s="61">
        <v>252</v>
      </c>
      <c r="C90" s="61"/>
      <c r="D90" s="61">
        <v>3</v>
      </c>
      <c r="E90" s="96">
        <v>2453.8000000000002</v>
      </c>
      <c r="AA90" s="84">
        <v>9</v>
      </c>
      <c r="AB90" s="84">
        <v>164</v>
      </c>
      <c r="AC90" s="84"/>
      <c r="AD90" s="84">
        <v>1</v>
      </c>
      <c r="AE90" s="86">
        <v>412</v>
      </c>
      <c r="AF90" s="88">
        <f>ROUND(Tabel3[[#This Row],[Long.]],1)*Tabel3[[#This Row],[Qté]]</f>
        <v>412</v>
      </c>
      <c r="AG90" s="84">
        <f ca="1">SUM(OFFSET(Tabel3[[#This Row],[Compteur]],-1,),Tabel3[[#This Row],[Sous-groupe]]&lt;&gt;OFFSET(Tabel3[[#This Row],[Sous-groupe]],-1,))</f>
        <v>9</v>
      </c>
    </row>
    <row r="91" spans="1:33" ht="12" customHeight="1" x14ac:dyDescent="0.2">
      <c r="A91">
        <v>9</v>
      </c>
      <c r="B91">
        <v>258</v>
      </c>
      <c r="D91">
        <v>5</v>
      </c>
      <c r="E91" s="73">
        <v>2688.8</v>
      </c>
      <c r="I91" s="61">
        <v>10</v>
      </c>
      <c r="J91" s="61">
        <v>133</v>
      </c>
      <c r="K91" s="61"/>
      <c r="L91" s="61">
        <v>1</v>
      </c>
      <c r="M91" s="62">
        <v>39.5</v>
      </c>
      <c r="AA91" s="84">
        <v>9</v>
      </c>
      <c r="AB91" s="84">
        <v>186</v>
      </c>
      <c r="AC91" s="84"/>
      <c r="AD91" s="84">
        <v>1</v>
      </c>
      <c r="AE91" s="86">
        <v>558</v>
      </c>
      <c r="AF91" s="88">
        <f>ROUND(Tabel3[[#This Row],[Long.]],1)*Tabel3[[#This Row],[Qté]]</f>
        <v>558</v>
      </c>
      <c r="AG91" s="84">
        <f ca="1">SUM(OFFSET(Tabel3[[#This Row],[Compteur]],-1,),Tabel3[[#This Row],[Sous-groupe]]&lt;&gt;OFFSET(Tabel3[[#This Row],[Sous-groupe]],-1,))</f>
        <v>9</v>
      </c>
    </row>
    <row r="92" spans="1:33" ht="12" customHeight="1" x14ac:dyDescent="0.2">
      <c r="A92">
        <v>9</v>
      </c>
      <c r="B92">
        <v>293</v>
      </c>
      <c r="D92">
        <v>1</v>
      </c>
      <c r="E92" s="73">
        <v>3372</v>
      </c>
      <c r="I92" s="59">
        <v>10</v>
      </c>
      <c r="J92" s="59">
        <v>157</v>
      </c>
      <c r="K92" s="59"/>
      <c r="L92" s="59">
        <v>1</v>
      </c>
      <c r="M92" s="60">
        <v>386.01693899999998</v>
      </c>
      <c r="AA92" s="84">
        <v>9</v>
      </c>
      <c r="AB92" s="84">
        <v>220</v>
      </c>
      <c r="AC92" s="84"/>
      <c r="AD92" s="84">
        <v>3</v>
      </c>
      <c r="AE92" s="86">
        <v>1265</v>
      </c>
      <c r="AF92" s="88">
        <f>ROUND(Tabel3[[#This Row],[Long.]],1)*Tabel3[[#This Row],[Qté]]</f>
        <v>3795</v>
      </c>
      <c r="AG92" s="84">
        <f ca="1">SUM(OFFSET(Tabel3[[#This Row],[Compteur]],-1,),Tabel3[[#This Row],[Sous-groupe]]&lt;&gt;OFFSET(Tabel3[[#This Row],[Sous-groupe]],-1,))</f>
        <v>9</v>
      </c>
    </row>
    <row r="93" spans="1:33" ht="12" customHeight="1" x14ac:dyDescent="0.2">
      <c r="A93">
        <v>9</v>
      </c>
      <c r="B93">
        <v>294</v>
      </c>
      <c r="D93">
        <v>1</v>
      </c>
      <c r="E93" s="73">
        <v>3504.5</v>
      </c>
      <c r="I93" s="61">
        <v>10</v>
      </c>
      <c r="J93" s="61">
        <v>166</v>
      </c>
      <c r="K93" s="61"/>
      <c r="L93" s="61">
        <v>1</v>
      </c>
      <c r="M93" s="62">
        <v>434.616939</v>
      </c>
      <c r="AA93" s="84">
        <v>9</v>
      </c>
      <c r="AB93" s="84">
        <v>237</v>
      </c>
      <c r="AC93" s="84"/>
      <c r="AD93" s="84">
        <v>1</v>
      </c>
      <c r="AE93" s="86">
        <v>2190</v>
      </c>
      <c r="AF93" s="88">
        <f>ROUND(Tabel3[[#This Row],[Long.]],1)*Tabel3[[#This Row],[Qté]]</f>
        <v>2190</v>
      </c>
      <c r="AG93" s="84">
        <f ca="1">SUM(OFFSET(Tabel3[[#This Row],[Compteur]],-1,),Tabel3[[#This Row],[Sous-groupe]]&lt;&gt;OFFSET(Tabel3[[#This Row],[Sous-groupe]],-1,))</f>
        <v>9</v>
      </c>
    </row>
    <row r="94" spans="1:33" ht="12" customHeight="1" x14ac:dyDescent="0.2">
      <c r="A94">
        <v>10</v>
      </c>
      <c r="B94">
        <v>123</v>
      </c>
      <c r="D94">
        <v>1</v>
      </c>
      <c r="E94" s="73">
        <v>5603</v>
      </c>
      <c r="I94" s="59">
        <v>10</v>
      </c>
      <c r="J94" s="59">
        <v>169</v>
      </c>
      <c r="K94" s="59"/>
      <c r="L94" s="59">
        <v>1</v>
      </c>
      <c r="M94" s="60">
        <v>482.45693899999998</v>
      </c>
      <c r="AA94" s="84">
        <v>9</v>
      </c>
      <c r="AB94" s="84">
        <v>243</v>
      </c>
      <c r="AC94" s="84"/>
      <c r="AD94" s="84">
        <v>1</v>
      </c>
      <c r="AE94" s="86">
        <v>2280</v>
      </c>
      <c r="AF94" s="88">
        <f>ROUND(Tabel3[[#This Row],[Long.]],1)*Tabel3[[#This Row],[Qté]]</f>
        <v>2280</v>
      </c>
      <c r="AG94" s="84">
        <f ca="1">SUM(OFFSET(Tabel3[[#This Row],[Compteur]],-1,),Tabel3[[#This Row],[Sous-groupe]]&lt;&gt;OFFSET(Tabel3[[#This Row],[Sous-groupe]],-1,))</f>
        <v>9</v>
      </c>
    </row>
    <row r="95" spans="1:33" ht="12" customHeight="1" x14ac:dyDescent="0.2">
      <c r="I95" s="61">
        <v>10</v>
      </c>
      <c r="J95" s="61">
        <v>170</v>
      </c>
      <c r="K95" s="61"/>
      <c r="L95" s="61">
        <v>1</v>
      </c>
      <c r="M95" s="62">
        <v>498.5</v>
      </c>
      <c r="AA95" s="84">
        <v>9</v>
      </c>
      <c r="AB95" s="84">
        <v>244</v>
      </c>
      <c r="AC95" s="84"/>
      <c r="AD95" s="84">
        <v>1</v>
      </c>
      <c r="AE95" s="86">
        <v>2280</v>
      </c>
      <c r="AF95" s="88">
        <f>ROUND(Tabel3[[#This Row],[Long.]],1)*Tabel3[[#This Row],[Qté]]</f>
        <v>2280</v>
      </c>
      <c r="AG95" s="84">
        <f ca="1">SUM(OFFSET(Tabel3[[#This Row],[Compteur]],-1,),Tabel3[[#This Row],[Sous-groupe]]&lt;&gt;OFFSET(Tabel3[[#This Row],[Sous-groupe]],-1,))</f>
        <v>9</v>
      </c>
    </row>
    <row r="96" spans="1:33" ht="12" customHeight="1" x14ac:dyDescent="0.2">
      <c r="I96" s="59">
        <v>10</v>
      </c>
      <c r="J96" s="59">
        <v>183</v>
      </c>
      <c r="K96" s="59"/>
      <c r="L96" s="59">
        <v>1</v>
      </c>
      <c r="M96" s="60">
        <v>553</v>
      </c>
      <c r="AA96" s="84">
        <v>9</v>
      </c>
      <c r="AB96" s="84">
        <v>247</v>
      </c>
      <c r="AC96" s="84"/>
      <c r="AD96" s="84">
        <v>2</v>
      </c>
      <c r="AE96" s="86">
        <v>2420.7869639999999</v>
      </c>
      <c r="AF96" s="88">
        <f>ROUND(Tabel3[[#This Row],[Long.]],1)*Tabel3[[#This Row],[Qté]]</f>
        <v>4841.6000000000004</v>
      </c>
      <c r="AG96" s="84">
        <f ca="1">SUM(OFFSET(Tabel3[[#This Row],[Compteur]],-1,),Tabel3[[#This Row],[Sous-groupe]]&lt;&gt;OFFSET(Tabel3[[#This Row],[Sous-groupe]],-1,))</f>
        <v>9</v>
      </c>
    </row>
    <row r="97" spans="9:33" ht="12" customHeight="1" x14ac:dyDescent="0.2">
      <c r="I97" s="61">
        <v>10</v>
      </c>
      <c r="J97" s="61">
        <v>187</v>
      </c>
      <c r="K97" s="61"/>
      <c r="L97" s="61">
        <v>1</v>
      </c>
      <c r="M97" s="62">
        <v>562.5</v>
      </c>
      <c r="AA97" s="84">
        <v>9</v>
      </c>
      <c r="AB97" s="84">
        <v>252</v>
      </c>
      <c r="AC97" s="84"/>
      <c r="AD97" s="84">
        <v>3</v>
      </c>
      <c r="AE97" s="86">
        <v>2450.7869639999999</v>
      </c>
      <c r="AF97" s="88">
        <f>ROUND(Tabel3[[#This Row],[Long.]],1)*Tabel3[[#This Row],[Qté]]</f>
        <v>7352.4000000000005</v>
      </c>
      <c r="AG97" s="84">
        <f ca="1">SUM(OFFSET(Tabel3[[#This Row],[Compteur]],-1,),Tabel3[[#This Row],[Sous-groupe]]&lt;&gt;OFFSET(Tabel3[[#This Row],[Sous-groupe]],-1,))</f>
        <v>9</v>
      </c>
    </row>
    <row r="98" spans="9:33" ht="12" customHeight="1" x14ac:dyDescent="0.2">
      <c r="I98" s="59">
        <v>10</v>
      </c>
      <c r="J98" s="59">
        <v>191</v>
      </c>
      <c r="K98" s="59"/>
      <c r="L98" s="59">
        <v>1</v>
      </c>
      <c r="M98" s="60">
        <v>688</v>
      </c>
      <c r="AA98" s="84">
        <v>9</v>
      </c>
      <c r="AB98" s="84">
        <v>258</v>
      </c>
      <c r="AC98" s="84"/>
      <c r="AD98" s="84">
        <v>5</v>
      </c>
      <c r="AE98" s="86">
        <v>2685.7869639999999</v>
      </c>
      <c r="AF98" s="88">
        <f>ROUND(Tabel3[[#This Row],[Long.]],1)*Tabel3[[#This Row],[Qté]]</f>
        <v>13429</v>
      </c>
      <c r="AG98" s="84">
        <f ca="1">SUM(OFFSET(Tabel3[[#This Row],[Compteur]],-1,),Tabel3[[#This Row],[Sous-groupe]]&lt;&gt;OFFSET(Tabel3[[#This Row],[Sous-groupe]],-1,))</f>
        <v>9</v>
      </c>
    </row>
    <row r="99" spans="9:33" ht="12" customHeight="1" x14ac:dyDescent="0.2">
      <c r="I99" s="61">
        <v>10</v>
      </c>
      <c r="J99" s="61">
        <v>224</v>
      </c>
      <c r="K99" s="61"/>
      <c r="L99" s="61">
        <v>1</v>
      </c>
      <c r="M99" s="62">
        <v>1290</v>
      </c>
      <c r="AA99" s="84">
        <v>9</v>
      </c>
      <c r="AB99" s="84">
        <v>293</v>
      </c>
      <c r="AC99" s="84"/>
      <c r="AD99" s="84">
        <v>1</v>
      </c>
      <c r="AE99" s="86">
        <v>3369</v>
      </c>
      <c r="AF99" s="88">
        <f>ROUND(Tabel3[[#This Row],[Long.]],1)*Tabel3[[#This Row],[Qté]]</f>
        <v>3369</v>
      </c>
      <c r="AG99" s="84">
        <f ca="1">SUM(OFFSET(Tabel3[[#This Row],[Compteur]],-1,),Tabel3[[#This Row],[Sous-groupe]]&lt;&gt;OFFSET(Tabel3[[#This Row],[Sous-groupe]],-1,))</f>
        <v>9</v>
      </c>
    </row>
    <row r="100" spans="9:33" ht="12" customHeight="1" x14ac:dyDescent="0.2">
      <c r="I100" s="59">
        <v>10</v>
      </c>
      <c r="J100" s="59">
        <v>233</v>
      </c>
      <c r="K100" s="59"/>
      <c r="L100" s="59">
        <v>1</v>
      </c>
      <c r="M100" s="60">
        <v>1290</v>
      </c>
      <c r="AA100" s="84">
        <v>9</v>
      </c>
      <c r="AB100" s="84">
        <v>294</v>
      </c>
      <c r="AC100" s="84"/>
      <c r="AD100" s="84">
        <v>1</v>
      </c>
      <c r="AE100" s="86">
        <v>3501.5</v>
      </c>
      <c r="AF100" s="88">
        <f>ROUND(Tabel3[[#This Row],[Long.]],1)*Tabel3[[#This Row],[Qté]]</f>
        <v>3501.5</v>
      </c>
      <c r="AG100" s="84">
        <f ca="1">SUM(OFFSET(Tabel3[[#This Row],[Compteur]],-1,),Tabel3[[#This Row],[Sous-groupe]]&lt;&gt;OFFSET(Tabel3[[#This Row],[Sous-groupe]],-1,))</f>
        <v>9</v>
      </c>
    </row>
    <row r="101" spans="9:33" ht="12" customHeight="1" x14ac:dyDescent="0.2">
      <c r="I101" s="61">
        <v>10</v>
      </c>
      <c r="J101" s="61">
        <v>245</v>
      </c>
      <c r="K101" s="61"/>
      <c r="L101" s="61">
        <v>2</v>
      </c>
      <c r="M101" s="62">
        <v>2350</v>
      </c>
      <c r="AA101" s="100">
        <v>10</v>
      </c>
      <c r="AB101" s="100">
        <v>123</v>
      </c>
      <c r="AC101" s="100"/>
      <c r="AD101" s="100">
        <v>1</v>
      </c>
      <c r="AE101" s="101">
        <v>5600</v>
      </c>
      <c r="AF101" s="102">
        <f>ROUND(Tabel3[[#This Row],[Long.]],1)*Tabel3[[#This Row],[Qté]]</f>
        <v>5600</v>
      </c>
      <c r="AG101" s="100">
        <f ca="1">SUM(OFFSET(Tabel3[[#This Row],[Compteur]],-1,),Tabel3[[#This Row],[Sous-groupe]]&lt;&gt;OFFSET(Tabel3[[#This Row],[Sous-groupe]],-1,))</f>
        <v>10</v>
      </c>
    </row>
    <row r="102" spans="9:33" ht="12" customHeight="1" x14ac:dyDescent="0.2">
      <c r="I102" s="59">
        <v>10</v>
      </c>
      <c r="J102" s="59">
        <v>260</v>
      </c>
      <c r="K102" s="59"/>
      <c r="L102" s="59">
        <v>1</v>
      </c>
      <c r="M102" s="60">
        <v>2688.8569389999998</v>
      </c>
    </row>
    <row r="103" spans="9:33" ht="12" customHeight="1" x14ac:dyDescent="0.2">
      <c r="I103" s="61">
        <v>10</v>
      </c>
      <c r="J103" s="61">
        <v>265</v>
      </c>
      <c r="K103" s="61"/>
      <c r="L103" s="61">
        <v>1</v>
      </c>
      <c r="M103" s="62">
        <v>2733.9369390000002</v>
      </c>
    </row>
    <row r="104" spans="9:33" ht="12" customHeight="1" x14ac:dyDescent="0.2">
      <c r="I104" s="59">
        <v>10</v>
      </c>
      <c r="J104" s="59">
        <v>268</v>
      </c>
      <c r="K104" s="59"/>
      <c r="L104" s="59">
        <v>1</v>
      </c>
      <c r="M104" s="60">
        <v>2777.4169390000002</v>
      </c>
    </row>
    <row r="105" spans="9:33" ht="12" customHeight="1" x14ac:dyDescent="0.2">
      <c r="I105" s="61">
        <v>10</v>
      </c>
      <c r="J105" s="61">
        <v>277</v>
      </c>
      <c r="K105" s="61"/>
      <c r="L105" s="61">
        <v>1</v>
      </c>
      <c r="M105" s="62">
        <v>2884.2169389999999</v>
      </c>
    </row>
    <row r="106" spans="9:33" ht="12" customHeight="1" x14ac:dyDescent="0.2">
      <c r="I106" s="59">
        <v>10</v>
      </c>
      <c r="J106" s="59">
        <v>280</v>
      </c>
      <c r="K106" s="59"/>
      <c r="L106" s="59">
        <v>1</v>
      </c>
      <c r="M106" s="60">
        <v>2939.2569389999999</v>
      </c>
    </row>
    <row r="107" spans="9:33" ht="12" customHeight="1" x14ac:dyDescent="0.2">
      <c r="I107" s="61">
        <v>10</v>
      </c>
      <c r="J107" s="61">
        <v>283</v>
      </c>
      <c r="K107" s="61"/>
      <c r="L107" s="61">
        <v>1</v>
      </c>
      <c r="M107" s="62">
        <v>2942.8569389999998</v>
      </c>
    </row>
    <row r="108" spans="9:33" ht="12" customHeight="1" x14ac:dyDescent="0.2">
      <c r="I108" s="59">
        <v>10</v>
      </c>
      <c r="J108" s="59">
        <v>286</v>
      </c>
      <c r="K108" s="59"/>
      <c r="L108" s="59">
        <v>1</v>
      </c>
      <c r="M108" s="60">
        <v>3220</v>
      </c>
    </row>
    <row r="109" spans="9:33" ht="12" customHeight="1" x14ac:dyDescent="0.2">
      <c r="I109" s="61">
        <v>10</v>
      </c>
      <c r="J109" s="61">
        <v>291</v>
      </c>
      <c r="K109" s="61"/>
      <c r="L109" s="61">
        <v>1</v>
      </c>
      <c r="M109" s="62">
        <v>3233.8875659999999</v>
      </c>
    </row>
    <row r="110" spans="9:33" ht="12" customHeight="1" x14ac:dyDescent="0.2">
      <c r="I110" s="61">
        <v>11</v>
      </c>
      <c r="J110" s="61">
        <v>141</v>
      </c>
      <c r="K110" s="61"/>
      <c r="L110" s="61">
        <v>1</v>
      </c>
      <c r="M110" s="62">
        <v>194</v>
      </c>
    </row>
    <row r="111" spans="9:33" ht="12" customHeight="1" x14ac:dyDescent="0.2">
      <c r="I111" s="59">
        <v>11</v>
      </c>
      <c r="J111" s="59">
        <v>144</v>
      </c>
      <c r="K111" s="59"/>
      <c r="L111" s="59">
        <v>1</v>
      </c>
      <c r="M111" s="60">
        <v>253</v>
      </c>
    </row>
    <row r="112" spans="9:33" ht="12" customHeight="1" x14ac:dyDescent="0.2">
      <c r="I112" s="61">
        <v>11</v>
      </c>
      <c r="J112" s="61">
        <v>149</v>
      </c>
      <c r="K112" s="61"/>
      <c r="L112" s="61">
        <v>1</v>
      </c>
      <c r="M112" s="62">
        <v>314</v>
      </c>
    </row>
    <row r="113" spans="9:13" ht="12" customHeight="1" x14ac:dyDescent="0.2">
      <c r="I113" s="59">
        <v>11</v>
      </c>
      <c r="J113" s="59">
        <v>180</v>
      </c>
      <c r="K113" s="59"/>
      <c r="L113" s="59">
        <v>1</v>
      </c>
      <c r="M113" s="60">
        <v>553</v>
      </c>
    </row>
    <row r="114" spans="9:13" ht="12" customHeight="1" x14ac:dyDescent="0.2">
      <c r="I114" s="61">
        <v>11</v>
      </c>
      <c r="J114" s="61">
        <v>185</v>
      </c>
      <c r="K114" s="61"/>
      <c r="L114" s="61">
        <v>1</v>
      </c>
      <c r="M114" s="62">
        <v>554.5</v>
      </c>
    </row>
    <row r="115" spans="9:13" ht="12" customHeight="1" x14ac:dyDescent="0.2">
      <c r="I115" s="59">
        <v>11</v>
      </c>
      <c r="J115" s="59">
        <v>190</v>
      </c>
      <c r="K115" s="59"/>
      <c r="L115" s="59">
        <v>2</v>
      </c>
      <c r="M115" s="60">
        <v>650.78696400000001</v>
      </c>
    </row>
    <row r="116" spans="9:13" ht="12" customHeight="1" x14ac:dyDescent="0.2">
      <c r="I116" s="61">
        <v>11</v>
      </c>
      <c r="J116" s="61">
        <v>214</v>
      </c>
      <c r="K116" s="61"/>
      <c r="L116" s="61">
        <v>1</v>
      </c>
      <c r="M116" s="62">
        <v>1210</v>
      </c>
    </row>
    <row r="117" spans="9:13" ht="12" customHeight="1" x14ac:dyDescent="0.2">
      <c r="I117" s="59">
        <v>11</v>
      </c>
      <c r="J117" s="59">
        <v>215</v>
      </c>
      <c r="K117" s="59"/>
      <c r="L117" s="59">
        <v>1</v>
      </c>
      <c r="M117" s="60">
        <v>1210</v>
      </c>
    </row>
    <row r="118" spans="9:13" ht="12" customHeight="1" x14ac:dyDescent="0.2">
      <c r="I118" s="61">
        <v>11</v>
      </c>
      <c r="J118" s="61">
        <v>235</v>
      </c>
      <c r="K118" s="61"/>
      <c r="L118" s="61">
        <v>2</v>
      </c>
      <c r="M118" s="62">
        <v>2138.5</v>
      </c>
    </row>
    <row r="119" spans="9:13" ht="12" customHeight="1" x14ac:dyDescent="0.2">
      <c r="I119" s="59">
        <v>11</v>
      </c>
      <c r="J119" s="59">
        <v>241</v>
      </c>
      <c r="K119" s="59"/>
      <c r="L119" s="59">
        <v>2</v>
      </c>
      <c r="M119" s="60">
        <v>2230</v>
      </c>
    </row>
    <row r="120" spans="9:13" ht="12" customHeight="1" x14ac:dyDescent="0.2">
      <c r="I120" s="61">
        <v>11</v>
      </c>
      <c r="J120" s="61">
        <v>278</v>
      </c>
      <c r="K120" s="61"/>
      <c r="L120" s="61">
        <v>4</v>
      </c>
      <c r="M120" s="62">
        <v>2925.7869639999999</v>
      </c>
    </row>
    <row r="121" spans="9:13" ht="12" customHeight="1" x14ac:dyDescent="0.2">
      <c r="I121" s="61">
        <v>12</v>
      </c>
      <c r="J121" s="61">
        <v>137</v>
      </c>
      <c r="K121" s="61"/>
      <c r="L121" s="61">
        <v>1</v>
      </c>
      <c r="M121" s="62">
        <v>124.5</v>
      </c>
    </row>
    <row r="122" spans="9:13" ht="12" customHeight="1" x14ac:dyDescent="0.2">
      <c r="I122" s="59">
        <v>12</v>
      </c>
      <c r="J122" s="59">
        <v>150</v>
      </c>
      <c r="K122" s="59"/>
      <c r="L122" s="59">
        <v>1</v>
      </c>
      <c r="M122" s="60">
        <v>318.5</v>
      </c>
    </row>
    <row r="123" spans="9:13" ht="12" customHeight="1" x14ac:dyDescent="0.2">
      <c r="I123" s="61">
        <v>12</v>
      </c>
      <c r="J123" s="61">
        <v>156</v>
      </c>
      <c r="K123" s="61"/>
      <c r="L123" s="61">
        <v>1</v>
      </c>
      <c r="M123" s="62">
        <v>383.5</v>
      </c>
    </row>
    <row r="124" spans="9:13" ht="12" customHeight="1" x14ac:dyDescent="0.2">
      <c r="I124" s="59">
        <v>12</v>
      </c>
      <c r="J124" s="59">
        <v>165</v>
      </c>
      <c r="K124" s="59"/>
      <c r="L124" s="59">
        <v>2</v>
      </c>
      <c r="M124" s="60">
        <v>415</v>
      </c>
    </row>
    <row r="125" spans="9:13" ht="12" customHeight="1" x14ac:dyDescent="0.2">
      <c r="I125" s="61">
        <v>12</v>
      </c>
      <c r="J125" s="61">
        <v>173</v>
      </c>
      <c r="K125" s="61"/>
      <c r="L125" s="61">
        <v>1</v>
      </c>
      <c r="M125" s="62">
        <v>518.5</v>
      </c>
    </row>
    <row r="126" spans="9:13" ht="12" customHeight="1" x14ac:dyDescent="0.2">
      <c r="I126" s="59">
        <v>12</v>
      </c>
      <c r="J126" s="59">
        <v>174</v>
      </c>
      <c r="K126" s="59"/>
      <c r="L126" s="59">
        <v>1</v>
      </c>
      <c r="M126" s="60">
        <v>522.5</v>
      </c>
    </row>
    <row r="127" spans="9:13" ht="12" customHeight="1" x14ac:dyDescent="0.2">
      <c r="I127" s="61">
        <v>12</v>
      </c>
      <c r="J127" s="61">
        <v>176</v>
      </c>
      <c r="K127" s="61"/>
      <c r="L127" s="61">
        <v>3</v>
      </c>
      <c r="M127" s="62">
        <v>553</v>
      </c>
    </row>
    <row r="128" spans="9:13" ht="12" customHeight="1" x14ac:dyDescent="0.2">
      <c r="I128" s="59">
        <v>12</v>
      </c>
      <c r="J128" s="59">
        <v>188</v>
      </c>
      <c r="K128" s="59"/>
      <c r="L128" s="59">
        <v>1</v>
      </c>
      <c r="M128" s="60">
        <v>583.5</v>
      </c>
    </row>
    <row r="129" spans="9:13" ht="12" customHeight="1" x14ac:dyDescent="0.2">
      <c r="I129" s="61">
        <v>12</v>
      </c>
      <c r="J129" s="61">
        <v>200</v>
      </c>
      <c r="K129" s="61"/>
      <c r="L129" s="61">
        <v>2</v>
      </c>
      <c r="M129" s="62">
        <v>945</v>
      </c>
    </row>
    <row r="130" spans="9:13" ht="12" customHeight="1" x14ac:dyDescent="0.2">
      <c r="I130" s="59">
        <v>12</v>
      </c>
      <c r="J130" s="59">
        <v>211</v>
      </c>
      <c r="K130" s="59"/>
      <c r="L130" s="59">
        <v>1</v>
      </c>
      <c r="M130" s="60">
        <v>1200</v>
      </c>
    </row>
    <row r="131" spans="9:13" ht="12" customHeight="1" x14ac:dyDescent="0.2">
      <c r="I131" s="61">
        <v>12</v>
      </c>
      <c r="J131" s="61">
        <v>225</v>
      </c>
      <c r="K131" s="61"/>
      <c r="L131" s="61">
        <v>1</v>
      </c>
      <c r="M131" s="62">
        <v>1290</v>
      </c>
    </row>
    <row r="132" spans="9:13" ht="12" customHeight="1" x14ac:dyDescent="0.2">
      <c r="I132" s="59">
        <v>12</v>
      </c>
      <c r="J132" s="59">
        <v>231</v>
      </c>
      <c r="K132" s="59"/>
      <c r="L132" s="59">
        <v>1</v>
      </c>
      <c r="M132" s="60">
        <v>1290</v>
      </c>
    </row>
    <row r="133" spans="9:13" ht="12" customHeight="1" x14ac:dyDescent="0.2">
      <c r="I133" s="61">
        <v>12</v>
      </c>
      <c r="J133" s="61">
        <v>239</v>
      </c>
      <c r="K133" s="61"/>
      <c r="L133" s="61">
        <v>2</v>
      </c>
      <c r="M133" s="62">
        <v>2230</v>
      </c>
    </row>
    <row r="134" spans="9:13" ht="12" customHeight="1" x14ac:dyDescent="0.2">
      <c r="I134" s="59">
        <v>12</v>
      </c>
      <c r="J134" s="59">
        <v>287</v>
      </c>
      <c r="K134" s="59"/>
      <c r="L134" s="59">
        <v>10</v>
      </c>
      <c r="M134" s="60">
        <v>3220</v>
      </c>
    </row>
    <row r="135" spans="9:13" ht="12" customHeight="1" x14ac:dyDescent="0.2">
      <c r="I135" s="61">
        <v>12</v>
      </c>
      <c r="J135" s="61">
        <v>302</v>
      </c>
      <c r="K135" s="61"/>
      <c r="L135" s="61">
        <v>2</v>
      </c>
      <c r="M135" s="62">
        <v>4560</v>
      </c>
    </row>
    <row r="136" spans="9:13" ht="12" customHeight="1" x14ac:dyDescent="0.2">
      <c r="I136" s="61">
        <v>13</v>
      </c>
      <c r="J136" s="61">
        <v>147</v>
      </c>
      <c r="K136" s="61"/>
      <c r="L136" s="61">
        <v>1</v>
      </c>
      <c r="M136" s="62">
        <v>298.5</v>
      </c>
    </row>
    <row r="137" spans="9:13" ht="12" customHeight="1" x14ac:dyDescent="0.2">
      <c r="I137" s="59">
        <v>13</v>
      </c>
      <c r="J137" s="59">
        <v>171</v>
      </c>
      <c r="K137" s="59"/>
      <c r="L137" s="59">
        <v>1</v>
      </c>
      <c r="M137" s="60">
        <v>509</v>
      </c>
    </row>
    <row r="138" spans="9:13" ht="12" customHeight="1" x14ac:dyDescent="0.2">
      <c r="I138" s="61">
        <v>13</v>
      </c>
      <c r="J138" s="61">
        <v>178</v>
      </c>
      <c r="K138" s="61"/>
      <c r="L138" s="61">
        <v>2</v>
      </c>
      <c r="M138" s="62">
        <v>553</v>
      </c>
    </row>
    <row r="139" spans="9:13" ht="12" customHeight="1" x14ac:dyDescent="0.2">
      <c r="I139" s="59">
        <v>13</v>
      </c>
      <c r="J139" s="59">
        <v>236</v>
      </c>
      <c r="K139" s="59"/>
      <c r="L139" s="59">
        <v>2</v>
      </c>
      <c r="M139" s="60">
        <v>2138.5</v>
      </c>
    </row>
    <row r="140" spans="9:13" ht="12" customHeight="1" x14ac:dyDescent="0.2">
      <c r="I140" s="61">
        <v>13</v>
      </c>
      <c r="J140" s="61">
        <v>279</v>
      </c>
      <c r="K140" s="61"/>
      <c r="L140" s="61">
        <v>5</v>
      </c>
      <c r="M140" s="62">
        <v>2925.7869639999999</v>
      </c>
    </row>
    <row r="141" spans="9:13" ht="12" customHeight="1" x14ac:dyDescent="0.2">
      <c r="I141" s="61">
        <v>14</v>
      </c>
      <c r="J141" s="61">
        <v>177</v>
      </c>
      <c r="K141" s="61"/>
      <c r="L141" s="61">
        <v>2</v>
      </c>
      <c r="M141" s="62">
        <v>553</v>
      </c>
    </row>
    <row r="142" spans="9:13" ht="12" customHeight="1" x14ac:dyDescent="0.2">
      <c r="I142" s="59">
        <v>14</v>
      </c>
      <c r="J142" s="59">
        <v>179</v>
      </c>
      <c r="K142" s="59"/>
      <c r="L142" s="59">
        <v>1</v>
      </c>
      <c r="M142" s="60">
        <v>553</v>
      </c>
    </row>
    <row r="143" spans="9:13" ht="12" customHeight="1" x14ac:dyDescent="0.2">
      <c r="I143" s="61">
        <v>14</v>
      </c>
      <c r="J143" s="61">
        <v>197</v>
      </c>
      <c r="K143" s="61"/>
      <c r="L143" s="61">
        <v>1</v>
      </c>
      <c r="M143" s="62">
        <v>774.5</v>
      </c>
    </row>
    <row r="144" spans="9:13" ht="12" customHeight="1" x14ac:dyDescent="0.2">
      <c r="I144" s="59">
        <v>14</v>
      </c>
      <c r="J144" s="59">
        <v>259</v>
      </c>
      <c r="K144" s="59"/>
      <c r="L144" s="59">
        <v>1</v>
      </c>
      <c r="M144" s="60">
        <v>2688.8438639999999</v>
      </c>
    </row>
    <row r="145" spans="9:13" ht="12" customHeight="1" x14ac:dyDescent="0.2">
      <c r="I145" s="61">
        <v>14</v>
      </c>
      <c r="J145" s="61">
        <v>263</v>
      </c>
      <c r="K145" s="61"/>
      <c r="L145" s="61">
        <v>1</v>
      </c>
      <c r="M145" s="62">
        <v>2706.6863490000001</v>
      </c>
    </row>
    <row r="146" spans="9:13" ht="12" customHeight="1" x14ac:dyDescent="0.2">
      <c r="I146" s="59">
        <v>14</v>
      </c>
      <c r="J146" s="59">
        <v>264</v>
      </c>
      <c r="K146" s="59"/>
      <c r="L146" s="59">
        <v>1</v>
      </c>
      <c r="M146" s="60">
        <v>2733.763864</v>
      </c>
    </row>
    <row r="147" spans="9:13" ht="12" customHeight="1" x14ac:dyDescent="0.2">
      <c r="I147" s="61">
        <v>14</v>
      </c>
      <c r="J147" s="61">
        <v>269</v>
      </c>
      <c r="K147" s="61"/>
      <c r="L147" s="61">
        <v>1</v>
      </c>
      <c r="M147" s="62">
        <v>2781.6038640000002</v>
      </c>
    </row>
    <row r="148" spans="9:13" ht="12" customHeight="1" x14ac:dyDescent="0.2">
      <c r="I148" s="59">
        <v>14</v>
      </c>
      <c r="J148" s="59">
        <v>275</v>
      </c>
      <c r="K148" s="59"/>
      <c r="L148" s="59">
        <v>1</v>
      </c>
      <c r="M148" s="60">
        <v>2829.4438639999998</v>
      </c>
    </row>
    <row r="149" spans="9:13" ht="12" customHeight="1" x14ac:dyDescent="0.2">
      <c r="I149" s="61">
        <v>14</v>
      </c>
      <c r="J149" s="61">
        <v>276</v>
      </c>
      <c r="K149" s="61"/>
      <c r="L149" s="61">
        <v>1</v>
      </c>
      <c r="M149" s="62">
        <v>2877.283864</v>
      </c>
    </row>
    <row r="150" spans="9:13" ht="12" customHeight="1" x14ac:dyDescent="0.2">
      <c r="I150" s="59">
        <v>14</v>
      </c>
      <c r="J150" s="59">
        <v>281</v>
      </c>
      <c r="K150" s="59"/>
      <c r="L150" s="59">
        <v>1</v>
      </c>
      <c r="M150" s="60">
        <v>2939.243864</v>
      </c>
    </row>
    <row r="151" spans="9:13" ht="12" customHeight="1" x14ac:dyDescent="0.2">
      <c r="I151" s="61">
        <v>14</v>
      </c>
      <c r="J151" s="61">
        <v>282</v>
      </c>
      <c r="K151" s="61"/>
      <c r="L151" s="61">
        <v>1</v>
      </c>
      <c r="M151" s="62">
        <v>2942.8438639999999</v>
      </c>
    </row>
    <row r="152" spans="9:13" ht="12" customHeight="1" x14ac:dyDescent="0.2">
      <c r="I152" s="59">
        <v>14</v>
      </c>
      <c r="J152" s="59">
        <v>285</v>
      </c>
      <c r="K152" s="59"/>
      <c r="L152" s="59">
        <v>1</v>
      </c>
      <c r="M152" s="60">
        <v>3220</v>
      </c>
    </row>
    <row r="153" spans="9:13" ht="12" customHeight="1" x14ac:dyDescent="0.2">
      <c r="I153" s="61">
        <v>14</v>
      </c>
      <c r="J153" s="61">
        <v>292</v>
      </c>
      <c r="K153" s="61"/>
      <c r="L153" s="61">
        <v>1</v>
      </c>
      <c r="M153" s="62">
        <v>3233.8875659999999</v>
      </c>
    </row>
    <row r="154" spans="9:13" ht="12" customHeight="1" x14ac:dyDescent="0.2">
      <c r="I154" s="61">
        <v>15</v>
      </c>
      <c r="J154" s="61">
        <v>161</v>
      </c>
      <c r="K154" s="61"/>
      <c r="L154" s="61">
        <v>2</v>
      </c>
      <c r="M154" s="62">
        <v>410.773889</v>
      </c>
    </row>
    <row r="155" spans="9:13" ht="12" customHeight="1" x14ac:dyDescent="0.2">
      <c r="I155" s="59">
        <v>15</v>
      </c>
      <c r="J155" s="59">
        <v>163</v>
      </c>
      <c r="K155" s="59"/>
      <c r="L155" s="59">
        <v>4</v>
      </c>
      <c r="M155" s="60">
        <v>410.773889</v>
      </c>
    </row>
    <row r="156" spans="9:13" ht="12" customHeight="1" x14ac:dyDescent="0.2">
      <c r="I156" s="61">
        <v>15</v>
      </c>
      <c r="J156" s="61">
        <v>193</v>
      </c>
      <c r="K156" s="61"/>
      <c r="L156" s="61">
        <v>1</v>
      </c>
      <c r="M156" s="62">
        <v>700</v>
      </c>
    </row>
    <row r="157" spans="9:13" ht="12" customHeight="1" x14ac:dyDescent="0.2">
      <c r="I157" s="59">
        <v>15</v>
      </c>
      <c r="J157" s="59">
        <v>199</v>
      </c>
      <c r="K157" s="59"/>
      <c r="L157" s="59">
        <v>2</v>
      </c>
      <c r="M157" s="60">
        <v>790</v>
      </c>
    </row>
    <row r="158" spans="9:13" ht="12" customHeight="1" x14ac:dyDescent="0.2">
      <c r="I158" s="61">
        <v>15</v>
      </c>
      <c r="J158" s="61">
        <v>206</v>
      </c>
      <c r="K158" s="61"/>
      <c r="L158" s="61">
        <v>2</v>
      </c>
      <c r="M158" s="62">
        <v>1065</v>
      </c>
    </row>
    <row r="159" spans="9:13" ht="12" customHeight="1" x14ac:dyDescent="0.2">
      <c r="I159" s="59">
        <v>15</v>
      </c>
      <c r="J159" s="59">
        <v>207</v>
      </c>
      <c r="K159" s="59"/>
      <c r="L159" s="59">
        <v>1</v>
      </c>
      <c r="M159" s="60">
        <v>1170</v>
      </c>
    </row>
    <row r="160" spans="9:13" ht="12" customHeight="1" x14ac:dyDescent="0.2">
      <c r="I160" s="61">
        <v>15</v>
      </c>
      <c r="J160" s="61">
        <v>242</v>
      </c>
      <c r="K160" s="61"/>
      <c r="L160" s="61">
        <v>4</v>
      </c>
      <c r="M160" s="62">
        <v>2230</v>
      </c>
    </row>
    <row r="161" spans="9:13" ht="12" customHeight="1" x14ac:dyDescent="0.2">
      <c r="I161" s="59">
        <v>15</v>
      </c>
      <c r="J161" s="59">
        <v>256</v>
      </c>
      <c r="K161" s="59"/>
      <c r="L161" s="59">
        <v>7</v>
      </c>
      <c r="M161" s="60">
        <v>2685.7738890000001</v>
      </c>
    </row>
    <row r="162" spans="9:13" ht="12" customHeight="1" x14ac:dyDescent="0.2">
      <c r="I162" s="61">
        <v>15</v>
      </c>
      <c r="J162" s="61">
        <v>295</v>
      </c>
      <c r="K162" s="61"/>
      <c r="L162" s="61">
        <v>2</v>
      </c>
      <c r="M162" s="62">
        <v>3505</v>
      </c>
    </row>
    <row r="163" spans="9:13" ht="12" customHeight="1" x14ac:dyDescent="0.2">
      <c r="I163" s="61">
        <v>16</v>
      </c>
      <c r="J163" s="61">
        <v>162</v>
      </c>
      <c r="K163" s="61"/>
      <c r="L163" s="61">
        <v>3</v>
      </c>
      <c r="M163" s="62">
        <v>410.773889</v>
      </c>
    </row>
    <row r="164" spans="9:13" ht="12" customHeight="1" x14ac:dyDescent="0.2">
      <c r="I164" s="59">
        <v>16</v>
      </c>
      <c r="J164" s="59">
        <v>192</v>
      </c>
      <c r="K164" s="59"/>
      <c r="L164" s="59">
        <v>2</v>
      </c>
      <c r="M164" s="60">
        <v>700</v>
      </c>
    </row>
    <row r="165" spans="9:13" ht="12" customHeight="1" x14ac:dyDescent="0.2">
      <c r="I165" s="61">
        <v>16</v>
      </c>
      <c r="J165" s="61">
        <v>198</v>
      </c>
      <c r="K165" s="61"/>
      <c r="L165" s="61">
        <v>4</v>
      </c>
      <c r="M165" s="62">
        <v>790</v>
      </c>
    </row>
    <row r="166" spans="9:13" ht="12" customHeight="1" x14ac:dyDescent="0.2">
      <c r="I166" s="59">
        <v>16</v>
      </c>
      <c r="J166" s="59">
        <v>205</v>
      </c>
      <c r="K166" s="59"/>
      <c r="L166" s="59">
        <v>3</v>
      </c>
      <c r="M166" s="60">
        <v>1065</v>
      </c>
    </row>
    <row r="167" spans="9:13" ht="12" customHeight="1" x14ac:dyDescent="0.2">
      <c r="I167" s="61">
        <v>16</v>
      </c>
      <c r="J167" s="61">
        <v>238</v>
      </c>
      <c r="K167" s="61"/>
      <c r="L167" s="61">
        <v>4</v>
      </c>
      <c r="M167" s="62">
        <v>2230</v>
      </c>
    </row>
    <row r="168" spans="9:13" ht="12" customHeight="1" x14ac:dyDescent="0.2">
      <c r="I168" s="59">
        <v>16</v>
      </c>
      <c r="J168" s="59">
        <v>255</v>
      </c>
      <c r="K168" s="59"/>
      <c r="L168" s="59">
        <v>9</v>
      </c>
      <c r="M168" s="60">
        <v>2685.7738890000001</v>
      </c>
    </row>
    <row r="169" spans="9:13" ht="12" customHeight="1" x14ac:dyDescent="0.2">
      <c r="I169" s="61">
        <v>16</v>
      </c>
      <c r="J169" s="61">
        <v>301</v>
      </c>
      <c r="K169" s="61"/>
      <c r="L169" s="61">
        <v>2</v>
      </c>
      <c r="M169" s="62">
        <v>4424</v>
      </c>
    </row>
    <row r="170" spans="9:13" ht="12" customHeight="1" x14ac:dyDescent="0.2">
      <c r="I170" s="61">
        <v>17</v>
      </c>
      <c r="J170" s="61">
        <v>160</v>
      </c>
      <c r="K170" s="61"/>
      <c r="L170" s="61">
        <v>4</v>
      </c>
      <c r="M170" s="62">
        <v>410.773889</v>
      </c>
    </row>
    <row r="171" spans="9:13" ht="12" customHeight="1" x14ac:dyDescent="0.2">
      <c r="I171" s="59">
        <v>17</v>
      </c>
      <c r="J171" s="59">
        <v>208</v>
      </c>
      <c r="K171" s="59"/>
      <c r="L171" s="59">
        <v>2</v>
      </c>
      <c r="M171" s="60">
        <v>1170</v>
      </c>
    </row>
    <row r="172" spans="9:13" ht="12" customHeight="1" x14ac:dyDescent="0.2">
      <c r="I172" s="61">
        <v>17</v>
      </c>
      <c r="J172" s="61">
        <v>240</v>
      </c>
      <c r="K172" s="61"/>
      <c r="L172" s="61">
        <v>2</v>
      </c>
      <c r="M172" s="62">
        <v>2230</v>
      </c>
    </row>
    <row r="173" spans="9:13" ht="12" customHeight="1" x14ac:dyDescent="0.2">
      <c r="I173" s="59">
        <v>17</v>
      </c>
      <c r="J173" s="59">
        <v>254</v>
      </c>
      <c r="K173" s="59"/>
      <c r="L173" s="59">
        <v>11</v>
      </c>
      <c r="M173" s="60">
        <v>2685.7738890000001</v>
      </c>
    </row>
    <row r="174" spans="9:13" ht="12" customHeight="1" x14ac:dyDescent="0.2">
      <c r="I174" s="61">
        <v>17</v>
      </c>
      <c r="J174" s="61">
        <v>303</v>
      </c>
      <c r="K174" s="61"/>
      <c r="L174" s="61">
        <v>2</v>
      </c>
      <c r="M174" s="62">
        <v>5291</v>
      </c>
    </row>
    <row r="175" spans="9:13" ht="12" customHeight="1" x14ac:dyDescent="0.2">
      <c r="I175" s="61" t="s">
        <v>4</v>
      </c>
      <c r="J175" s="61">
        <v>70</v>
      </c>
      <c r="K175" s="61"/>
      <c r="L175" s="61">
        <v>1</v>
      </c>
      <c r="M175" s="62">
        <v>1252.577646</v>
      </c>
    </row>
    <row r="176" spans="9:13" ht="12" customHeight="1" x14ac:dyDescent="0.2">
      <c r="I176" s="59" t="s">
        <v>4</v>
      </c>
      <c r="J176" s="59">
        <v>71</v>
      </c>
      <c r="K176" s="59"/>
      <c r="L176" s="59">
        <v>1</v>
      </c>
      <c r="M176" s="60">
        <v>1252.577646</v>
      </c>
    </row>
    <row r="177" spans="9:13" ht="12" customHeight="1" x14ac:dyDescent="0.2">
      <c r="I177" s="61" t="s">
        <v>4</v>
      </c>
      <c r="J177" s="61">
        <v>77</v>
      </c>
      <c r="K177" s="61"/>
      <c r="L177" s="61">
        <v>2</v>
      </c>
      <c r="M177" s="62">
        <v>2138.5</v>
      </c>
    </row>
    <row r="178" spans="9:13" ht="12" customHeight="1" x14ac:dyDescent="0.2">
      <c r="I178" s="59" t="s">
        <v>4</v>
      </c>
      <c r="J178" s="59">
        <v>113</v>
      </c>
      <c r="K178" s="59"/>
      <c r="L178" s="59">
        <v>2</v>
      </c>
      <c r="M178" s="60">
        <v>3233.8875659999999</v>
      </c>
    </row>
    <row r="179" spans="9:13" ht="12" customHeight="1" x14ac:dyDescent="0.2">
      <c r="I179" s="61" t="s">
        <v>4</v>
      </c>
      <c r="J179" s="61">
        <v>114</v>
      </c>
      <c r="K179" s="61"/>
      <c r="L179" s="61">
        <v>1</v>
      </c>
      <c r="M179" s="62">
        <v>3369</v>
      </c>
    </row>
    <row r="180" spans="9:13" ht="12" customHeight="1" x14ac:dyDescent="0.2">
      <c r="I180" s="59" t="s">
        <v>4</v>
      </c>
      <c r="J180" s="59">
        <v>119</v>
      </c>
      <c r="K180" s="59"/>
      <c r="L180" s="59">
        <v>1</v>
      </c>
      <c r="M180" s="60">
        <v>3768</v>
      </c>
    </row>
    <row r="181" spans="9:13" ht="12" customHeight="1" x14ac:dyDescent="0.2">
      <c r="I181" s="61" t="s">
        <v>4</v>
      </c>
      <c r="J181" s="61">
        <v>120</v>
      </c>
      <c r="K181" s="61"/>
      <c r="L181" s="61">
        <v>1</v>
      </c>
      <c r="M181" s="62">
        <v>4000</v>
      </c>
    </row>
    <row r="182" spans="9:13" ht="12" customHeight="1" x14ac:dyDescent="0.2">
      <c r="I182" s="59" t="s">
        <v>4</v>
      </c>
      <c r="J182" s="59">
        <v>121</v>
      </c>
      <c r="K182" s="59"/>
      <c r="L182" s="59">
        <v>1</v>
      </c>
      <c r="M182" s="60">
        <v>4250</v>
      </c>
    </row>
    <row r="183" spans="9:13" ht="12" customHeight="1" x14ac:dyDescent="0.2">
      <c r="I183" s="61" t="s">
        <v>4</v>
      </c>
      <c r="J183" s="61">
        <v>124</v>
      </c>
      <c r="K183" s="61"/>
      <c r="L183" s="61">
        <v>1</v>
      </c>
      <c r="M183" s="62">
        <v>4560</v>
      </c>
    </row>
    <row r="184" spans="9:13" ht="12" customHeight="1" x14ac:dyDescent="0.2">
      <c r="I184" s="59" t="s">
        <v>4</v>
      </c>
      <c r="J184" s="59">
        <v>125</v>
      </c>
      <c r="K184" s="59"/>
      <c r="L184" s="59">
        <v>1</v>
      </c>
      <c r="M184" s="60">
        <v>5268</v>
      </c>
    </row>
    <row r="185" spans="9:13" ht="12" customHeight="1" x14ac:dyDescent="0.2">
      <c r="I185" s="61" t="s">
        <v>4</v>
      </c>
      <c r="J185" s="61">
        <v>127</v>
      </c>
      <c r="K185" s="61"/>
      <c r="L185" s="61">
        <v>1</v>
      </c>
      <c r="M185" s="62">
        <v>5292</v>
      </c>
    </row>
    <row r="186" spans="9:13" ht="12" customHeight="1" x14ac:dyDescent="0.2">
      <c r="I186" s="59" t="s">
        <v>4</v>
      </c>
      <c r="J186" s="59">
        <v>129</v>
      </c>
      <c r="K186" s="59"/>
      <c r="L186" s="59">
        <v>1</v>
      </c>
      <c r="M186" s="60">
        <v>5452</v>
      </c>
    </row>
    <row r="187" spans="9:13" ht="12" customHeight="1" x14ac:dyDescent="0.2">
      <c r="I187" s="61" t="s">
        <v>4</v>
      </c>
      <c r="J187" s="61">
        <v>130</v>
      </c>
      <c r="K187" s="61"/>
      <c r="L187" s="61">
        <v>1</v>
      </c>
      <c r="M187" s="62">
        <v>5818.5</v>
      </c>
    </row>
  </sheetData>
  <mergeCells count="2">
    <mergeCell ref="M1:N2"/>
    <mergeCell ref="J1:K2"/>
  </mergeCells>
  <phoneticPr fontId="10" type="noConversion"/>
  <conditionalFormatting sqref="AN10:AO17">
    <cfRule type="expression" dxfId="5" priority="1">
      <formula>AN10&lt;&gt;AK10</formula>
    </cfRule>
  </conditionalFormatting>
  <pageMargins left="0.7" right="0.7" top="0.75" bottom="0.75" header="0.5" footer="0.5"/>
  <headerFooter>
    <oddHeader>&amp;L&amp;D&amp;R&amp;F</oddHeader>
    <oddFooter>&amp;R&amp;P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_Synthese">
                <anchor moveWithCells="1" sizeWithCells="1">
                  <from>
                    <xdr:col>11</xdr:col>
                    <xdr:colOff>295275</xdr:colOff>
                    <xdr:row>11</xdr:row>
                    <xdr:rowOff>123825</xdr:rowOff>
                  </from>
                  <to>
                    <xdr:col>13</xdr:col>
                    <xdr:colOff>361950</xdr:colOff>
                    <xdr:row>14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K241"/>
  <sheetViews>
    <sheetView topLeftCell="A212" zoomScale="70" zoomScaleNormal="70" workbookViewId="0">
      <selection activeCell="A242" sqref="A242:XFD1048576"/>
    </sheetView>
  </sheetViews>
  <sheetFormatPr defaultRowHeight="12.75" x14ac:dyDescent="0.2"/>
  <cols>
    <col min="1" max="1" width="23.140625" bestFit="1" customWidth="1"/>
    <col min="2" max="2" width="13" bestFit="1" customWidth="1"/>
    <col min="3" max="3" width="10.140625" bestFit="1" customWidth="1"/>
    <col min="4" max="4" width="14.42578125" bestFit="1" customWidth="1"/>
    <col min="5" max="5" width="14.85546875" bestFit="1" customWidth="1"/>
    <col min="6" max="6" width="13.28515625" bestFit="1" customWidth="1"/>
    <col min="7" max="7" width="16.28515625" style="58" bestFit="1" customWidth="1"/>
    <col min="8" max="8" width="11.140625" style="58" bestFit="1" customWidth="1"/>
    <col min="9" max="16384" width="9.140625" style="58"/>
  </cols>
  <sheetData>
    <row r="1" spans="1:11" s="52" customFormat="1" ht="17.25" customHeight="1" x14ac:dyDescent="0.25">
      <c r="A1" s="50" t="s">
        <v>7</v>
      </c>
      <c r="B1" s="51" t="s">
        <v>24</v>
      </c>
      <c r="C1" s="68"/>
      <c r="E1" s="53"/>
      <c r="F1" s="53">
        <f>SUM(C10:C241)</f>
        <v>704658.1</v>
      </c>
      <c r="G1" s="53"/>
      <c r="H1" s="53"/>
      <c r="I1" s="53"/>
      <c r="J1" s="53"/>
      <c r="K1" s="53"/>
    </row>
    <row r="2" spans="1:11" s="52" customFormat="1" ht="17.25" customHeight="1" x14ac:dyDescent="0.25">
      <c r="A2" s="54" t="s">
        <v>23</v>
      </c>
      <c r="B2" s="55">
        <f ca="1">TODAY()</f>
        <v>45546</v>
      </c>
      <c r="C2" s="140" t="s">
        <v>9</v>
      </c>
      <c r="D2" s="140"/>
      <c r="E2" s="140"/>
      <c r="F2" s="140"/>
      <c r="G2" s="53"/>
      <c r="H2" s="53"/>
      <c r="I2" s="53"/>
      <c r="J2" s="53"/>
      <c r="K2" s="53"/>
    </row>
    <row r="3" spans="1:11" s="52" customFormat="1" ht="17.25" customHeight="1" x14ac:dyDescent="0.25">
      <c r="C3" s="140"/>
      <c r="D3" s="140"/>
      <c r="E3" s="140"/>
      <c r="F3" s="140"/>
    </row>
    <row r="4" spans="1:11" s="52" customFormat="1" ht="17.25" customHeight="1" x14ac:dyDescent="0.25">
      <c r="A4" s="54" t="s">
        <v>26</v>
      </c>
      <c r="C4" s="69"/>
      <c r="E4" s="56"/>
      <c r="F4" s="56">
        <f>SUMPRODUCT(B5:B6,C5:C6)</f>
        <v>0</v>
      </c>
    </row>
    <row r="5" spans="1:11" s="52" customFormat="1" ht="17.25" customHeight="1" x14ac:dyDescent="0.25">
      <c r="B5" s="57">
        <f>COUNTIF($C$10:C$1048576, C5)</f>
        <v>0</v>
      </c>
      <c r="C5" s="70">
        <v>6000</v>
      </c>
      <c r="E5" s="56"/>
      <c r="F5" s="56">
        <f>+F1-F4</f>
        <v>704658.1</v>
      </c>
    </row>
    <row r="6" spans="1:11" s="52" customFormat="1" ht="17.25" customHeight="1" x14ac:dyDescent="0.25">
      <c r="B6" s="57">
        <f>COUNTIF($C$10:C$1048576, C6)</f>
        <v>0</v>
      </c>
      <c r="C6" s="70">
        <v>5100</v>
      </c>
      <c r="D6" s="56"/>
      <c r="E6" s="56"/>
      <c r="F6" s="56">
        <f>SUM(Listings!F2:F90)</f>
        <v>0</v>
      </c>
    </row>
    <row r="7" spans="1:11" s="52" customFormat="1" ht="17.25" customHeight="1" x14ac:dyDescent="0.25">
      <c r="C7" s="71"/>
      <c r="D7" s="56"/>
      <c r="E7" s="56"/>
      <c r="F7" s="56"/>
    </row>
    <row r="8" spans="1:11" s="52" customFormat="1" ht="17.25" customHeight="1" x14ac:dyDescent="0.25">
      <c r="C8" s="68"/>
    </row>
    <row r="9" spans="1:11" ht="33" x14ac:dyDescent="0.2">
      <c r="A9" s="44" t="s">
        <v>0</v>
      </c>
      <c r="B9" s="44" t="s">
        <v>2</v>
      </c>
      <c r="C9" s="72" t="s">
        <v>3</v>
      </c>
      <c r="D9" s="44" t="s">
        <v>12</v>
      </c>
      <c r="E9" s="44" t="s">
        <v>32</v>
      </c>
      <c r="F9" s="44" t="s">
        <v>13</v>
      </c>
    </row>
    <row r="10" spans="1:11" x14ac:dyDescent="0.2">
      <c r="A10" s="64">
        <v>1</v>
      </c>
      <c r="B10" s="64">
        <v>1</v>
      </c>
      <c r="C10" s="64">
        <v>5983</v>
      </c>
      <c r="D10" s="65">
        <f>$C$10-SUM($C$11:$C$12)</f>
        <v>367</v>
      </c>
      <c r="E10" s="64" t="str">
        <f>IF(D10&gt;=L_recycl,"oui","non")</f>
        <v>non</v>
      </c>
      <c r="F10" s="66">
        <f>D10/C10</f>
        <v>6.134046464984122E-2</v>
      </c>
    </row>
    <row r="11" spans="1:11" x14ac:dyDescent="0.2">
      <c r="A11">
        <v>1</v>
      </c>
      <c r="B11">
        <v>1</v>
      </c>
      <c r="C11">
        <v>5603</v>
      </c>
    </row>
    <row r="12" spans="1:11" x14ac:dyDescent="0.2">
      <c r="A12">
        <v>1</v>
      </c>
      <c r="B12">
        <v>1</v>
      </c>
      <c r="C12">
        <v>13</v>
      </c>
    </row>
    <row r="13" spans="1:11" x14ac:dyDescent="0.2">
      <c r="A13" s="64">
        <v>2</v>
      </c>
      <c r="B13" s="64">
        <v>1</v>
      </c>
      <c r="C13" s="64">
        <v>5083</v>
      </c>
      <c r="D13" s="65">
        <f>$C$13-SUM($C$14:$C$17)</f>
        <v>33</v>
      </c>
      <c r="E13" s="64" t="str">
        <f>IF(D13&gt;=L_recycl,"oui","non")</f>
        <v>non</v>
      </c>
      <c r="F13" s="66">
        <f>D13/C13</f>
        <v>6.4922289986228607E-3</v>
      </c>
    </row>
    <row r="14" spans="1:11" x14ac:dyDescent="0.2">
      <c r="A14">
        <v>2</v>
      </c>
      <c r="B14">
        <v>1</v>
      </c>
      <c r="C14">
        <v>3519</v>
      </c>
    </row>
    <row r="15" spans="1:11" x14ac:dyDescent="0.2">
      <c r="A15">
        <v>2</v>
      </c>
      <c r="B15">
        <v>1</v>
      </c>
      <c r="C15">
        <v>1293</v>
      </c>
    </row>
    <row r="16" spans="1:11" x14ac:dyDescent="0.2">
      <c r="A16">
        <v>2</v>
      </c>
      <c r="B16">
        <v>1</v>
      </c>
      <c r="C16">
        <v>182.5</v>
      </c>
    </row>
    <row r="17" spans="1:6" x14ac:dyDescent="0.2">
      <c r="A17">
        <v>2</v>
      </c>
      <c r="B17">
        <v>1</v>
      </c>
      <c r="C17">
        <v>55.5</v>
      </c>
    </row>
    <row r="18" spans="1:6" x14ac:dyDescent="0.2">
      <c r="A18">
        <v>2</v>
      </c>
      <c r="B18">
        <v>1</v>
      </c>
      <c r="C18">
        <v>5083</v>
      </c>
      <c r="D18" s="67">
        <f>$C$18-SUM($C$19:$C$21)</f>
        <v>227.5</v>
      </c>
      <c r="E18" t="str">
        <f>IF(D18&gt;=L_recycl,"oui","non")</f>
        <v>non</v>
      </c>
      <c r="F18" s="63">
        <f>D18/C18</f>
        <v>4.4757033248081841E-2</v>
      </c>
    </row>
    <row r="19" spans="1:6" x14ac:dyDescent="0.2">
      <c r="A19">
        <v>2</v>
      </c>
      <c r="B19">
        <v>1</v>
      </c>
      <c r="C19">
        <v>3519</v>
      </c>
    </row>
    <row r="20" spans="1:6" x14ac:dyDescent="0.2">
      <c r="A20">
        <v>2</v>
      </c>
      <c r="B20">
        <v>1</v>
      </c>
      <c r="C20">
        <v>1293</v>
      </c>
    </row>
    <row r="21" spans="1:6" x14ac:dyDescent="0.2">
      <c r="A21">
        <v>2</v>
      </c>
      <c r="B21">
        <v>1</v>
      </c>
      <c r="C21">
        <v>43.5</v>
      </c>
    </row>
    <row r="22" spans="1:6" x14ac:dyDescent="0.2">
      <c r="A22">
        <v>2</v>
      </c>
      <c r="B22">
        <v>1</v>
      </c>
      <c r="C22">
        <v>5083</v>
      </c>
      <c r="D22" s="67">
        <f>$C$22-SUM($C$23:$C$25)</f>
        <v>101</v>
      </c>
      <c r="E22" t="str">
        <f>IF(D22&gt;=L_recycl,"oui","non")</f>
        <v>non</v>
      </c>
      <c r="F22" s="63">
        <f>D22/C22</f>
        <v>1.9870155420027544E-2</v>
      </c>
    </row>
    <row r="23" spans="1:6" x14ac:dyDescent="0.2">
      <c r="A23">
        <v>2</v>
      </c>
      <c r="B23">
        <v>1</v>
      </c>
      <c r="C23">
        <v>3223</v>
      </c>
    </row>
    <row r="24" spans="1:6" x14ac:dyDescent="0.2">
      <c r="A24">
        <v>2</v>
      </c>
      <c r="B24">
        <v>1</v>
      </c>
      <c r="C24">
        <v>1203</v>
      </c>
    </row>
    <row r="25" spans="1:6" x14ac:dyDescent="0.2">
      <c r="A25">
        <v>2</v>
      </c>
      <c r="B25">
        <v>1</v>
      </c>
      <c r="C25">
        <v>556</v>
      </c>
    </row>
    <row r="26" spans="1:6" x14ac:dyDescent="0.2">
      <c r="A26">
        <v>2</v>
      </c>
      <c r="B26">
        <v>1</v>
      </c>
      <c r="C26">
        <v>5083</v>
      </c>
      <c r="D26" s="67">
        <f>$C$26-SUM($C$27:$C$29)</f>
        <v>144</v>
      </c>
      <c r="E26" t="str">
        <f>IF(D26&gt;=L_recycl,"oui","non")</f>
        <v>non</v>
      </c>
      <c r="F26" s="63">
        <f>D26/C26</f>
        <v>2.832972653944521E-2</v>
      </c>
    </row>
    <row r="27" spans="1:6" x14ac:dyDescent="0.2">
      <c r="A27">
        <v>2</v>
      </c>
      <c r="B27">
        <v>1</v>
      </c>
      <c r="C27">
        <v>3223</v>
      </c>
    </row>
    <row r="28" spans="1:6" x14ac:dyDescent="0.2">
      <c r="A28">
        <v>2</v>
      </c>
      <c r="B28">
        <v>1</v>
      </c>
      <c r="C28">
        <v>968</v>
      </c>
    </row>
    <row r="29" spans="1:6" x14ac:dyDescent="0.2">
      <c r="A29">
        <v>2</v>
      </c>
      <c r="B29">
        <v>1</v>
      </c>
      <c r="C29">
        <v>748</v>
      </c>
    </row>
    <row r="30" spans="1:6" x14ac:dyDescent="0.2">
      <c r="A30">
        <v>2</v>
      </c>
      <c r="B30">
        <v>1</v>
      </c>
      <c r="C30">
        <v>5083</v>
      </c>
      <c r="D30" s="67">
        <f>$C$30-SUM($C$31:$C$33)</f>
        <v>144</v>
      </c>
      <c r="E30" t="str">
        <f>IF(D30&gt;=L_recycl,"oui","non")</f>
        <v>non</v>
      </c>
      <c r="F30" s="63">
        <f>D30/C30</f>
        <v>2.832972653944521E-2</v>
      </c>
    </row>
    <row r="31" spans="1:6" x14ac:dyDescent="0.2">
      <c r="A31">
        <v>2</v>
      </c>
      <c r="B31">
        <v>1</v>
      </c>
      <c r="C31">
        <v>3223</v>
      </c>
    </row>
    <row r="32" spans="1:6" x14ac:dyDescent="0.2">
      <c r="A32">
        <v>2</v>
      </c>
      <c r="B32">
        <v>1</v>
      </c>
      <c r="C32">
        <v>968</v>
      </c>
    </row>
    <row r="33" spans="1:6" x14ac:dyDescent="0.2">
      <c r="A33">
        <v>2</v>
      </c>
      <c r="B33">
        <v>1</v>
      </c>
      <c r="C33">
        <v>748</v>
      </c>
    </row>
    <row r="34" spans="1:6" x14ac:dyDescent="0.2">
      <c r="A34">
        <v>2</v>
      </c>
      <c r="B34">
        <v>1</v>
      </c>
      <c r="C34">
        <v>5083</v>
      </c>
      <c r="D34" s="67">
        <f>$C$34-SUM($C$35:$C$38)</f>
        <v>277.5</v>
      </c>
      <c r="E34" t="str">
        <f>IF(D34&gt;=L_recycl,"oui","non")</f>
        <v>non</v>
      </c>
      <c r="F34" s="63">
        <f>D34/C34</f>
        <v>5.459374385205587E-2</v>
      </c>
    </row>
    <row r="35" spans="1:6" x14ac:dyDescent="0.2">
      <c r="A35">
        <v>2</v>
      </c>
      <c r="B35">
        <v>1</v>
      </c>
      <c r="C35">
        <v>3223</v>
      </c>
    </row>
    <row r="36" spans="1:6" x14ac:dyDescent="0.2">
      <c r="A36">
        <v>2</v>
      </c>
      <c r="B36">
        <v>1</v>
      </c>
      <c r="C36">
        <v>556</v>
      </c>
    </row>
    <row r="37" spans="1:6" x14ac:dyDescent="0.2">
      <c r="A37">
        <v>2</v>
      </c>
      <c r="B37">
        <v>1</v>
      </c>
      <c r="C37">
        <v>556</v>
      </c>
    </row>
    <row r="38" spans="1:6" x14ac:dyDescent="0.2">
      <c r="A38">
        <v>2</v>
      </c>
      <c r="B38">
        <v>1</v>
      </c>
      <c r="C38">
        <v>470.5</v>
      </c>
    </row>
    <row r="39" spans="1:6" x14ac:dyDescent="0.2">
      <c r="A39">
        <v>2</v>
      </c>
      <c r="B39">
        <v>1</v>
      </c>
      <c r="C39">
        <v>5083</v>
      </c>
      <c r="D39" s="67">
        <f>$C$39-SUM($C$40:$C$42)</f>
        <v>1187</v>
      </c>
      <c r="E39" t="str">
        <f>IF(D39&gt;=L_recycl,"oui","non")</f>
        <v>oui</v>
      </c>
      <c r="F39" s="63">
        <f>D39/C39</f>
        <v>0.23352350973834349</v>
      </c>
    </row>
    <row r="40" spans="1:6" x14ac:dyDescent="0.2">
      <c r="A40">
        <v>2</v>
      </c>
      <c r="B40">
        <v>1</v>
      </c>
      <c r="C40">
        <v>3223</v>
      </c>
    </row>
    <row r="41" spans="1:6" x14ac:dyDescent="0.2">
      <c r="A41">
        <v>2</v>
      </c>
      <c r="B41">
        <v>1</v>
      </c>
      <c r="C41">
        <v>341.5</v>
      </c>
    </row>
    <row r="42" spans="1:6" x14ac:dyDescent="0.2">
      <c r="A42">
        <v>2</v>
      </c>
      <c r="B42">
        <v>1</v>
      </c>
      <c r="C42">
        <v>331.5</v>
      </c>
    </row>
    <row r="43" spans="1:6" x14ac:dyDescent="0.2">
      <c r="A43">
        <v>2</v>
      </c>
      <c r="B43">
        <v>1</v>
      </c>
      <c r="C43">
        <v>5083</v>
      </c>
      <c r="D43" s="67">
        <f>$C$43-SUM($C$44)</f>
        <v>1860</v>
      </c>
      <c r="E43" t="str">
        <f>IF(D43&gt;=L_recycl,"oui","non")</f>
        <v>oui</v>
      </c>
      <c r="F43" s="63">
        <f>D43/C43</f>
        <v>0.36592563446783394</v>
      </c>
    </row>
    <row r="44" spans="1:6" x14ac:dyDescent="0.2">
      <c r="A44">
        <v>2</v>
      </c>
      <c r="B44">
        <v>1</v>
      </c>
      <c r="C44">
        <v>3223</v>
      </c>
    </row>
    <row r="45" spans="1:6" x14ac:dyDescent="0.2">
      <c r="A45">
        <v>2</v>
      </c>
      <c r="B45">
        <v>1</v>
      </c>
      <c r="C45">
        <v>5083</v>
      </c>
      <c r="D45" s="67">
        <f>$C$45-SUM($C$46)</f>
        <v>1860</v>
      </c>
      <c r="E45" t="str">
        <f>IF(D45&gt;=L_recycl,"oui","non")</f>
        <v>oui</v>
      </c>
      <c r="F45" s="63">
        <f>D45/C45</f>
        <v>0.36592563446783394</v>
      </c>
    </row>
    <row r="46" spans="1:6" x14ac:dyDescent="0.2">
      <c r="A46">
        <v>2</v>
      </c>
      <c r="B46">
        <v>1</v>
      </c>
      <c r="C46">
        <v>3223</v>
      </c>
    </row>
    <row r="47" spans="1:6" x14ac:dyDescent="0.2">
      <c r="A47">
        <v>2</v>
      </c>
      <c r="B47">
        <v>1</v>
      </c>
      <c r="C47">
        <v>5083</v>
      </c>
      <c r="D47" s="67">
        <f>$C$47-SUM($C$48)</f>
        <v>1860</v>
      </c>
      <c r="E47" t="str">
        <f>IF(D47&gt;=L_recycl,"oui","non")</f>
        <v>oui</v>
      </c>
      <c r="F47" s="63">
        <f>D47/C47</f>
        <v>0.36592563446783394</v>
      </c>
    </row>
    <row r="48" spans="1:6" x14ac:dyDescent="0.2">
      <c r="A48">
        <v>2</v>
      </c>
      <c r="B48">
        <v>1</v>
      </c>
      <c r="C48">
        <v>3223</v>
      </c>
    </row>
    <row r="49" spans="1:6" x14ac:dyDescent="0.2">
      <c r="A49">
        <v>2</v>
      </c>
      <c r="B49">
        <v>1</v>
      </c>
      <c r="C49">
        <v>5083</v>
      </c>
      <c r="D49" s="67">
        <f>$C$49-SUM($C$50)</f>
        <v>1860</v>
      </c>
      <c r="E49" t="str">
        <f>IF(D49&gt;=L_recycl,"oui","non")</f>
        <v>oui</v>
      </c>
      <c r="F49" s="63">
        <f>D49/C49</f>
        <v>0.36592563446783394</v>
      </c>
    </row>
    <row r="50" spans="1:6" x14ac:dyDescent="0.2">
      <c r="A50">
        <v>2</v>
      </c>
      <c r="B50">
        <v>1</v>
      </c>
      <c r="C50">
        <v>3223</v>
      </c>
    </row>
    <row r="51" spans="1:6" x14ac:dyDescent="0.2">
      <c r="A51">
        <v>2</v>
      </c>
      <c r="B51">
        <v>1</v>
      </c>
      <c r="C51">
        <v>5083</v>
      </c>
      <c r="D51" s="67">
        <f>$C$51-SUM($C$52:$C$53)</f>
        <v>217</v>
      </c>
      <c r="E51" t="str">
        <f>IF(D51&gt;=L_recycl,"oui","non")</f>
        <v>non</v>
      </c>
      <c r="F51" s="63">
        <f>D51/C51</f>
        <v>4.2691324021247298E-2</v>
      </c>
    </row>
    <row r="52" spans="1:6" x14ac:dyDescent="0.2">
      <c r="A52">
        <v>2</v>
      </c>
      <c r="B52">
        <v>1</v>
      </c>
      <c r="C52">
        <v>2433</v>
      </c>
    </row>
    <row r="53" spans="1:6" x14ac:dyDescent="0.2">
      <c r="A53">
        <v>2</v>
      </c>
      <c r="B53">
        <v>1</v>
      </c>
      <c r="C53">
        <v>2433</v>
      </c>
    </row>
    <row r="54" spans="1:6" x14ac:dyDescent="0.2">
      <c r="A54" s="64">
        <v>3</v>
      </c>
      <c r="B54" s="64">
        <v>1</v>
      </c>
      <c r="C54" s="64">
        <v>5083</v>
      </c>
      <c r="D54" s="65">
        <f>$C$54-SUM($C$55:$C$57)</f>
        <v>8.5</v>
      </c>
      <c r="E54" s="64" t="str">
        <f>IF(D54&gt;=L_recycl,"oui","non")</f>
        <v>non</v>
      </c>
      <c r="F54" s="66">
        <f>D54/C54</f>
        <v>1.6722408026755853E-3</v>
      </c>
    </row>
    <row r="55" spans="1:6" x14ac:dyDescent="0.2">
      <c r="A55">
        <v>3</v>
      </c>
      <c r="B55">
        <v>1</v>
      </c>
      <c r="C55">
        <v>3531</v>
      </c>
    </row>
    <row r="56" spans="1:6" x14ac:dyDescent="0.2">
      <c r="A56">
        <v>3</v>
      </c>
      <c r="B56">
        <v>1</v>
      </c>
      <c r="C56">
        <v>1293</v>
      </c>
    </row>
    <row r="57" spans="1:6" x14ac:dyDescent="0.2">
      <c r="A57">
        <v>3</v>
      </c>
      <c r="B57">
        <v>1</v>
      </c>
      <c r="C57">
        <v>250.5</v>
      </c>
    </row>
    <row r="58" spans="1:6" x14ac:dyDescent="0.2">
      <c r="A58">
        <v>3</v>
      </c>
      <c r="B58">
        <v>1</v>
      </c>
      <c r="C58">
        <v>5083</v>
      </c>
      <c r="D58" s="67">
        <f>$C$58-SUM($C$59:$C$61)</f>
        <v>147.5</v>
      </c>
      <c r="E58" t="str">
        <f>IF(D58&gt;=L_recycl,"oui","non")</f>
        <v>non</v>
      </c>
      <c r="F58" s="63">
        <f>D58/C58</f>
        <v>2.901829628172339E-2</v>
      </c>
    </row>
    <row r="59" spans="1:6" x14ac:dyDescent="0.2">
      <c r="A59">
        <v>3</v>
      </c>
      <c r="B59">
        <v>1</v>
      </c>
      <c r="C59">
        <v>3531</v>
      </c>
    </row>
    <row r="60" spans="1:6" x14ac:dyDescent="0.2">
      <c r="A60">
        <v>3</v>
      </c>
      <c r="B60">
        <v>1</v>
      </c>
      <c r="C60">
        <v>1293</v>
      </c>
    </row>
    <row r="61" spans="1:6" x14ac:dyDescent="0.2">
      <c r="A61">
        <v>3</v>
      </c>
      <c r="B61">
        <v>1</v>
      </c>
      <c r="C61">
        <v>111.5</v>
      </c>
    </row>
    <row r="62" spans="1:6" x14ac:dyDescent="0.2">
      <c r="A62">
        <v>3</v>
      </c>
      <c r="B62">
        <v>1</v>
      </c>
      <c r="C62">
        <v>5083</v>
      </c>
      <c r="D62" s="67">
        <f>$C$62-SUM($C$63:$C$65)</f>
        <v>63.5</v>
      </c>
      <c r="E62" t="str">
        <f>IF(D62&gt;=L_recycl,"oui","non")</f>
        <v>non</v>
      </c>
      <c r="F62" s="63">
        <f>D62/C62</f>
        <v>1.2492622467047019E-2</v>
      </c>
    </row>
    <row r="63" spans="1:6" x14ac:dyDescent="0.2">
      <c r="A63">
        <v>3</v>
      </c>
      <c r="B63">
        <v>1</v>
      </c>
      <c r="C63">
        <v>3223</v>
      </c>
    </row>
    <row r="64" spans="1:6" x14ac:dyDescent="0.2">
      <c r="A64">
        <v>3</v>
      </c>
      <c r="B64">
        <v>1</v>
      </c>
      <c r="C64">
        <v>1203</v>
      </c>
    </row>
    <row r="65" spans="1:6" x14ac:dyDescent="0.2">
      <c r="A65">
        <v>3</v>
      </c>
      <c r="B65">
        <v>1</v>
      </c>
      <c r="C65">
        <v>593.5</v>
      </c>
    </row>
    <row r="66" spans="1:6" x14ac:dyDescent="0.2">
      <c r="A66">
        <v>3</v>
      </c>
      <c r="B66">
        <v>1</v>
      </c>
      <c r="C66">
        <v>5083</v>
      </c>
      <c r="D66" s="67">
        <f>$C$66-SUM($C$67:$C$69)</f>
        <v>144</v>
      </c>
      <c r="E66" t="str">
        <f>IF(D66&gt;=L_recycl,"oui","non")</f>
        <v>non</v>
      </c>
      <c r="F66" s="63">
        <f>D66/C66</f>
        <v>2.832972653944521E-2</v>
      </c>
    </row>
    <row r="67" spans="1:6" x14ac:dyDescent="0.2">
      <c r="A67">
        <v>3</v>
      </c>
      <c r="B67">
        <v>1</v>
      </c>
      <c r="C67">
        <v>3223</v>
      </c>
    </row>
    <row r="68" spans="1:6" x14ac:dyDescent="0.2">
      <c r="A68">
        <v>3</v>
      </c>
      <c r="B68">
        <v>1</v>
      </c>
      <c r="C68">
        <v>968</v>
      </c>
    </row>
    <row r="69" spans="1:6" x14ac:dyDescent="0.2">
      <c r="A69">
        <v>3</v>
      </c>
      <c r="B69">
        <v>1</v>
      </c>
      <c r="C69">
        <v>748</v>
      </c>
    </row>
    <row r="70" spans="1:6" x14ac:dyDescent="0.2">
      <c r="A70">
        <v>3</v>
      </c>
      <c r="B70">
        <v>1</v>
      </c>
      <c r="C70">
        <v>5083</v>
      </c>
      <c r="D70" s="67">
        <f>$C$70-SUM($C$71:$C$73)</f>
        <v>144</v>
      </c>
      <c r="E70" t="str">
        <f>IF(D70&gt;=L_recycl,"oui","non")</f>
        <v>non</v>
      </c>
      <c r="F70" s="63">
        <f>D70/C70</f>
        <v>2.832972653944521E-2</v>
      </c>
    </row>
    <row r="71" spans="1:6" x14ac:dyDescent="0.2">
      <c r="A71">
        <v>3</v>
      </c>
      <c r="B71">
        <v>1</v>
      </c>
      <c r="C71">
        <v>3223</v>
      </c>
    </row>
    <row r="72" spans="1:6" x14ac:dyDescent="0.2">
      <c r="A72">
        <v>3</v>
      </c>
      <c r="B72">
        <v>1</v>
      </c>
      <c r="C72">
        <v>968</v>
      </c>
    </row>
    <row r="73" spans="1:6" x14ac:dyDescent="0.2">
      <c r="A73">
        <v>3</v>
      </c>
      <c r="B73">
        <v>1</v>
      </c>
      <c r="C73">
        <v>748</v>
      </c>
    </row>
    <row r="74" spans="1:6" x14ac:dyDescent="0.2">
      <c r="A74">
        <v>3</v>
      </c>
      <c r="B74">
        <v>1</v>
      </c>
      <c r="C74">
        <v>5083</v>
      </c>
      <c r="D74" s="67">
        <f>$C$74-SUM($C$75:$C$79)</f>
        <v>71</v>
      </c>
      <c r="E74" t="str">
        <f>IF(D74&gt;=L_recycl,"oui","non")</f>
        <v>non</v>
      </c>
      <c r="F74" s="63">
        <f>D74/C74</f>
        <v>1.3968129057643124E-2</v>
      </c>
    </row>
    <row r="75" spans="1:6" x14ac:dyDescent="0.2">
      <c r="A75">
        <v>3</v>
      </c>
      <c r="B75">
        <v>1</v>
      </c>
      <c r="C75">
        <v>3223</v>
      </c>
    </row>
    <row r="76" spans="1:6" x14ac:dyDescent="0.2">
      <c r="A76">
        <v>3</v>
      </c>
      <c r="B76">
        <v>1</v>
      </c>
      <c r="C76">
        <v>556</v>
      </c>
    </row>
    <row r="77" spans="1:6" x14ac:dyDescent="0.2">
      <c r="A77">
        <v>3</v>
      </c>
      <c r="B77">
        <v>1</v>
      </c>
      <c r="C77">
        <v>556</v>
      </c>
    </row>
    <row r="78" spans="1:6" x14ac:dyDescent="0.2">
      <c r="A78">
        <v>3</v>
      </c>
      <c r="B78">
        <v>1</v>
      </c>
      <c r="C78">
        <v>413.5</v>
      </c>
    </row>
    <row r="79" spans="1:6" x14ac:dyDescent="0.2">
      <c r="A79">
        <v>3</v>
      </c>
      <c r="B79">
        <v>1</v>
      </c>
      <c r="C79">
        <v>263.5</v>
      </c>
    </row>
    <row r="80" spans="1:6" x14ac:dyDescent="0.2">
      <c r="A80">
        <v>3</v>
      </c>
      <c r="B80">
        <v>1</v>
      </c>
      <c r="C80">
        <v>5083</v>
      </c>
      <c r="D80" s="67">
        <f>$C$80-SUM($C$81:$C$82)</f>
        <v>1457.5</v>
      </c>
      <c r="E80" t="str">
        <f>IF(D80&gt;=L_recycl,"oui","non")</f>
        <v>oui</v>
      </c>
      <c r="F80" s="63">
        <f>D80/C80</f>
        <v>0.28674011410584299</v>
      </c>
    </row>
    <row r="81" spans="1:6" x14ac:dyDescent="0.2">
      <c r="A81">
        <v>3</v>
      </c>
      <c r="B81">
        <v>1</v>
      </c>
      <c r="C81">
        <v>3223</v>
      </c>
    </row>
    <row r="82" spans="1:6" x14ac:dyDescent="0.2">
      <c r="A82">
        <v>3</v>
      </c>
      <c r="B82">
        <v>1</v>
      </c>
      <c r="C82">
        <v>402.5</v>
      </c>
    </row>
    <row r="83" spans="1:6" x14ac:dyDescent="0.2">
      <c r="A83">
        <v>3</v>
      </c>
      <c r="B83">
        <v>1</v>
      </c>
      <c r="C83">
        <v>5083</v>
      </c>
      <c r="D83" s="67">
        <f>$C$83-SUM($C$84)</f>
        <v>1860</v>
      </c>
      <c r="E83" t="str">
        <f>IF(D83&gt;=L_recycl,"oui","non")</f>
        <v>oui</v>
      </c>
      <c r="F83" s="63">
        <f>D83/C83</f>
        <v>0.36592563446783394</v>
      </c>
    </row>
    <row r="84" spans="1:6" x14ac:dyDescent="0.2">
      <c r="A84">
        <v>3</v>
      </c>
      <c r="B84">
        <v>1</v>
      </c>
      <c r="C84">
        <v>3223</v>
      </c>
    </row>
    <row r="85" spans="1:6" x14ac:dyDescent="0.2">
      <c r="A85">
        <v>3</v>
      </c>
      <c r="B85">
        <v>1</v>
      </c>
      <c r="C85">
        <v>5083</v>
      </c>
      <c r="D85" s="67">
        <f>$C$85-SUM($C$86)</f>
        <v>1860</v>
      </c>
      <c r="E85" t="str">
        <f>IF(D85&gt;=L_recycl,"oui","non")</f>
        <v>oui</v>
      </c>
      <c r="F85" s="63">
        <f>D85/C85</f>
        <v>0.36592563446783394</v>
      </c>
    </row>
    <row r="86" spans="1:6" x14ac:dyDescent="0.2">
      <c r="A86">
        <v>3</v>
      </c>
      <c r="B86">
        <v>1</v>
      </c>
      <c r="C86">
        <v>3223</v>
      </c>
    </row>
    <row r="87" spans="1:6" x14ac:dyDescent="0.2">
      <c r="A87">
        <v>3</v>
      </c>
      <c r="B87">
        <v>1</v>
      </c>
      <c r="C87">
        <v>5083</v>
      </c>
      <c r="D87" s="67">
        <f>$C$87-SUM($C$88:$C$89)</f>
        <v>217</v>
      </c>
      <c r="E87" t="str">
        <f>IF(D87&gt;=L_recycl,"oui","non")</f>
        <v>non</v>
      </c>
      <c r="F87" s="63">
        <f>D87/C87</f>
        <v>4.2691324021247298E-2</v>
      </c>
    </row>
    <row r="88" spans="1:6" x14ac:dyDescent="0.2">
      <c r="A88">
        <v>3</v>
      </c>
      <c r="B88">
        <v>1</v>
      </c>
      <c r="C88">
        <v>2433</v>
      </c>
    </row>
    <row r="89" spans="1:6" x14ac:dyDescent="0.2">
      <c r="A89">
        <v>3</v>
      </c>
      <c r="B89">
        <v>1</v>
      </c>
      <c r="C89">
        <v>2433</v>
      </c>
    </row>
    <row r="90" spans="1:6" x14ac:dyDescent="0.2">
      <c r="A90" s="64">
        <v>4</v>
      </c>
      <c r="B90" s="64">
        <v>1</v>
      </c>
      <c r="C90" s="64">
        <v>5083</v>
      </c>
      <c r="D90" s="65">
        <f>$C$90-SUM($C$91:$C$93)</f>
        <v>47.5</v>
      </c>
      <c r="E90" s="64" t="str">
        <f>IF(D90&gt;=L_recycl,"oui","non")</f>
        <v>non</v>
      </c>
      <c r="F90" s="66">
        <f>D90/C90</f>
        <v>9.3448750737753303E-3</v>
      </c>
    </row>
    <row r="91" spans="1:6" x14ac:dyDescent="0.2">
      <c r="A91">
        <v>4</v>
      </c>
      <c r="B91">
        <v>1</v>
      </c>
      <c r="C91">
        <v>3519</v>
      </c>
    </row>
    <row r="92" spans="1:6" x14ac:dyDescent="0.2">
      <c r="A92">
        <v>4</v>
      </c>
      <c r="B92">
        <v>1</v>
      </c>
      <c r="C92">
        <v>1293</v>
      </c>
    </row>
    <row r="93" spans="1:6" x14ac:dyDescent="0.2">
      <c r="A93">
        <v>4</v>
      </c>
      <c r="B93">
        <v>1</v>
      </c>
      <c r="C93">
        <v>223.5</v>
      </c>
    </row>
    <row r="94" spans="1:6" x14ac:dyDescent="0.2">
      <c r="A94">
        <v>4</v>
      </c>
      <c r="B94">
        <v>1</v>
      </c>
      <c r="C94">
        <v>5083</v>
      </c>
      <c r="D94" s="67">
        <f>$C$94-SUM($C$95:$C$97)</f>
        <v>119.5</v>
      </c>
      <c r="E94" t="str">
        <f>IF(D94&gt;=L_recycl,"oui","non")</f>
        <v>non</v>
      </c>
      <c r="F94" s="63">
        <f>D94/C94</f>
        <v>2.3509738343497934E-2</v>
      </c>
    </row>
    <row r="95" spans="1:6" x14ac:dyDescent="0.2">
      <c r="A95">
        <v>4</v>
      </c>
      <c r="B95">
        <v>1</v>
      </c>
      <c r="C95">
        <v>3519</v>
      </c>
    </row>
    <row r="96" spans="1:6" x14ac:dyDescent="0.2">
      <c r="A96">
        <v>4</v>
      </c>
      <c r="B96">
        <v>1</v>
      </c>
      <c r="C96">
        <v>1293</v>
      </c>
    </row>
    <row r="97" spans="1:6" x14ac:dyDescent="0.2">
      <c r="A97">
        <v>4</v>
      </c>
      <c r="B97">
        <v>1</v>
      </c>
      <c r="C97">
        <v>151.5</v>
      </c>
    </row>
    <row r="98" spans="1:6" x14ac:dyDescent="0.2">
      <c r="A98">
        <v>4</v>
      </c>
      <c r="B98">
        <v>1</v>
      </c>
      <c r="C98">
        <v>5083</v>
      </c>
      <c r="D98" s="67">
        <f>$C$98-SUM($C$99:$C$101)</f>
        <v>101</v>
      </c>
      <c r="E98" t="str">
        <f>IF(D98&gt;=L_recycl,"oui","non")</f>
        <v>non</v>
      </c>
      <c r="F98" s="63">
        <f>D98/C98</f>
        <v>1.9870155420027544E-2</v>
      </c>
    </row>
    <row r="99" spans="1:6" x14ac:dyDescent="0.2">
      <c r="A99">
        <v>4</v>
      </c>
      <c r="B99">
        <v>1</v>
      </c>
      <c r="C99">
        <v>3223</v>
      </c>
    </row>
    <row r="100" spans="1:6" x14ac:dyDescent="0.2">
      <c r="A100">
        <v>4</v>
      </c>
      <c r="B100">
        <v>1</v>
      </c>
      <c r="C100">
        <v>1203</v>
      </c>
    </row>
    <row r="101" spans="1:6" x14ac:dyDescent="0.2">
      <c r="A101">
        <v>4</v>
      </c>
      <c r="B101">
        <v>1</v>
      </c>
      <c r="C101">
        <v>556</v>
      </c>
    </row>
    <row r="102" spans="1:6" x14ac:dyDescent="0.2">
      <c r="A102">
        <v>4</v>
      </c>
      <c r="B102">
        <v>1</v>
      </c>
      <c r="C102">
        <v>5083</v>
      </c>
      <c r="D102" s="67">
        <f>$C$102-SUM($C$103:$C$105)</f>
        <v>144</v>
      </c>
      <c r="E102" t="str">
        <f>IF(D102&gt;=L_recycl,"oui","non")</f>
        <v>non</v>
      </c>
      <c r="F102" s="63">
        <f>D102/C102</f>
        <v>2.832972653944521E-2</v>
      </c>
    </row>
    <row r="103" spans="1:6" x14ac:dyDescent="0.2">
      <c r="A103">
        <v>4</v>
      </c>
      <c r="B103">
        <v>1</v>
      </c>
      <c r="C103">
        <v>3223</v>
      </c>
    </row>
    <row r="104" spans="1:6" x14ac:dyDescent="0.2">
      <c r="A104">
        <v>4</v>
      </c>
      <c r="B104">
        <v>1</v>
      </c>
      <c r="C104">
        <v>968</v>
      </c>
    </row>
    <row r="105" spans="1:6" x14ac:dyDescent="0.2">
      <c r="A105">
        <v>4</v>
      </c>
      <c r="B105">
        <v>1</v>
      </c>
      <c r="C105">
        <v>748</v>
      </c>
    </row>
    <row r="106" spans="1:6" x14ac:dyDescent="0.2">
      <c r="A106">
        <v>4</v>
      </c>
      <c r="B106">
        <v>1</v>
      </c>
      <c r="C106">
        <v>5083</v>
      </c>
      <c r="D106" s="67">
        <f>$C$106-SUM($C$107:$C$109)</f>
        <v>144</v>
      </c>
      <c r="E106" t="str">
        <f>IF(D106&gt;=L_recycl,"oui","non")</f>
        <v>non</v>
      </c>
      <c r="F106" s="63">
        <f>D106/C106</f>
        <v>2.832972653944521E-2</v>
      </c>
    </row>
    <row r="107" spans="1:6" x14ac:dyDescent="0.2">
      <c r="A107">
        <v>4</v>
      </c>
      <c r="B107">
        <v>1</v>
      </c>
      <c r="C107">
        <v>3223</v>
      </c>
    </row>
    <row r="108" spans="1:6" x14ac:dyDescent="0.2">
      <c r="A108">
        <v>4</v>
      </c>
      <c r="B108">
        <v>1</v>
      </c>
      <c r="C108">
        <v>968</v>
      </c>
    </row>
    <row r="109" spans="1:6" x14ac:dyDescent="0.2">
      <c r="A109">
        <v>4</v>
      </c>
      <c r="B109">
        <v>1</v>
      </c>
      <c r="C109">
        <v>748</v>
      </c>
    </row>
    <row r="110" spans="1:6" x14ac:dyDescent="0.2">
      <c r="A110">
        <v>4</v>
      </c>
      <c r="B110">
        <v>1</v>
      </c>
      <c r="C110">
        <v>5083</v>
      </c>
      <c r="D110" s="67">
        <f>$C$110-SUM($C$111:$C$115)</f>
        <v>18.5</v>
      </c>
      <c r="E110" t="str">
        <f>IF(D110&gt;=L_recycl,"oui","non")</f>
        <v>non</v>
      </c>
      <c r="F110" s="63">
        <f>D110/C110</f>
        <v>3.6395829234703914E-3</v>
      </c>
    </row>
    <row r="111" spans="1:6" x14ac:dyDescent="0.2">
      <c r="A111">
        <v>4</v>
      </c>
      <c r="B111">
        <v>1</v>
      </c>
      <c r="C111">
        <v>3223</v>
      </c>
    </row>
    <row r="112" spans="1:6" x14ac:dyDescent="0.2">
      <c r="A112">
        <v>4</v>
      </c>
      <c r="B112">
        <v>1</v>
      </c>
      <c r="C112">
        <v>556</v>
      </c>
    </row>
    <row r="113" spans="1:6" x14ac:dyDescent="0.2">
      <c r="A113">
        <v>4</v>
      </c>
      <c r="B113">
        <v>1</v>
      </c>
      <c r="C113">
        <v>521.5</v>
      </c>
    </row>
    <row r="114" spans="1:6" x14ac:dyDescent="0.2">
      <c r="A114">
        <v>4</v>
      </c>
      <c r="B114">
        <v>1</v>
      </c>
      <c r="C114">
        <v>473.5</v>
      </c>
    </row>
    <row r="115" spans="1:6" x14ac:dyDescent="0.2">
      <c r="A115">
        <v>4</v>
      </c>
      <c r="B115">
        <v>1</v>
      </c>
      <c r="C115">
        <v>290.5</v>
      </c>
    </row>
    <row r="116" spans="1:6" x14ac:dyDescent="0.2">
      <c r="A116">
        <v>4</v>
      </c>
      <c r="B116">
        <v>1</v>
      </c>
      <c r="C116">
        <v>5983</v>
      </c>
      <c r="D116" s="67">
        <f>$C$116-SUM($C$117:$C$118)</f>
        <v>157</v>
      </c>
      <c r="E116" t="str">
        <f>IF(D116&gt;=L_recycl,"oui","non")</f>
        <v>non</v>
      </c>
      <c r="F116" s="63">
        <f>D116/C116</f>
        <v>2.6241016212602372E-2</v>
      </c>
    </row>
    <row r="117" spans="1:6" x14ac:dyDescent="0.2">
      <c r="A117">
        <v>4</v>
      </c>
      <c r="B117">
        <v>1</v>
      </c>
      <c r="C117">
        <v>3223</v>
      </c>
    </row>
    <row r="118" spans="1:6" x14ac:dyDescent="0.2">
      <c r="A118">
        <v>4</v>
      </c>
      <c r="B118">
        <v>1</v>
      </c>
      <c r="C118">
        <v>2603</v>
      </c>
    </row>
    <row r="119" spans="1:6" x14ac:dyDescent="0.2">
      <c r="A119">
        <v>4</v>
      </c>
      <c r="B119">
        <v>1</v>
      </c>
      <c r="C119">
        <v>5983</v>
      </c>
      <c r="D119" s="67">
        <f>$C$119-SUM($C$120:$C$121)</f>
        <v>327</v>
      </c>
      <c r="E119" t="str">
        <f>IF(D119&gt;=L_recycl,"oui","non")</f>
        <v>non</v>
      </c>
      <c r="F119" s="63">
        <f>D119/C119</f>
        <v>5.4654855423700487E-2</v>
      </c>
    </row>
    <row r="120" spans="1:6" x14ac:dyDescent="0.2">
      <c r="A120">
        <v>4</v>
      </c>
      <c r="B120">
        <v>1</v>
      </c>
      <c r="C120">
        <v>3223</v>
      </c>
    </row>
    <row r="121" spans="1:6" x14ac:dyDescent="0.2">
      <c r="A121">
        <v>4</v>
      </c>
      <c r="B121">
        <v>1</v>
      </c>
      <c r="C121">
        <v>2433</v>
      </c>
    </row>
    <row r="122" spans="1:6" x14ac:dyDescent="0.2">
      <c r="A122">
        <v>4</v>
      </c>
      <c r="B122">
        <v>1</v>
      </c>
      <c r="C122">
        <v>5983</v>
      </c>
      <c r="D122" s="67">
        <f>$C$122-SUM($C$123:$C$124)</f>
        <v>327</v>
      </c>
      <c r="E122" t="str">
        <f>IF(D122&gt;=L_recycl,"oui","non")</f>
        <v>non</v>
      </c>
      <c r="F122" s="63">
        <f>D122/C122</f>
        <v>5.4654855423700487E-2</v>
      </c>
    </row>
    <row r="123" spans="1:6" x14ac:dyDescent="0.2">
      <c r="A123">
        <v>4</v>
      </c>
      <c r="B123">
        <v>1</v>
      </c>
      <c r="C123">
        <v>3223</v>
      </c>
    </row>
    <row r="124" spans="1:6" x14ac:dyDescent="0.2">
      <c r="A124">
        <v>4</v>
      </c>
      <c r="B124">
        <v>1</v>
      </c>
      <c r="C124">
        <v>2433</v>
      </c>
    </row>
    <row r="125" spans="1:6" x14ac:dyDescent="0.2">
      <c r="A125">
        <v>4</v>
      </c>
      <c r="B125">
        <v>1</v>
      </c>
      <c r="C125">
        <v>5983</v>
      </c>
      <c r="D125" s="67">
        <f>$C$125-SUM($C$126:$C$127)</f>
        <v>2397.5</v>
      </c>
      <c r="E125" t="str">
        <f>IF(D125&gt;=L_recycl,"oui","non")</f>
        <v>oui</v>
      </c>
      <c r="F125" s="63">
        <f>D125/C125</f>
        <v>0.40071870299181012</v>
      </c>
    </row>
    <row r="126" spans="1:6" x14ac:dyDescent="0.2">
      <c r="A126">
        <v>4</v>
      </c>
      <c r="B126">
        <v>1</v>
      </c>
      <c r="C126">
        <v>3223</v>
      </c>
    </row>
    <row r="127" spans="1:6" x14ac:dyDescent="0.2">
      <c r="A127">
        <v>4</v>
      </c>
      <c r="B127">
        <v>1</v>
      </c>
      <c r="C127">
        <v>362.5</v>
      </c>
    </row>
    <row r="128" spans="1:6" x14ac:dyDescent="0.2">
      <c r="A128" s="64">
        <v>5</v>
      </c>
      <c r="B128" s="64">
        <v>1</v>
      </c>
      <c r="C128" s="64">
        <v>5983</v>
      </c>
      <c r="D128" s="65">
        <f>$C$128-SUM($C$129:$C$131)</f>
        <v>45.5</v>
      </c>
      <c r="E128" s="64" t="str">
        <f>IF(D128&gt;=L_recycl,"oui","non")</f>
        <v>non</v>
      </c>
      <c r="F128" s="66">
        <f>D128/C128</f>
        <v>7.6048804947350824E-3</v>
      </c>
    </row>
    <row r="129" spans="1:6" x14ac:dyDescent="0.2">
      <c r="A129">
        <v>5</v>
      </c>
      <c r="B129">
        <v>1</v>
      </c>
      <c r="C129">
        <v>4343</v>
      </c>
    </row>
    <row r="130" spans="1:6" x14ac:dyDescent="0.2">
      <c r="A130">
        <v>5</v>
      </c>
      <c r="B130">
        <v>1</v>
      </c>
      <c r="C130">
        <v>1293</v>
      </c>
    </row>
    <row r="131" spans="1:6" x14ac:dyDescent="0.2">
      <c r="A131">
        <v>5</v>
      </c>
      <c r="B131">
        <v>1</v>
      </c>
      <c r="C131">
        <v>301.5</v>
      </c>
    </row>
    <row r="132" spans="1:6" x14ac:dyDescent="0.2">
      <c r="A132">
        <v>5</v>
      </c>
      <c r="B132">
        <v>1</v>
      </c>
      <c r="C132">
        <v>5983</v>
      </c>
      <c r="D132" s="67">
        <f>$C$132-SUM($C$133:$C$135)</f>
        <v>85.5</v>
      </c>
      <c r="E132" t="str">
        <f>IF(D132&gt;=L_recycl,"oui","non")</f>
        <v>non</v>
      </c>
      <c r="F132" s="63">
        <f>D132/C132</f>
        <v>1.4290489720875816E-2</v>
      </c>
    </row>
    <row r="133" spans="1:6" x14ac:dyDescent="0.2">
      <c r="A133">
        <v>5</v>
      </c>
      <c r="B133">
        <v>1</v>
      </c>
      <c r="C133">
        <v>4253</v>
      </c>
    </row>
    <row r="134" spans="1:6" x14ac:dyDescent="0.2">
      <c r="A134">
        <v>5</v>
      </c>
      <c r="B134">
        <v>1</v>
      </c>
      <c r="C134">
        <v>1293</v>
      </c>
    </row>
    <row r="135" spans="1:6" x14ac:dyDescent="0.2">
      <c r="A135">
        <v>5</v>
      </c>
      <c r="B135">
        <v>1</v>
      </c>
      <c r="C135">
        <v>351.5</v>
      </c>
    </row>
    <row r="136" spans="1:6" x14ac:dyDescent="0.2">
      <c r="A136">
        <v>5</v>
      </c>
      <c r="B136">
        <v>1</v>
      </c>
      <c r="C136">
        <v>5983</v>
      </c>
      <c r="D136" s="67">
        <f>$C$136-SUM($C$137:$C$139)</f>
        <v>49.399999999999636</v>
      </c>
      <c r="E136" t="str">
        <f>IF(D136&gt;=L_recycl,"oui","non")</f>
        <v>non</v>
      </c>
      <c r="F136" s="63">
        <f>D136/C136</f>
        <v>8.256727394283743E-3</v>
      </c>
    </row>
    <row r="137" spans="1:6" x14ac:dyDescent="0.2">
      <c r="A137">
        <v>5</v>
      </c>
      <c r="B137">
        <v>1</v>
      </c>
      <c r="C137">
        <v>2688.8</v>
      </c>
    </row>
    <row r="138" spans="1:6" x14ac:dyDescent="0.2">
      <c r="A138">
        <v>5</v>
      </c>
      <c r="B138">
        <v>1</v>
      </c>
      <c r="C138">
        <v>2688.8</v>
      </c>
    </row>
    <row r="139" spans="1:6" x14ac:dyDescent="0.2">
      <c r="A139">
        <v>5</v>
      </c>
      <c r="B139">
        <v>1</v>
      </c>
      <c r="C139">
        <v>556</v>
      </c>
    </row>
    <row r="140" spans="1:6" x14ac:dyDescent="0.2">
      <c r="A140">
        <v>5</v>
      </c>
      <c r="B140">
        <v>1</v>
      </c>
      <c r="C140">
        <v>5983</v>
      </c>
      <c r="D140" s="67">
        <f>$C$140-SUM($C$141:$C$143)</f>
        <v>49.399999999999636</v>
      </c>
      <c r="E140" t="str">
        <f>IF(D140&gt;=L_recycl,"oui","non")</f>
        <v>non</v>
      </c>
      <c r="F140" s="63">
        <f>D140/C140</f>
        <v>8.256727394283743E-3</v>
      </c>
    </row>
    <row r="141" spans="1:6" x14ac:dyDescent="0.2">
      <c r="A141">
        <v>5</v>
      </c>
      <c r="B141">
        <v>1</v>
      </c>
      <c r="C141">
        <v>2688.8</v>
      </c>
    </row>
    <row r="142" spans="1:6" x14ac:dyDescent="0.2">
      <c r="A142">
        <v>5</v>
      </c>
      <c r="B142">
        <v>1</v>
      </c>
      <c r="C142">
        <v>2688.8</v>
      </c>
    </row>
    <row r="143" spans="1:6" x14ac:dyDescent="0.2">
      <c r="A143">
        <v>5</v>
      </c>
      <c r="B143">
        <v>1</v>
      </c>
      <c r="C143">
        <v>556</v>
      </c>
    </row>
    <row r="144" spans="1:6" x14ac:dyDescent="0.2">
      <c r="A144">
        <v>5</v>
      </c>
      <c r="B144">
        <v>1</v>
      </c>
      <c r="C144">
        <v>5983</v>
      </c>
      <c r="D144" s="67">
        <f>$C$144-SUM($C$145:$C$147)</f>
        <v>49.399999999999636</v>
      </c>
      <c r="E144" t="str">
        <f>IF(D144&gt;=L_recycl,"oui","non")</f>
        <v>non</v>
      </c>
      <c r="F144" s="63">
        <f>D144/C144</f>
        <v>8.256727394283743E-3</v>
      </c>
    </row>
    <row r="145" spans="1:6" x14ac:dyDescent="0.2">
      <c r="A145">
        <v>5</v>
      </c>
      <c r="B145">
        <v>1</v>
      </c>
      <c r="C145">
        <v>2688.8</v>
      </c>
    </row>
    <row r="146" spans="1:6" x14ac:dyDescent="0.2">
      <c r="A146">
        <v>5</v>
      </c>
      <c r="B146">
        <v>1</v>
      </c>
      <c r="C146">
        <v>2688.8</v>
      </c>
    </row>
    <row r="147" spans="1:6" x14ac:dyDescent="0.2">
      <c r="A147">
        <v>5</v>
      </c>
      <c r="B147">
        <v>1</v>
      </c>
      <c r="C147">
        <v>556</v>
      </c>
    </row>
    <row r="148" spans="1:6" x14ac:dyDescent="0.2">
      <c r="A148">
        <v>5</v>
      </c>
      <c r="B148">
        <v>1</v>
      </c>
      <c r="C148">
        <v>5983</v>
      </c>
      <c r="D148" s="67">
        <f>$C$148-SUM($C$149:$C$150)</f>
        <v>605.39999999999964</v>
      </c>
      <c r="E148" t="str">
        <f>IF(D148&gt;=L_recycl,"oui","non")</f>
        <v>non</v>
      </c>
      <c r="F148" s="63">
        <f>D148/C148</f>
        <v>0.10118669563763992</v>
      </c>
    </row>
    <row r="149" spans="1:6" x14ac:dyDescent="0.2">
      <c r="A149">
        <v>5</v>
      </c>
      <c r="B149">
        <v>1</v>
      </c>
      <c r="C149">
        <v>2688.8</v>
      </c>
    </row>
    <row r="150" spans="1:6" x14ac:dyDescent="0.2">
      <c r="A150">
        <v>5</v>
      </c>
      <c r="B150">
        <v>1</v>
      </c>
      <c r="C150">
        <v>2688.8</v>
      </c>
    </row>
    <row r="151" spans="1:6" x14ac:dyDescent="0.2">
      <c r="A151">
        <v>5</v>
      </c>
      <c r="B151">
        <v>1</v>
      </c>
      <c r="C151">
        <v>5983</v>
      </c>
      <c r="D151" s="67">
        <f>$C$151-SUM($C$152:$C$153)</f>
        <v>605.39999999999964</v>
      </c>
      <c r="E151" t="str">
        <f>IF(D151&gt;=L_recycl,"oui","non")</f>
        <v>non</v>
      </c>
      <c r="F151" s="63">
        <f>D151/C151</f>
        <v>0.10118669563763992</v>
      </c>
    </row>
    <row r="152" spans="1:6" x14ac:dyDescent="0.2">
      <c r="A152">
        <v>5</v>
      </c>
      <c r="B152">
        <v>1</v>
      </c>
      <c r="C152">
        <v>2688.8</v>
      </c>
    </row>
    <row r="153" spans="1:6" x14ac:dyDescent="0.2">
      <c r="A153">
        <v>5</v>
      </c>
      <c r="B153">
        <v>1</v>
      </c>
      <c r="C153">
        <v>2688.8</v>
      </c>
    </row>
    <row r="154" spans="1:6" x14ac:dyDescent="0.2">
      <c r="A154">
        <v>5</v>
      </c>
      <c r="B154">
        <v>1</v>
      </c>
      <c r="C154">
        <v>5983</v>
      </c>
      <c r="D154" s="67">
        <f>$C$154-SUM($C$155:$C$156)</f>
        <v>605.39999999999964</v>
      </c>
      <c r="E154" t="str">
        <f>IF(D154&gt;=L_recycl,"oui","non")</f>
        <v>non</v>
      </c>
      <c r="F154" s="63">
        <f>D154/C154</f>
        <v>0.10118669563763992</v>
      </c>
    </row>
    <row r="155" spans="1:6" x14ac:dyDescent="0.2">
      <c r="A155">
        <v>5</v>
      </c>
      <c r="B155">
        <v>1</v>
      </c>
      <c r="C155">
        <v>2688.8</v>
      </c>
    </row>
    <row r="156" spans="1:6" x14ac:dyDescent="0.2">
      <c r="A156">
        <v>5</v>
      </c>
      <c r="B156">
        <v>1</v>
      </c>
      <c r="C156">
        <v>2688.8</v>
      </c>
    </row>
    <row r="157" spans="1:6" x14ac:dyDescent="0.2">
      <c r="A157">
        <v>5</v>
      </c>
      <c r="B157">
        <v>1</v>
      </c>
      <c r="C157">
        <v>5983</v>
      </c>
      <c r="D157" s="67">
        <f>$C$157-SUM($C$158:$C$160)</f>
        <v>17.399999999999636</v>
      </c>
      <c r="E157" t="str">
        <f>IF(D157&gt;=L_recycl,"oui","non")</f>
        <v>non</v>
      </c>
      <c r="F157" s="63">
        <f>D157/C157</f>
        <v>2.9082400133711578E-3</v>
      </c>
    </row>
    <row r="158" spans="1:6" x14ac:dyDescent="0.2">
      <c r="A158">
        <v>5</v>
      </c>
      <c r="B158">
        <v>1</v>
      </c>
      <c r="C158">
        <v>2498.8000000000002</v>
      </c>
    </row>
    <row r="159" spans="1:6" x14ac:dyDescent="0.2">
      <c r="A159">
        <v>5</v>
      </c>
      <c r="B159">
        <v>1</v>
      </c>
      <c r="C159">
        <v>2498.8000000000002</v>
      </c>
    </row>
    <row r="160" spans="1:6" x14ac:dyDescent="0.2">
      <c r="A160">
        <v>5</v>
      </c>
      <c r="B160">
        <v>1</v>
      </c>
      <c r="C160">
        <v>968</v>
      </c>
    </row>
    <row r="161" spans="1:6" x14ac:dyDescent="0.2">
      <c r="A161">
        <v>5</v>
      </c>
      <c r="B161">
        <v>1</v>
      </c>
      <c r="C161">
        <v>5983</v>
      </c>
      <c r="D161" s="67">
        <f>$C$161-SUM($C$162:$C$164)</f>
        <v>167.39999999999964</v>
      </c>
      <c r="E161" t="str">
        <f>IF(D161&gt;=L_recycl,"oui","non")</f>
        <v>non</v>
      </c>
      <c r="F161" s="63">
        <f>D161/C161</f>
        <v>2.7979274611398902E-2</v>
      </c>
    </row>
    <row r="162" spans="1:6" x14ac:dyDescent="0.2">
      <c r="A162">
        <v>5</v>
      </c>
      <c r="B162">
        <v>1</v>
      </c>
      <c r="C162">
        <v>2423.8000000000002</v>
      </c>
    </row>
    <row r="163" spans="1:6" x14ac:dyDescent="0.2">
      <c r="A163">
        <v>5</v>
      </c>
      <c r="B163">
        <v>1</v>
      </c>
      <c r="C163">
        <v>2423.8000000000002</v>
      </c>
    </row>
    <row r="164" spans="1:6" x14ac:dyDescent="0.2">
      <c r="A164">
        <v>5</v>
      </c>
      <c r="B164">
        <v>1</v>
      </c>
      <c r="C164">
        <v>968</v>
      </c>
    </row>
    <row r="165" spans="1:6" x14ac:dyDescent="0.2">
      <c r="A165" s="64">
        <v>6</v>
      </c>
      <c r="B165" s="64">
        <v>1</v>
      </c>
      <c r="C165" s="64">
        <v>5983</v>
      </c>
      <c r="D165" s="65">
        <f>$C$165-SUM($C$166:$C$167)</f>
        <v>391.89999999999964</v>
      </c>
      <c r="E165" s="64" t="str">
        <f>IF(D165&gt;=L_recycl,"oui","non")</f>
        <v>non</v>
      </c>
      <c r="F165" s="66">
        <f>D165/C165</f>
        <v>6.5502256393113759E-2</v>
      </c>
    </row>
    <row r="166" spans="1:6" x14ac:dyDescent="0.2">
      <c r="A166">
        <v>6</v>
      </c>
      <c r="B166">
        <v>1</v>
      </c>
      <c r="C166">
        <v>2805.5</v>
      </c>
    </row>
    <row r="167" spans="1:6" x14ac:dyDescent="0.2">
      <c r="A167">
        <v>6</v>
      </c>
      <c r="B167">
        <v>1</v>
      </c>
      <c r="C167">
        <v>2785.6</v>
      </c>
    </row>
    <row r="168" spans="1:6" x14ac:dyDescent="0.2">
      <c r="A168">
        <v>6</v>
      </c>
      <c r="B168">
        <v>1</v>
      </c>
      <c r="C168">
        <v>5983</v>
      </c>
      <c r="D168" s="67">
        <f>$C$168-SUM($C$169:$C$170)</f>
        <v>535.69999999999982</v>
      </c>
      <c r="E168" t="str">
        <f>IF(D168&gt;=L_recycl,"oui","non")</f>
        <v>non</v>
      </c>
      <c r="F168" s="63">
        <f>D168/C168</f>
        <v>8.9537021561089725E-2</v>
      </c>
    </row>
    <row r="169" spans="1:6" x14ac:dyDescent="0.2">
      <c r="A169">
        <v>6</v>
      </c>
      <c r="B169">
        <v>1</v>
      </c>
      <c r="C169">
        <v>2737.8</v>
      </c>
    </row>
    <row r="170" spans="1:6" x14ac:dyDescent="0.2">
      <c r="A170">
        <v>6</v>
      </c>
      <c r="B170">
        <v>1</v>
      </c>
      <c r="C170">
        <v>2709.5</v>
      </c>
    </row>
    <row r="171" spans="1:6" x14ac:dyDescent="0.2">
      <c r="A171">
        <v>6</v>
      </c>
      <c r="B171">
        <v>1</v>
      </c>
      <c r="C171">
        <v>1457.5</v>
      </c>
      <c r="D171" s="67">
        <f>$C$171-SUM($C$172)</f>
        <v>201.90000000000009</v>
      </c>
      <c r="E171" t="str">
        <f>IF(D171&gt;=L_recycl,"oui","non")</f>
        <v>non</v>
      </c>
      <c r="F171" s="63">
        <f>D171/C171</f>
        <v>0.13852487135506009</v>
      </c>
    </row>
    <row r="172" spans="1:6" x14ac:dyDescent="0.2">
      <c r="A172">
        <v>6</v>
      </c>
      <c r="B172">
        <v>1</v>
      </c>
      <c r="C172">
        <v>1255.5999999999999</v>
      </c>
    </row>
    <row r="173" spans="1:6" x14ac:dyDescent="0.2">
      <c r="A173" s="64">
        <v>7</v>
      </c>
      <c r="B173" s="64">
        <v>1</v>
      </c>
      <c r="C173" s="64">
        <v>5983</v>
      </c>
      <c r="D173" s="65">
        <f>$C$173-SUM($C$174)</f>
        <v>161.5</v>
      </c>
      <c r="E173" s="64" t="str">
        <f>IF(D173&gt;=L_recycl,"oui","non")</f>
        <v>non</v>
      </c>
      <c r="F173" s="66">
        <f>D173/C173</f>
        <v>2.6993147250543206E-2</v>
      </c>
    </row>
    <row r="174" spans="1:6" x14ac:dyDescent="0.2">
      <c r="A174">
        <v>7</v>
      </c>
      <c r="B174">
        <v>1</v>
      </c>
      <c r="C174">
        <v>5821.5</v>
      </c>
    </row>
    <row r="175" spans="1:6" x14ac:dyDescent="0.2">
      <c r="A175">
        <v>7</v>
      </c>
      <c r="B175">
        <v>1</v>
      </c>
      <c r="C175">
        <v>5983</v>
      </c>
      <c r="D175" s="67">
        <f>$C$175-SUM($C$176)</f>
        <v>161.5</v>
      </c>
      <c r="E175" t="str">
        <f>IF(D175&gt;=L_recycl,"oui","non")</f>
        <v>non</v>
      </c>
      <c r="F175" s="63">
        <f>D175/C175</f>
        <v>2.6993147250543206E-2</v>
      </c>
    </row>
    <row r="176" spans="1:6" x14ac:dyDescent="0.2">
      <c r="A176">
        <v>7</v>
      </c>
      <c r="B176">
        <v>1</v>
      </c>
      <c r="C176">
        <v>5821.5</v>
      </c>
    </row>
    <row r="177" spans="1:6" x14ac:dyDescent="0.2">
      <c r="A177">
        <v>7</v>
      </c>
      <c r="B177">
        <v>1</v>
      </c>
      <c r="C177">
        <v>5983</v>
      </c>
      <c r="D177" s="67">
        <f>$C$177-SUM($C$178:$C$180)</f>
        <v>26.300000000000182</v>
      </c>
      <c r="E177" t="str">
        <f>IF(D177&gt;=L_recycl,"oui","non")</f>
        <v>non</v>
      </c>
      <c r="F177" s="63">
        <f>D177/C177</f>
        <v>4.3957880661875618E-3</v>
      </c>
    </row>
    <row r="178" spans="1:6" x14ac:dyDescent="0.2">
      <c r="A178">
        <v>7</v>
      </c>
      <c r="B178">
        <v>1</v>
      </c>
      <c r="C178">
        <v>3193</v>
      </c>
    </row>
    <row r="179" spans="1:6" x14ac:dyDescent="0.2">
      <c r="A179">
        <v>7</v>
      </c>
      <c r="B179">
        <v>1</v>
      </c>
      <c r="C179">
        <v>2433</v>
      </c>
    </row>
    <row r="180" spans="1:6" x14ac:dyDescent="0.2">
      <c r="A180">
        <v>7</v>
      </c>
      <c r="B180">
        <v>1</v>
      </c>
      <c r="C180">
        <v>330.7</v>
      </c>
    </row>
    <row r="181" spans="1:6" x14ac:dyDescent="0.2">
      <c r="A181">
        <v>7</v>
      </c>
      <c r="B181">
        <v>1</v>
      </c>
      <c r="C181">
        <v>5983</v>
      </c>
      <c r="D181" s="67">
        <f>$C$181-SUM($C$182:$C$184)</f>
        <v>26.300000000000182</v>
      </c>
      <c r="E181" t="str">
        <f>IF(D181&gt;=L_recycl,"oui","non")</f>
        <v>non</v>
      </c>
      <c r="F181" s="63">
        <f>D181/C181</f>
        <v>4.3957880661875618E-3</v>
      </c>
    </row>
    <row r="182" spans="1:6" x14ac:dyDescent="0.2">
      <c r="A182">
        <v>7</v>
      </c>
      <c r="B182">
        <v>1</v>
      </c>
      <c r="C182">
        <v>3193</v>
      </c>
    </row>
    <row r="183" spans="1:6" x14ac:dyDescent="0.2">
      <c r="A183">
        <v>7</v>
      </c>
      <c r="B183">
        <v>1</v>
      </c>
      <c r="C183">
        <v>2433</v>
      </c>
    </row>
    <row r="184" spans="1:6" x14ac:dyDescent="0.2">
      <c r="A184">
        <v>7</v>
      </c>
      <c r="B184">
        <v>1</v>
      </c>
      <c r="C184">
        <v>330.7</v>
      </c>
    </row>
    <row r="185" spans="1:6" x14ac:dyDescent="0.2">
      <c r="A185">
        <v>7</v>
      </c>
      <c r="B185">
        <v>1</v>
      </c>
      <c r="C185">
        <v>5983</v>
      </c>
      <c r="D185" s="67">
        <f>$C$185-SUM($C$186:$C$187)</f>
        <v>371.60000000000036</v>
      </c>
      <c r="E185" t="str">
        <f>IF(D185&gt;=L_recycl,"oui","non")</f>
        <v>non</v>
      </c>
      <c r="F185" s="63">
        <f>D185/C185</f>
        <v>6.2109309710847459E-2</v>
      </c>
    </row>
    <row r="186" spans="1:6" x14ac:dyDescent="0.2">
      <c r="A186">
        <v>7</v>
      </c>
      <c r="B186">
        <v>1</v>
      </c>
      <c r="C186">
        <v>2805.7</v>
      </c>
    </row>
    <row r="187" spans="1:6" x14ac:dyDescent="0.2">
      <c r="A187">
        <v>7</v>
      </c>
      <c r="B187">
        <v>1</v>
      </c>
      <c r="C187">
        <v>2805.7</v>
      </c>
    </row>
    <row r="188" spans="1:6" x14ac:dyDescent="0.2">
      <c r="A188">
        <v>7</v>
      </c>
      <c r="B188">
        <v>1</v>
      </c>
      <c r="C188">
        <v>5983</v>
      </c>
      <c r="D188" s="67">
        <f>$C$188-SUM($C$189:$C$190)</f>
        <v>371.60000000000036</v>
      </c>
      <c r="E188" t="str">
        <f>IF(D188&gt;=L_recycl,"oui","non")</f>
        <v>non</v>
      </c>
      <c r="F188" s="63">
        <f>D188/C188</f>
        <v>6.2109309710847459E-2</v>
      </c>
    </row>
    <row r="189" spans="1:6" x14ac:dyDescent="0.2">
      <c r="A189">
        <v>7</v>
      </c>
      <c r="B189">
        <v>1</v>
      </c>
      <c r="C189">
        <v>2805.7</v>
      </c>
    </row>
    <row r="190" spans="1:6" x14ac:dyDescent="0.2">
      <c r="A190">
        <v>7</v>
      </c>
      <c r="B190">
        <v>1</v>
      </c>
      <c r="C190">
        <v>2805.7</v>
      </c>
    </row>
    <row r="191" spans="1:6" x14ac:dyDescent="0.2">
      <c r="A191">
        <v>7</v>
      </c>
      <c r="B191">
        <v>1</v>
      </c>
      <c r="C191">
        <v>5983</v>
      </c>
      <c r="D191" s="67">
        <f>$C$191-SUM($C$192:$C$193)</f>
        <v>371.60000000000036</v>
      </c>
      <c r="E191" t="str">
        <f>IF(D191&gt;=L_recycl,"oui","non")</f>
        <v>non</v>
      </c>
      <c r="F191" s="63">
        <f>D191/C191</f>
        <v>6.2109309710847459E-2</v>
      </c>
    </row>
    <row r="192" spans="1:6" x14ac:dyDescent="0.2">
      <c r="A192">
        <v>7</v>
      </c>
      <c r="B192">
        <v>1</v>
      </c>
      <c r="C192">
        <v>2805.7</v>
      </c>
    </row>
    <row r="193" spans="1:6" x14ac:dyDescent="0.2">
      <c r="A193">
        <v>7</v>
      </c>
      <c r="B193">
        <v>1</v>
      </c>
      <c r="C193">
        <v>2805.7</v>
      </c>
    </row>
    <row r="194" spans="1:6" x14ac:dyDescent="0.2">
      <c r="A194">
        <v>7</v>
      </c>
      <c r="B194">
        <v>1</v>
      </c>
      <c r="C194">
        <v>5983</v>
      </c>
      <c r="D194" s="67">
        <f>$C$194-SUM($C$195:$C$196)</f>
        <v>371.60000000000036</v>
      </c>
      <c r="E194" t="str">
        <f>IF(D194&gt;=L_recycl,"oui","non")</f>
        <v>non</v>
      </c>
      <c r="F194" s="63">
        <f>D194/C194</f>
        <v>6.2109309710847459E-2</v>
      </c>
    </row>
    <row r="195" spans="1:6" x14ac:dyDescent="0.2">
      <c r="A195">
        <v>7</v>
      </c>
      <c r="B195">
        <v>1</v>
      </c>
      <c r="C195">
        <v>2805.7</v>
      </c>
    </row>
    <row r="196" spans="1:6" x14ac:dyDescent="0.2">
      <c r="A196">
        <v>7</v>
      </c>
      <c r="B196">
        <v>1</v>
      </c>
      <c r="C196">
        <v>2805.7</v>
      </c>
    </row>
    <row r="197" spans="1:6" x14ac:dyDescent="0.2">
      <c r="A197">
        <v>7</v>
      </c>
      <c r="B197">
        <v>1</v>
      </c>
      <c r="C197">
        <v>5983</v>
      </c>
      <c r="D197" s="67">
        <f>$C$197-SUM($C$198:$C$199)</f>
        <v>744.30000000000018</v>
      </c>
      <c r="E197" t="str">
        <f>IF(D197&gt;=L_recycl,"oui","non")</f>
        <v>oui</v>
      </c>
      <c r="F197" s="63">
        <f>D197/C197</f>
        <v>0.1244024736754137</v>
      </c>
    </row>
    <row r="198" spans="1:6" x14ac:dyDescent="0.2">
      <c r="A198">
        <v>7</v>
      </c>
      <c r="B198">
        <v>1</v>
      </c>
      <c r="C198">
        <v>2805.7</v>
      </c>
    </row>
    <row r="199" spans="1:6" x14ac:dyDescent="0.2">
      <c r="A199">
        <v>7</v>
      </c>
      <c r="B199">
        <v>1</v>
      </c>
      <c r="C199">
        <v>2433</v>
      </c>
    </row>
    <row r="200" spans="1:6" x14ac:dyDescent="0.2">
      <c r="A200">
        <v>7</v>
      </c>
      <c r="B200">
        <v>1</v>
      </c>
      <c r="C200">
        <v>5983</v>
      </c>
      <c r="D200" s="67">
        <f>$C$200-SUM($C$201:$C$202)</f>
        <v>2257</v>
      </c>
      <c r="E200" t="str">
        <f>IF(D200&gt;=L_recycl,"oui","non")</f>
        <v>oui</v>
      </c>
      <c r="F200" s="63">
        <f>D200/C200</f>
        <v>0.37723550058499083</v>
      </c>
    </row>
    <row r="201" spans="1:6" x14ac:dyDescent="0.2">
      <c r="A201">
        <v>7</v>
      </c>
      <c r="B201">
        <v>1</v>
      </c>
      <c r="C201">
        <v>2433</v>
      </c>
    </row>
    <row r="202" spans="1:6" x14ac:dyDescent="0.2">
      <c r="A202">
        <v>7</v>
      </c>
      <c r="B202">
        <v>1</v>
      </c>
      <c r="C202">
        <v>1293</v>
      </c>
    </row>
    <row r="203" spans="1:6" x14ac:dyDescent="0.2">
      <c r="A203" s="64">
        <v>8</v>
      </c>
      <c r="B203" s="64">
        <v>1</v>
      </c>
      <c r="C203" s="64">
        <v>5983</v>
      </c>
      <c r="D203" s="65">
        <f>$C$203-SUM($C$204:$C$205)</f>
        <v>372.19999999999982</v>
      </c>
      <c r="E203" s="64" t="str">
        <f>IF(D203&gt;=L_recycl,"oui","non")</f>
        <v>non</v>
      </c>
      <c r="F203" s="66">
        <f>D203/C203</f>
        <v>6.2209593849239485E-2</v>
      </c>
    </row>
    <row r="204" spans="1:6" x14ac:dyDescent="0.2">
      <c r="A204">
        <v>8</v>
      </c>
      <c r="B204">
        <v>1</v>
      </c>
      <c r="C204">
        <v>2805.5</v>
      </c>
    </row>
    <row r="205" spans="1:6" x14ac:dyDescent="0.2">
      <c r="A205">
        <v>8</v>
      </c>
      <c r="B205">
        <v>1</v>
      </c>
      <c r="C205">
        <v>2805.3</v>
      </c>
    </row>
    <row r="206" spans="1:6" x14ac:dyDescent="0.2">
      <c r="A206">
        <v>8</v>
      </c>
      <c r="B206">
        <v>1</v>
      </c>
      <c r="C206">
        <v>5983</v>
      </c>
      <c r="D206" s="67">
        <f>$C$206-SUM($C$207:$C$208)</f>
        <v>459.60000000000036</v>
      </c>
      <c r="E206" t="str">
        <f>IF(D206&gt;=L_recycl,"oui","non")</f>
        <v>non</v>
      </c>
      <c r="F206" s="63">
        <f>D206/C206</f>
        <v>7.6817650008357066E-2</v>
      </c>
    </row>
    <row r="207" spans="1:6" x14ac:dyDescent="0.2">
      <c r="A207">
        <v>8</v>
      </c>
      <c r="B207">
        <v>1</v>
      </c>
      <c r="C207">
        <v>2785.6</v>
      </c>
    </row>
    <row r="208" spans="1:6" x14ac:dyDescent="0.2">
      <c r="A208">
        <v>8</v>
      </c>
      <c r="B208">
        <v>1</v>
      </c>
      <c r="C208">
        <v>2737.8</v>
      </c>
    </row>
    <row r="209" spans="1:6" x14ac:dyDescent="0.2">
      <c r="A209">
        <v>8</v>
      </c>
      <c r="B209">
        <v>1</v>
      </c>
      <c r="C209">
        <v>5983</v>
      </c>
      <c r="D209" s="67">
        <f>$C$209-SUM($C$210:$C$211)</f>
        <v>2018.1</v>
      </c>
      <c r="E209" t="str">
        <f>IF(D209&gt;=L_recycl,"oui","non")</f>
        <v>oui</v>
      </c>
      <c r="F209" s="63">
        <f>D209/C209</f>
        <v>0.33730569948186528</v>
      </c>
    </row>
    <row r="210" spans="1:6" x14ac:dyDescent="0.2">
      <c r="A210">
        <v>8</v>
      </c>
      <c r="B210">
        <v>1</v>
      </c>
      <c r="C210">
        <v>2709.3</v>
      </c>
    </row>
    <row r="211" spans="1:6" x14ac:dyDescent="0.2">
      <c r="A211">
        <v>8</v>
      </c>
      <c r="B211">
        <v>1</v>
      </c>
      <c r="C211">
        <v>1255.5999999999999</v>
      </c>
    </row>
    <row r="212" spans="1:6" x14ac:dyDescent="0.2">
      <c r="A212" s="64">
        <v>9</v>
      </c>
      <c r="B212" s="64">
        <v>1</v>
      </c>
      <c r="C212" s="64">
        <v>5983</v>
      </c>
      <c r="D212" s="65">
        <f>$C$212-SUM($C$213:$C$214)</f>
        <v>24.699999999999818</v>
      </c>
      <c r="E212" s="64" t="str">
        <f>IF(D212&gt;=L_recycl,"oui","non")</f>
        <v>non</v>
      </c>
      <c r="F212" s="66">
        <f>D212/C212</f>
        <v>4.1283636971418715E-3</v>
      </c>
    </row>
    <row r="213" spans="1:6" x14ac:dyDescent="0.2">
      <c r="A213">
        <v>9</v>
      </c>
      <c r="B213">
        <v>1</v>
      </c>
      <c r="C213">
        <v>3504.5</v>
      </c>
    </row>
    <row r="214" spans="1:6" x14ac:dyDescent="0.2">
      <c r="A214">
        <v>9</v>
      </c>
      <c r="B214">
        <v>1</v>
      </c>
      <c r="C214">
        <v>2453.8000000000002</v>
      </c>
    </row>
    <row r="215" spans="1:6" x14ac:dyDescent="0.2">
      <c r="A215">
        <v>9</v>
      </c>
      <c r="B215">
        <v>1</v>
      </c>
      <c r="C215">
        <v>5983</v>
      </c>
      <c r="D215" s="67">
        <f>$C$215-SUM($C$216:$C$217)</f>
        <v>157.19999999999982</v>
      </c>
      <c r="E215" t="str">
        <f>IF(D215&gt;=L_recycl,"oui","non")</f>
        <v>non</v>
      </c>
      <c r="F215" s="63">
        <f>D215/C215</f>
        <v>2.6274444258733046E-2</v>
      </c>
    </row>
    <row r="216" spans="1:6" x14ac:dyDescent="0.2">
      <c r="A216">
        <v>9</v>
      </c>
      <c r="B216">
        <v>1</v>
      </c>
      <c r="C216">
        <v>3372</v>
      </c>
    </row>
    <row r="217" spans="1:6" x14ac:dyDescent="0.2">
      <c r="A217">
        <v>9</v>
      </c>
      <c r="B217">
        <v>1</v>
      </c>
      <c r="C217">
        <v>2453.8000000000002</v>
      </c>
    </row>
    <row r="218" spans="1:6" x14ac:dyDescent="0.2">
      <c r="A218">
        <v>9</v>
      </c>
      <c r="B218">
        <v>1</v>
      </c>
      <c r="C218">
        <v>5983</v>
      </c>
      <c r="D218" s="67">
        <f>$C$218-SUM($C$219:$C$221)</f>
        <v>44.399999999999636</v>
      </c>
      <c r="E218" t="str">
        <f>IF(D218&gt;=L_recycl,"oui","non")</f>
        <v>non</v>
      </c>
      <c r="F218" s="63">
        <f>D218/C218</f>
        <v>7.4210262410161522E-3</v>
      </c>
    </row>
    <row r="219" spans="1:6" x14ac:dyDescent="0.2">
      <c r="A219">
        <v>9</v>
      </c>
      <c r="B219">
        <v>1</v>
      </c>
      <c r="C219">
        <v>2688.8</v>
      </c>
    </row>
    <row r="220" spans="1:6" x14ac:dyDescent="0.2">
      <c r="A220">
        <v>9</v>
      </c>
      <c r="B220">
        <v>1</v>
      </c>
      <c r="C220">
        <v>2688.8</v>
      </c>
    </row>
    <row r="221" spans="1:6" x14ac:dyDescent="0.2">
      <c r="A221">
        <v>9</v>
      </c>
      <c r="B221">
        <v>1</v>
      </c>
      <c r="C221">
        <v>561</v>
      </c>
    </row>
    <row r="222" spans="1:6" x14ac:dyDescent="0.2">
      <c r="A222">
        <v>9</v>
      </c>
      <c r="B222">
        <v>1</v>
      </c>
      <c r="C222">
        <v>5983</v>
      </c>
      <c r="D222" s="67">
        <f>$C$222-SUM($C$223:$C$225)</f>
        <v>190.39999999999964</v>
      </c>
      <c r="E222" t="str">
        <f>IF(D222&gt;=L_recycl,"oui","non")</f>
        <v>non</v>
      </c>
      <c r="F222" s="63">
        <f>D222/C222</f>
        <v>3.1823499916429826E-2</v>
      </c>
    </row>
    <row r="223" spans="1:6" x14ac:dyDescent="0.2">
      <c r="A223">
        <v>9</v>
      </c>
      <c r="B223">
        <v>1</v>
      </c>
      <c r="C223">
        <v>2688.8</v>
      </c>
    </row>
    <row r="224" spans="1:6" x14ac:dyDescent="0.2">
      <c r="A224">
        <v>9</v>
      </c>
      <c r="B224">
        <v>1</v>
      </c>
      <c r="C224">
        <v>2688.8</v>
      </c>
    </row>
    <row r="225" spans="1:6" x14ac:dyDescent="0.2">
      <c r="A225">
        <v>9</v>
      </c>
      <c r="B225">
        <v>1</v>
      </c>
      <c r="C225">
        <v>415</v>
      </c>
    </row>
    <row r="226" spans="1:6" x14ac:dyDescent="0.2">
      <c r="A226">
        <v>9</v>
      </c>
      <c r="B226">
        <v>1</v>
      </c>
      <c r="C226">
        <v>5983</v>
      </c>
      <c r="D226" s="67">
        <f>$C$226-SUM($C$227:$C$229)</f>
        <v>647.39999999999964</v>
      </c>
      <c r="E226" t="str">
        <f>IF(D226&gt;=L_recycl,"oui","non")</f>
        <v>non</v>
      </c>
      <c r="F226" s="63">
        <f>D226/C226</f>
        <v>0.10820658532508769</v>
      </c>
    </row>
    <row r="227" spans="1:6" x14ac:dyDescent="0.2">
      <c r="A227">
        <v>9</v>
      </c>
      <c r="B227">
        <v>1</v>
      </c>
      <c r="C227">
        <v>2688.8</v>
      </c>
    </row>
    <row r="228" spans="1:6" x14ac:dyDescent="0.2">
      <c r="A228">
        <v>9</v>
      </c>
      <c r="B228">
        <v>1</v>
      </c>
      <c r="C228">
        <v>2453.8000000000002</v>
      </c>
    </row>
    <row r="229" spans="1:6" x14ac:dyDescent="0.2">
      <c r="A229">
        <v>9</v>
      </c>
      <c r="B229">
        <v>1</v>
      </c>
      <c r="C229">
        <v>193</v>
      </c>
    </row>
    <row r="230" spans="1:6" x14ac:dyDescent="0.2">
      <c r="A230">
        <v>9</v>
      </c>
      <c r="B230">
        <v>1</v>
      </c>
      <c r="C230">
        <v>5983</v>
      </c>
      <c r="D230" s="67">
        <f>$C$230-SUM($C$231:$C$232)</f>
        <v>1135.3999999999996</v>
      </c>
      <c r="E230" t="str">
        <f>IF(D230&gt;=L_recycl,"oui","non")</f>
        <v>oui</v>
      </c>
      <c r="F230" s="63">
        <f>D230/C230</f>
        <v>0.18977101788400461</v>
      </c>
    </row>
    <row r="231" spans="1:6" x14ac:dyDescent="0.2">
      <c r="A231">
        <v>9</v>
      </c>
      <c r="B231">
        <v>1</v>
      </c>
      <c r="C231">
        <v>2423.8000000000002</v>
      </c>
    </row>
    <row r="232" spans="1:6" x14ac:dyDescent="0.2">
      <c r="A232">
        <v>9</v>
      </c>
      <c r="B232">
        <v>1</v>
      </c>
      <c r="C232">
        <v>2423.8000000000002</v>
      </c>
    </row>
    <row r="233" spans="1:6" x14ac:dyDescent="0.2">
      <c r="A233">
        <v>9</v>
      </c>
      <c r="B233">
        <v>1</v>
      </c>
      <c r="C233">
        <v>2397.5</v>
      </c>
      <c r="D233" s="67">
        <f>$C$233-SUM($C$234)</f>
        <v>114.5</v>
      </c>
      <c r="E233" t="str">
        <f>IF(D233&gt;=L_recycl,"oui","non")</f>
        <v>non</v>
      </c>
      <c r="F233" s="63">
        <f>D233/C233</f>
        <v>4.7758081334723673E-2</v>
      </c>
    </row>
    <row r="234" spans="1:6" x14ac:dyDescent="0.2">
      <c r="A234">
        <v>9</v>
      </c>
      <c r="B234">
        <v>1</v>
      </c>
      <c r="C234">
        <v>2283</v>
      </c>
    </row>
    <row r="235" spans="1:6" x14ac:dyDescent="0.2">
      <c r="A235">
        <v>9</v>
      </c>
      <c r="B235">
        <v>1</v>
      </c>
      <c r="C235">
        <v>5983</v>
      </c>
      <c r="D235" s="67">
        <f>$C$235-SUM($C$236:$C$238)</f>
        <v>239</v>
      </c>
      <c r="E235" t="str">
        <f>IF(D235&gt;=L_recycl,"oui","non")</f>
        <v>non</v>
      </c>
      <c r="F235" s="63">
        <f>D235/C235</f>
        <v>3.9946515126190872E-2</v>
      </c>
    </row>
    <row r="236" spans="1:6" x14ac:dyDescent="0.2">
      <c r="A236">
        <v>9</v>
      </c>
      <c r="B236">
        <v>1</v>
      </c>
      <c r="C236">
        <v>2283</v>
      </c>
    </row>
    <row r="237" spans="1:6" x14ac:dyDescent="0.2">
      <c r="A237">
        <v>9</v>
      </c>
      <c r="B237">
        <v>1</v>
      </c>
      <c r="C237">
        <v>2193</v>
      </c>
    </row>
    <row r="238" spans="1:6" x14ac:dyDescent="0.2">
      <c r="A238">
        <v>9</v>
      </c>
      <c r="B238">
        <v>1</v>
      </c>
      <c r="C238">
        <v>1268</v>
      </c>
    </row>
    <row r="239" spans="1:6" x14ac:dyDescent="0.2">
      <c r="A239">
        <v>9</v>
      </c>
      <c r="B239">
        <v>1</v>
      </c>
      <c r="C239">
        <v>1860</v>
      </c>
      <c r="D239" s="67">
        <f>$C$239-SUM($C$240)</f>
        <v>592</v>
      </c>
      <c r="E239" t="str">
        <f>IF(D239&gt;=L_recycl,"oui","non")</f>
        <v>non</v>
      </c>
      <c r="F239" s="63">
        <f>D239/C239</f>
        <v>0.31827956989247314</v>
      </c>
    </row>
    <row r="240" spans="1:6" x14ac:dyDescent="0.2">
      <c r="A240">
        <v>9</v>
      </c>
      <c r="B240">
        <v>1</v>
      </c>
      <c r="C240">
        <v>1268</v>
      </c>
    </row>
    <row r="241" spans="1:6" x14ac:dyDescent="0.2">
      <c r="A241" s="64">
        <v>10</v>
      </c>
      <c r="B241" s="64">
        <v>1</v>
      </c>
      <c r="C241" s="64"/>
      <c r="D241" s="64"/>
      <c r="E241" s="64"/>
      <c r="F241" s="64"/>
    </row>
  </sheetData>
  <mergeCells count="1">
    <mergeCell ref="C2:F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BK79"/>
  <sheetViews>
    <sheetView showGridLines="0" topLeftCell="Y64" zoomScale="88" zoomScaleNormal="88" zoomScalePageLayoutView="70" workbookViewId="0">
      <selection activeCell="BK79" sqref="BK79"/>
    </sheetView>
  </sheetViews>
  <sheetFormatPr defaultColWidth="17.28515625" defaultRowHeight="17.25" customHeight="1" x14ac:dyDescent="0.3"/>
  <cols>
    <col min="1" max="2" width="17.85546875" style="9" customWidth="1"/>
    <col min="3" max="3" width="17.85546875" style="11" customWidth="1"/>
    <col min="4" max="8" width="17.85546875" style="9" customWidth="1"/>
    <col min="9" max="24" width="17.28515625" style="9"/>
    <col min="25" max="25" width="10.42578125" style="81" bestFit="1" customWidth="1"/>
    <col min="26" max="26" width="10.28515625" style="75" bestFit="1" customWidth="1"/>
    <col min="27" max="27" width="9.28515625" style="113" bestFit="1" customWidth="1"/>
    <col min="28" max="28" width="9.7109375" style="9" hidden="1" customWidth="1"/>
    <col min="29" max="29" width="14.85546875" style="11" bestFit="1" customWidth="1"/>
    <col min="30" max="30" width="5.42578125" style="11" bestFit="1" customWidth="1"/>
    <col min="31" max="31" width="11.7109375" style="74" bestFit="1" customWidth="1"/>
    <col min="32" max="32" width="8.85546875" style="74" bestFit="1" customWidth="1"/>
    <col min="33" max="33" width="43" style="77" bestFit="1" customWidth="1"/>
    <col min="34" max="34" width="11.42578125" style="74" bestFit="1" customWidth="1"/>
    <col min="35" max="36" width="8.85546875" style="74" bestFit="1" customWidth="1"/>
    <col min="37" max="38" width="7" style="74" bestFit="1" customWidth="1"/>
    <col min="39" max="42" width="4.140625" style="74" bestFit="1" customWidth="1"/>
    <col min="43" max="47" width="5.42578125" style="74" bestFit="1" customWidth="1"/>
    <col min="48" max="48" width="5.42578125" style="11" bestFit="1" customWidth="1"/>
    <col min="49" max="49" width="5.7109375" style="97" bestFit="1" customWidth="1"/>
    <col min="50" max="51" width="6.7109375" style="97" bestFit="1" customWidth="1"/>
    <col min="52" max="57" width="5.7109375" style="97" bestFit="1" customWidth="1"/>
    <col min="58" max="63" width="7" style="97" bestFit="1" customWidth="1"/>
    <col min="64" max="16384" width="17.28515625" style="9"/>
  </cols>
  <sheetData>
    <row r="1" spans="1:63" ht="17.25" customHeight="1" x14ac:dyDescent="0.3">
      <c r="A1" s="35" t="s">
        <v>7</v>
      </c>
      <c r="B1" s="36" t="s">
        <v>24</v>
      </c>
      <c r="E1" s="21"/>
      <c r="F1" s="21"/>
      <c r="G1" s="21"/>
      <c r="H1" s="21"/>
      <c r="I1" s="21"/>
      <c r="J1" s="21"/>
      <c r="K1" s="21"/>
      <c r="Y1" s="80" t="s">
        <v>54</v>
      </c>
      <c r="Z1" s="79">
        <v>0.29166666666666669</v>
      </c>
      <c r="AG1" s="77" t="s">
        <v>57</v>
      </c>
    </row>
    <row r="2" spans="1:63" ht="17.25" customHeight="1" x14ac:dyDescent="0.3">
      <c r="A2" s="8" t="s">
        <v>23</v>
      </c>
      <c r="B2" s="34">
        <f ca="1">TODAY()</f>
        <v>45546</v>
      </c>
      <c r="C2" s="141" t="s">
        <v>9</v>
      </c>
      <c r="D2" s="141"/>
      <c r="E2" s="141"/>
      <c r="F2" s="141"/>
      <c r="G2" s="21"/>
      <c r="H2" s="21"/>
      <c r="I2" s="21"/>
      <c r="J2" s="21"/>
      <c r="K2" s="21"/>
      <c r="Y2" s="80" t="s">
        <v>55</v>
      </c>
      <c r="Z2" s="79">
        <v>2.0833333333333333E-3</v>
      </c>
      <c r="AG2" s="77" t="s">
        <v>58</v>
      </c>
      <c r="AH2" s="74">
        <f>SUM(TBL_Synthese[[P1]:[P15]])</f>
        <v>334759.09999999974</v>
      </c>
    </row>
    <row r="3" spans="1:63" ht="17.25" customHeight="1" x14ac:dyDescent="0.3">
      <c r="C3" s="141"/>
      <c r="D3" s="141"/>
      <c r="E3" s="141"/>
      <c r="F3" s="141"/>
      <c r="Y3" s="80" t="s">
        <v>56</v>
      </c>
      <c r="Z3" s="79">
        <v>1.7361111111111112E-4</v>
      </c>
      <c r="AG3" s="77" t="s">
        <v>61</v>
      </c>
      <c r="AH3" s="74">
        <f>+Listings!AF7</f>
        <v>346604.09999999992</v>
      </c>
    </row>
    <row r="4" spans="1:63" ht="17.25" customHeight="1" x14ac:dyDescent="0.3">
      <c r="A4" s="8" t="s">
        <v>26</v>
      </c>
      <c r="C4" s="9"/>
      <c r="E4" s="12"/>
      <c r="F4" s="12"/>
    </row>
    <row r="5" spans="1:63" ht="17.25" customHeight="1" x14ac:dyDescent="0.3">
      <c r="B5" s="40">
        <v>60</v>
      </c>
      <c r="C5" s="41">
        <v>6000</v>
      </c>
      <c r="E5" s="12"/>
      <c r="F5" s="12"/>
    </row>
    <row r="6" spans="1:63" ht="17.25" customHeight="1" x14ac:dyDescent="0.3">
      <c r="B6" s="40">
        <v>15</v>
      </c>
      <c r="C6" s="41">
        <v>5100</v>
      </c>
      <c r="D6" s="12"/>
      <c r="E6" s="12"/>
      <c r="F6" s="12"/>
    </row>
    <row r="7" spans="1:63" ht="17.25" customHeight="1" x14ac:dyDescent="0.3">
      <c r="C7" s="12"/>
      <c r="D7" s="12"/>
      <c r="E7" s="12"/>
      <c r="F7" s="12"/>
      <c r="Y7" s="82">
        <f>COLUMN()-COLUMN($Y$5)+1</f>
        <v>1</v>
      </c>
      <c r="Z7" s="76">
        <f t="shared" ref="Z7:BK7" si="0">COLUMN()-COLUMN($Y$5)+1</f>
        <v>2</v>
      </c>
      <c r="AA7" s="114">
        <f t="shared" si="0"/>
        <v>3</v>
      </c>
      <c r="AB7" s="76"/>
      <c r="AC7" s="76">
        <f t="shared" si="0"/>
        <v>5</v>
      </c>
      <c r="AD7" s="76">
        <f t="shared" si="0"/>
        <v>6</v>
      </c>
      <c r="AE7" s="76">
        <f t="shared" si="0"/>
        <v>7</v>
      </c>
      <c r="AF7" s="76">
        <f t="shared" si="0"/>
        <v>8</v>
      </c>
      <c r="AG7" s="78">
        <f t="shared" si="0"/>
        <v>9</v>
      </c>
      <c r="AH7" s="76">
        <f t="shared" si="0"/>
        <v>10</v>
      </c>
      <c r="AI7" s="76">
        <f t="shared" si="0"/>
        <v>11</v>
      </c>
      <c r="AJ7" s="76">
        <f t="shared" si="0"/>
        <v>12</v>
      </c>
      <c r="AK7" s="76">
        <f t="shared" si="0"/>
        <v>13</v>
      </c>
      <c r="AL7" s="76">
        <f t="shared" si="0"/>
        <v>14</v>
      </c>
      <c r="AM7" s="76">
        <f t="shared" si="0"/>
        <v>15</v>
      </c>
      <c r="AN7" s="76">
        <f t="shared" si="0"/>
        <v>16</v>
      </c>
      <c r="AO7" s="76">
        <f t="shared" si="0"/>
        <v>17</v>
      </c>
      <c r="AP7" s="76">
        <f t="shared" si="0"/>
        <v>18</v>
      </c>
      <c r="AQ7" s="76">
        <f t="shared" si="0"/>
        <v>19</v>
      </c>
      <c r="AR7" s="76">
        <f t="shared" si="0"/>
        <v>20</v>
      </c>
      <c r="AS7" s="76">
        <f t="shared" si="0"/>
        <v>21</v>
      </c>
      <c r="AT7" s="76">
        <f t="shared" si="0"/>
        <v>22</v>
      </c>
      <c r="AU7" s="76">
        <f t="shared" si="0"/>
        <v>23</v>
      </c>
      <c r="AV7" s="76">
        <f t="shared" si="0"/>
        <v>24</v>
      </c>
      <c r="AW7" s="98">
        <f t="shared" si="0"/>
        <v>25</v>
      </c>
      <c r="AX7" s="98">
        <f t="shared" si="0"/>
        <v>26</v>
      </c>
      <c r="AY7" s="98">
        <f t="shared" si="0"/>
        <v>27</v>
      </c>
      <c r="AZ7" s="98">
        <f t="shared" si="0"/>
        <v>28</v>
      </c>
      <c r="BA7" s="98">
        <f t="shared" si="0"/>
        <v>29</v>
      </c>
      <c r="BB7" s="98">
        <f t="shared" si="0"/>
        <v>30</v>
      </c>
      <c r="BC7" s="98">
        <f t="shared" si="0"/>
        <v>31</v>
      </c>
      <c r="BD7" s="98">
        <f t="shared" si="0"/>
        <v>32</v>
      </c>
      <c r="BE7" s="98">
        <f t="shared" si="0"/>
        <v>33</v>
      </c>
      <c r="BF7" s="98">
        <f t="shared" si="0"/>
        <v>34</v>
      </c>
      <c r="BG7" s="98">
        <f t="shared" si="0"/>
        <v>35</v>
      </c>
      <c r="BH7" s="98">
        <f t="shared" si="0"/>
        <v>36</v>
      </c>
      <c r="BI7" s="98">
        <f t="shared" si="0"/>
        <v>37</v>
      </c>
      <c r="BJ7" s="98">
        <f t="shared" si="0"/>
        <v>38</v>
      </c>
      <c r="BK7" s="98">
        <f t="shared" si="0"/>
        <v>39</v>
      </c>
    </row>
    <row r="8" spans="1:63" ht="17.25" customHeight="1" x14ac:dyDescent="0.3">
      <c r="AA8" s="113">
        <f>MAX(TBL_Synthese[Check
longueur])</f>
        <v>5962.6</v>
      </c>
    </row>
    <row r="9" spans="1:63" ht="17.25" customHeight="1" x14ac:dyDescent="0.3">
      <c r="A9" s="142" t="s">
        <v>0</v>
      </c>
      <c r="B9" s="142" t="s">
        <v>1</v>
      </c>
      <c r="C9" s="142" t="s">
        <v>8</v>
      </c>
      <c r="D9" s="142" t="s">
        <v>2</v>
      </c>
      <c r="E9" s="142" t="s">
        <v>3</v>
      </c>
      <c r="F9" s="142" t="s">
        <v>12</v>
      </c>
      <c r="G9" s="142" t="s">
        <v>20</v>
      </c>
      <c r="H9" s="142" t="s">
        <v>13</v>
      </c>
    </row>
    <row r="10" spans="1:63" ht="17.25" customHeight="1" x14ac:dyDescent="0.3">
      <c r="A10" s="142"/>
      <c r="B10" s="142"/>
      <c r="C10" s="142"/>
      <c r="D10" s="142"/>
      <c r="E10" s="142"/>
      <c r="F10" s="142"/>
      <c r="G10" s="142"/>
      <c r="H10" s="142"/>
    </row>
    <row r="11" spans="1:63" s="112" customFormat="1" ht="33.75" x14ac:dyDescent="0.3">
      <c r="A11" s="107">
        <v>1</v>
      </c>
      <c r="B11" s="108"/>
      <c r="C11" s="109" t="s">
        <v>10</v>
      </c>
      <c r="D11" s="109">
        <v>1</v>
      </c>
      <c r="E11" s="108">
        <v>6000</v>
      </c>
      <c r="F11" s="110">
        <f>ROUND(E11-SUM(E12:E18),0)</f>
        <v>4040</v>
      </c>
      <c r="G11" s="109" t="s">
        <v>21</v>
      </c>
      <c r="H11" s="111">
        <f>IF(G11="NON",F11/E11,0)</f>
        <v>0</v>
      </c>
      <c r="Y11" s="115" t="s">
        <v>53</v>
      </c>
      <c r="Z11" s="116" t="s">
        <v>51</v>
      </c>
      <c r="AA11" s="117" t="s">
        <v>151</v>
      </c>
      <c r="AB11" s="118" t="s">
        <v>52</v>
      </c>
      <c r="AC11" s="119" t="s">
        <v>152</v>
      </c>
      <c r="AD11" s="119" t="s">
        <v>55</v>
      </c>
      <c r="AE11" s="120" t="s">
        <v>33</v>
      </c>
      <c r="AF11" s="120" t="s">
        <v>34</v>
      </c>
      <c r="AG11" s="121" t="s">
        <v>35</v>
      </c>
      <c r="AH11" s="120" t="s">
        <v>36</v>
      </c>
      <c r="AI11" s="120" t="s">
        <v>37</v>
      </c>
      <c r="AJ11" s="120" t="s">
        <v>38</v>
      </c>
      <c r="AK11" s="120" t="s">
        <v>39</v>
      </c>
      <c r="AL11" s="120" t="s">
        <v>40</v>
      </c>
      <c r="AM11" s="120" t="s">
        <v>41</v>
      </c>
      <c r="AN11" s="120" t="s">
        <v>42</v>
      </c>
      <c r="AO11" s="120" t="s">
        <v>43</v>
      </c>
      <c r="AP11" s="120" t="s">
        <v>44</v>
      </c>
      <c r="AQ11" s="120" t="s">
        <v>45</v>
      </c>
      <c r="AR11" s="120" t="s">
        <v>46</v>
      </c>
      <c r="AS11" s="120" t="s">
        <v>47</v>
      </c>
      <c r="AT11" s="120" t="s">
        <v>48</v>
      </c>
      <c r="AU11" s="120" t="s">
        <v>49</v>
      </c>
      <c r="AV11" s="119" t="s">
        <v>50</v>
      </c>
      <c r="AW11" s="122" t="s">
        <v>108</v>
      </c>
      <c r="AX11" s="122" t="s">
        <v>109</v>
      </c>
      <c r="AY11" s="122" t="s">
        <v>110</v>
      </c>
      <c r="AZ11" s="122" t="s">
        <v>111</v>
      </c>
      <c r="BA11" s="122" t="s">
        <v>112</v>
      </c>
      <c r="BB11" s="122" t="s">
        <v>113</v>
      </c>
      <c r="BC11" s="122" t="s">
        <v>114</v>
      </c>
      <c r="BD11" s="122" t="s">
        <v>115</v>
      </c>
      <c r="BE11" s="122" t="s">
        <v>116</v>
      </c>
      <c r="BF11" s="122" t="s">
        <v>117</v>
      </c>
      <c r="BG11" s="122" t="s">
        <v>118</v>
      </c>
      <c r="BH11" s="122" t="s">
        <v>119</v>
      </c>
      <c r="BI11" s="122" t="s">
        <v>120</v>
      </c>
      <c r="BJ11" s="122" t="s">
        <v>121</v>
      </c>
      <c r="BK11" s="123" t="s">
        <v>122</v>
      </c>
    </row>
    <row r="12" spans="1:63" ht="17.25" customHeight="1" x14ac:dyDescent="0.3">
      <c r="A12" s="29">
        <v>1</v>
      </c>
      <c r="B12" s="19">
        <v>134</v>
      </c>
      <c r="C12" s="20" t="s">
        <v>11</v>
      </c>
      <c r="D12" s="20">
        <v>1</v>
      </c>
      <c r="E12" s="19">
        <v>41</v>
      </c>
      <c r="F12" s="19"/>
      <c r="G12" s="19"/>
      <c r="H12" s="31"/>
      <c r="Y12" s="124">
        <f>IF(ROW()=ROW(TBL_Synthese[[#Headers],[tijd]])+1,$Z$1,Y11)+IF(LEFT(TBL_Synthese[[#This Row],[check]],1)="&gt;",0,$Z$2+COUNTA(TBL_Synthese[[#This Row],[P1]:[P15]])*$Z$3)</f>
        <v>0.29409722222222223</v>
      </c>
      <c r="Z12" s="125"/>
      <c r="AA12" s="126">
        <f>SUM(TBL_Synthese[[#This Row],[P1]:[P15]])+MAX(COUNT(TBL_Synthese[[#This Row],[P1]:[P15]])-1,0)*L_saw+IF(ISNUMBER(MATCH(TBL_Synthese[[#This Row],[Longueur]],tblStock[Long.],0)),2*L_ends,0)</f>
        <v>5613</v>
      </c>
      <c r="AB12" s="127"/>
      <c r="AC12" s="128">
        <v>1</v>
      </c>
      <c r="AD12" s="128">
        <v>1</v>
      </c>
      <c r="AE12" s="127">
        <v>6000</v>
      </c>
      <c r="AF12" s="127">
        <v>367</v>
      </c>
      <c r="AG12" s="121" t="s">
        <v>134</v>
      </c>
      <c r="AH12" s="127">
        <v>5600</v>
      </c>
      <c r="AI12" s="127">
        <v>10</v>
      </c>
      <c r="AJ12" s="127"/>
      <c r="AK12" s="127"/>
      <c r="AL12" s="127"/>
      <c r="AM12" s="127"/>
      <c r="AN12" s="127"/>
      <c r="AO12" s="127"/>
      <c r="AP12" s="127"/>
      <c r="AQ12" s="127"/>
      <c r="AR12" s="127"/>
      <c r="AS12" s="127"/>
      <c r="AT12" s="127"/>
      <c r="AU12" s="127"/>
      <c r="AV12" s="128"/>
      <c r="AW12" s="130" t="s">
        <v>153</v>
      </c>
      <c r="AX12" s="130" t="s">
        <v>154</v>
      </c>
      <c r="AY12" s="130"/>
      <c r="AZ12" s="130"/>
      <c r="BA12" s="130"/>
      <c r="BB12" s="130"/>
      <c r="BC12" s="130"/>
      <c r="BD12" s="130"/>
      <c r="BE12" s="130"/>
      <c r="BF12" s="130"/>
      <c r="BG12" s="130"/>
      <c r="BH12" s="130"/>
      <c r="BI12" s="130"/>
      <c r="BJ12" s="130"/>
      <c r="BK12" s="131"/>
    </row>
    <row r="13" spans="1:63" ht="17.25" customHeight="1" x14ac:dyDescent="0.3">
      <c r="A13" s="29">
        <v>1</v>
      </c>
      <c r="B13" s="19">
        <v>135</v>
      </c>
      <c r="C13" s="20" t="s">
        <v>14</v>
      </c>
      <c r="D13" s="20">
        <v>1</v>
      </c>
      <c r="E13" s="39">
        <v>52.5</v>
      </c>
      <c r="F13" s="19"/>
      <c r="G13" s="19"/>
      <c r="H13" s="32"/>
      <c r="Y13" s="124">
        <f>IF(ROW()=ROW(TBL_Synthese[[#Headers],[tijd]])+1,$Z$1,Y12)+IF(LEFT(TBL_Synthese[[#This Row],[check]],1)="&gt;",0,$Z$2+COUNTA(TBL_Synthese[[#This Row],[P1]:[P15]])*$Z$3)</f>
        <v>0.296875</v>
      </c>
      <c r="Z13" s="125"/>
      <c r="AA13" s="126">
        <f>SUM(TBL_Synthese[[#This Row],[P1]:[P15]])+MAX(COUNT(TBL_Synthese[[#This Row],[P1]:[P15]])-1,0)*L_saw+IF(ISNUMBER(MATCH(TBL_Synthese[[#This Row],[Longueur]],tblStock[Long.],0)),2*L_ends,0)</f>
        <v>5047</v>
      </c>
      <c r="AB13" s="127"/>
      <c r="AC13" s="128">
        <v>2</v>
      </c>
      <c r="AD13" s="128">
        <v>2</v>
      </c>
      <c r="AE13" s="127">
        <v>5100</v>
      </c>
      <c r="AF13" s="127">
        <v>33</v>
      </c>
      <c r="AG13" s="129" t="s">
        <v>67</v>
      </c>
      <c r="AH13" s="127">
        <v>3516</v>
      </c>
      <c r="AI13" s="127">
        <v>1290</v>
      </c>
      <c r="AJ13" s="127">
        <v>179.5</v>
      </c>
      <c r="AK13" s="127">
        <v>52.5</v>
      </c>
      <c r="AL13" s="127"/>
      <c r="AM13" s="127"/>
      <c r="AN13" s="127"/>
      <c r="AO13" s="127"/>
      <c r="AP13" s="127"/>
      <c r="AQ13" s="127"/>
      <c r="AR13" s="127"/>
      <c r="AS13" s="127"/>
      <c r="AT13" s="127"/>
      <c r="AU13" s="127"/>
      <c r="AV13" s="128"/>
      <c r="AW13" s="130">
        <v>296</v>
      </c>
      <c r="AX13" s="130">
        <v>222</v>
      </c>
      <c r="AY13" s="130">
        <v>139</v>
      </c>
      <c r="AZ13" s="130">
        <v>135</v>
      </c>
      <c r="BA13" s="130"/>
      <c r="BB13" s="130"/>
      <c r="BC13" s="130"/>
      <c r="BD13" s="130"/>
      <c r="BE13" s="130"/>
      <c r="BF13" s="130"/>
      <c r="BG13" s="130"/>
      <c r="BH13" s="130"/>
      <c r="BI13" s="130"/>
      <c r="BJ13" s="130"/>
      <c r="BK13" s="131"/>
    </row>
    <row r="14" spans="1:63" ht="17.25" customHeight="1" x14ac:dyDescent="0.3">
      <c r="A14" s="29">
        <v>1</v>
      </c>
      <c r="B14" s="19">
        <v>139</v>
      </c>
      <c r="C14" s="20" t="s">
        <v>15</v>
      </c>
      <c r="D14" s="20">
        <v>1</v>
      </c>
      <c r="E14" s="39">
        <v>179.5</v>
      </c>
      <c r="F14" s="19"/>
      <c r="G14" s="19"/>
      <c r="H14" s="32"/>
      <c r="Y14" s="124">
        <f>IF(ROW()=ROW(TBL_Synthese[[#Headers],[tijd]])+1,$Z$1,Y13)+IF(LEFT(TBL_Synthese[[#This Row],[check]],1)="&gt;",0,$Z$2+COUNTA(TBL_Synthese[[#This Row],[P1]:[P15]])*$Z$3)</f>
        <v>0.29947916666666669</v>
      </c>
      <c r="Z14" s="125"/>
      <c r="AA14" s="126">
        <f>SUM(TBL_Synthese[[#This Row],[P1]:[P15]])+MAX(COUNT(TBL_Synthese[[#This Row],[P1]:[P15]])-1,0)*L_saw+IF(ISNUMBER(MATCH(TBL_Synthese[[#This Row],[Longueur]],tblStock[Long.],0)),2*L_ends,0)</f>
        <v>4852.5</v>
      </c>
      <c r="AB14" s="127"/>
      <c r="AC14" s="128">
        <v>2</v>
      </c>
      <c r="AD14" s="128">
        <v>3</v>
      </c>
      <c r="AE14" s="127">
        <v>5100</v>
      </c>
      <c r="AF14" s="127">
        <v>227.5</v>
      </c>
      <c r="AG14" s="129" t="s">
        <v>68</v>
      </c>
      <c r="AH14" s="127">
        <v>3516</v>
      </c>
      <c r="AI14" s="127">
        <v>1290</v>
      </c>
      <c r="AJ14" s="127">
        <v>40.5</v>
      </c>
      <c r="AK14" s="127"/>
      <c r="AL14" s="127"/>
      <c r="AM14" s="127"/>
      <c r="AN14" s="127"/>
      <c r="AO14" s="127"/>
      <c r="AP14" s="127"/>
      <c r="AQ14" s="127"/>
      <c r="AR14" s="127"/>
      <c r="AS14" s="127"/>
      <c r="AT14" s="127"/>
      <c r="AU14" s="127"/>
      <c r="AV14" s="128"/>
      <c r="AW14" s="130">
        <v>296</v>
      </c>
      <c r="AX14" s="130">
        <v>222</v>
      </c>
      <c r="AY14" s="130">
        <v>134</v>
      </c>
      <c r="AZ14" s="130"/>
      <c r="BA14" s="130"/>
      <c r="BB14" s="130"/>
      <c r="BC14" s="130"/>
      <c r="BD14" s="130"/>
      <c r="BE14" s="130"/>
      <c r="BF14" s="130"/>
      <c r="BG14" s="130"/>
      <c r="BH14" s="130"/>
      <c r="BI14" s="130"/>
      <c r="BJ14" s="130"/>
      <c r="BK14" s="131"/>
    </row>
    <row r="15" spans="1:63" ht="17.25" customHeight="1" x14ac:dyDescent="0.3">
      <c r="A15" s="29">
        <v>1</v>
      </c>
      <c r="B15" s="19">
        <v>152</v>
      </c>
      <c r="C15" s="20" t="s">
        <v>16</v>
      </c>
      <c r="D15" s="20">
        <v>1</v>
      </c>
      <c r="E15" s="39">
        <v>328.5</v>
      </c>
      <c r="F15" s="19"/>
      <c r="G15" s="19"/>
      <c r="H15" s="32"/>
      <c r="Y15" s="124">
        <f>IF(ROW()=ROW(TBL_Synthese[[#Headers],[tijd]])+1,$Z$1,Y14)+IF(LEFT(TBL_Synthese[[#This Row],[check]],1)="&gt;",0,$Z$2+COUNTA(TBL_Synthese[[#This Row],[P1]:[P15]])*$Z$3)</f>
        <v>0.30208333333333337</v>
      </c>
      <c r="Z15" s="125"/>
      <c r="AA15" s="126">
        <f>SUM(TBL_Synthese[[#This Row],[P1]:[P15]])+MAX(COUNT(TBL_Synthese[[#This Row],[P1]:[P15]])-1,0)*L_saw+IF(ISNUMBER(MATCH(TBL_Synthese[[#This Row],[Longueur]],tblStock[Long.],0)),2*L_ends,0)</f>
        <v>4979</v>
      </c>
      <c r="AB15" s="127"/>
      <c r="AC15" s="128">
        <v>2</v>
      </c>
      <c r="AD15" s="128">
        <v>4</v>
      </c>
      <c r="AE15" s="127">
        <v>5100</v>
      </c>
      <c r="AF15" s="127">
        <v>101</v>
      </c>
      <c r="AG15" s="129" t="s">
        <v>69</v>
      </c>
      <c r="AH15" s="127">
        <v>3220</v>
      </c>
      <c r="AI15" s="127">
        <v>1200</v>
      </c>
      <c r="AJ15" s="127">
        <v>553</v>
      </c>
      <c r="AK15" s="127"/>
      <c r="AL15" s="127"/>
      <c r="AM15" s="127"/>
      <c r="AN15" s="127"/>
      <c r="AO15" s="127"/>
      <c r="AP15" s="127"/>
      <c r="AQ15" s="127"/>
      <c r="AR15" s="127"/>
      <c r="AS15" s="127"/>
      <c r="AT15" s="127"/>
      <c r="AU15" s="127"/>
      <c r="AV15" s="128"/>
      <c r="AW15" s="130">
        <v>288</v>
      </c>
      <c r="AX15" s="130">
        <v>213</v>
      </c>
      <c r="AY15" s="130">
        <v>181</v>
      </c>
      <c r="AZ15" s="130"/>
      <c r="BA15" s="130"/>
      <c r="BB15" s="130"/>
      <c r="BC15" s="130"/>
      <c r="BD15" s="130"/>
      <c r="BE15" s="130"/>
      <c r="BF15" s="130"/>
      <c r="BG15" s="130"/>
      <c r="BH15" s="130"/>
      <c r="BI15" s="130"/>
      <c r="BJ15" s="130"/>
      <c r="BK15" s="131"/>
    </row>
    <row r="16" spans="1:63" ht="17.25" customHeight="1" x14ac:dyDescent="0.3">
      <c r="A16" s="29">
        <v>1</v>
      </c>
      <c r="B16" s="19">
        <v>153</v>
      </c>
      <c r="C16" s="20" t="s">
        <v>17</v>
      </c>
      <c r="D16" s="20">
        <v>1</v>
      </c>
      <c r="E16" s="39">
        <v>338.5</v>
      </c>
      <c r="F16" s="19"/>
      <c r="G16" s="19"/>
      <c r="H16" s="32"/>
      <c r="Y16" s="124">
        <f>IF(ROW()=ROW(TBL_Synthese[[#Headers],[tijd]])+1,$Z$1,Y15)+IF(LEFT(TBL_Synthese[[#This Row],[check]],1)="&gt;",0,$Z$2+COUNTA(TBL_Synthese[[#This Row],[P1]:[P15]])*$Z$3)</f>
        <v>0.30468750000000006</v>
      </c>
      <c r="Z16" s="125"/>
      <c r="AA16" s="126">
        <f>SUM(TBL_Synthese[[#This Row],[P1]:[P15]])+MAX(COUNT(TBL_Synthese[[#This Row],[P1]:[P15]])-1,0)*L_saw+IF(ISNUMBER(MATCH(TBL_Synthese[[#This Row],[Longueur]],tblStock[Long.],0)),2*L_ends,0)</f>
        <v>4936</v>
      </c>
      <c r="AB16" s="127"/>
      <c r="AC16" s="128">
        <v>2</v>
      </c>
      <c r="AD16" s="128">
        <v>5</v>
      </c>
      <c r="AE16" s="127">
        <v>5100</v>
      </c>
      <c r="AF16" s="127">
        <v>144</v>
      </c>
      <c r="AG16" s="129" t="s">
        <v>70</v>
      </c>
      <c r="AH16" s="127">
        <v>3220</v>
      </c>
      <c r="AI16" s="127">
        <v>965</v>
      </c>
      <c r="AJ16" s="127">
        <v>745</v>
      </c>
      <c r="AK16" s="127"/>
      <c r="AL16" s="127"/>
      <c r="AM16" s="127"/>
      <c r="AN16" s="127"/>
      <c r="AO16" s="127"/>
      <c r="AP16" s="127"/>
      <c r="AQ16" s="127"/>
      <c r="AR16" s="127"/>
      <c r="AS16" s="127"/>
      <c r="AT16" s="127"/>
      <c r="AU16" s="127"/>
      <c r="AV16" s="128"/>
      <c r="AW16" s="130">
        <v>288</v>
      </c>
      <c r="AX16" s="130">
        <v>203</v>
      </c>
      <c r="AY16" s="130">
        <v>195</v>
      </c>
      <c r="AZ16" s="130"/>
      <c r="BA16" s="130"/>
      <c r="BB16" s="130"/>
      <c r="BC16" s="130"/>
      <c r="BD16" s="130"/>
      <c r="BE16" s="130"/>
      <c r="BF16" s="130"/>
      <c r="BG16" s="130"/>
      <c r="BH16" s="130"/>
      <c r="BI16" s="130"/>
      <c r="BJ16" s="130"/>
      <c r="BK16" s="131"/>
    </row>
    <row r="17" spans="1:63" ht="17.25" customHeight="1" x14ac:dyDescent="0.3">
      <c r="A17" s="29">
        <v>1</v>
      </c>
      <c r="B17" s="19">
        <v>167</v>
      </c>
      <c r="C17" s="20" t="s">
        <v>18</v>
      </c>
      <c r="D17" s="20">
        <v>1</v>
      </c>
      <c r="E17" s="39">
        <v>467.5</v>
      </c>
      <c r="F17" s="19"/>
      <c r="G17" s="19"/>
      <c r="H17" s="32"/>
      <c r="Y17" s="124">
        <f>IF(ROW()=ROW(TBL_Synthese[[#Headers],[tijd]])+1,$Z$1,Y16)+IF(LEFT(TBL_Synthese[[#This Row],[check]],1)="&gt;",0,$Z$2+COUNTA(TBL_Synthese[[#This Row],[P1]:[P15]])*$Z$3)</f>
        <v>0.30729166666666674</v>
      </c>
      <c r="Z17" s="125"/>
      <c r="AA17" s="126">
        <f>SUM(TBL_Synthese[[#This Row],[P1]:[P15]])+MAX(COUNT(TBL_Synthese[[#This Row],[P1]:[P15]])-1,0)*L_saw+IF(ISNUMBER(MATCH(TBL_Synthese[[#This Row],[Longueur]],tblStock[Long.],0)),2*L_ends,0)</f>
        <v>4936</v>
      </c>
      <c r="AB17" s="127"/>
      <c r="AC17" s="128">
        <v>2</v>
      </c>
      <c r="AD17" s="128">
        <v>6</v>
      </c>
      <c r="AE17" s="127">
        <v>5100</v>
      </c>
      <c r="AF17" s="127">
        <v>144</v>
      </c>
      <c r="AG17" s="129" t="s">
        <v>70</v>
      </c>
      <c r="AH17" s="127">
        <v>3220</v>
      </c>
      <c r="AI17" s="127">
        <v>965</v>
      </c>
      <c r="AJ17" s="127">
        <v>745</v>
      </c>
      <c r="AK17" s="127"/>
      <c r="AL17" s="127"/>
      <c r="AM17" s="127"/>
      <c r="AN17" s="127"/>
      <c r="AO17" s="127"/>
      <c r="AP17" s="127"/>
      <c r="AQ17" s="127"/>
      <c r="AR17" s="127"/>
      <c r="AS17" s="127"/>
      <c r="AT17" s="127"/>
      <c r="AU17" s="127"/>
      <c r="AV17" s="128"/>
      <c r="AW17" s="130">
        <v>288</v>
      </c>
      <c r="AX17" s="130">
        <v>203</v>
      </c>
      <c r="AY17" s="130">
        <v>195</v>
      </c>
      <c r="AZ17" s="130"/>
      <c r="BA17" s="130"/>
      <c r="BB17" s="130"/>
      <c r="BC17" s="130"/>
      <c r="BD17" s="130"/>
      <c r="BE17" s="130"/>
      <c r="BF17" s="130"/>
      <c r="BG17" s="130"/>
      <c r="BH17" s="130"/>
      <c r="BI17" s="130"/>
      <c r="BJ17" s="130"/>
      <c r="BK17" s="131"/>
    </row>
    <row r="18" spans="1:63" ht="18" customHeight="1" x14ac:dyDescent="0.3">
      <c r="A18" s="29">
        <v>1</v>
      </c>
      <c r="B18" s="19">
        <v>181</v>
      </c>
      <c r="C18" s="20" t="s">
        <v>19</v>
      </c>
      <c r="D18" s="20">
        <v>3</v>
      </c>
      <c r="E18" s="19">
        <v>553</v>
      </c>
      <c r="F18" s="19"/>
      <c r="G18" s="19"/>
      <c r="H18" s="32"/>
      <c r="Y18" s="124">
        <f>IF(ROW()=ROW(TBL_Synthese[[#Headers],[tijd]])+1,$Z$1,Y17)+IF(LEFT(TBL_Synthese[[#This Row],[check]],1)="&gt;",0,$Z$2+COUNTA(TBL_Synthese[[#This Row],[P1]:[P15]])*$Z$3)</f>
        <v>0.31006944444444451</v>
      </c>
      <c r="Z18" s="125"/>
      <c r="AA18" s="126">
        <f>SUM(TBL_Synthese[[#This Row],[P1]:[P15]])+MAX(COUNT(TBL_Synthese[[#This Row],[P1]:[P15]])-1,0)*L_saw+IF(ISNUMBER(MATCH(TBL_Synthese[[#This Row],[Longueur]],tblStock[Long.],0)),2*L_ends,0)</f>
        <v>4802.5</v>
      </c>
      <c r="AB18" s="127"/>
      <c r="AC18" s="128">
        <v>2</v>
      </c>
      <c r="AD18" s="128">
        <v>7</v>
      </c>
      <c r="AE18" s="127">
        <v>5100</v>
      </c>
      <c r="AF18" s="127">
        <v>277.5</v>
      </c>
      <c r="AG18" s="129" t="s">
        <v>71</v>
      </c>
      <c r="AH18" s="127">
        <v>3220</v>
      </c>
      <c r="AI18" s="127">
        <v>553</v>
      </c>
      <c r="AJ18" s="127">
        <v>553</v>
      </c>
      <c r="AK18" s="127">
        <v>467.5</v>
      </c>
      <c r="AL18" s="127"/>
      <c r="AM18" s="127"/>
      <c r="AN18" s="127"/>
      <c r="AO18" s="127"/>
      <c r="AP18" s="127"/>
      <c r="AQ18" s="127"/>
      <c r="AR18" s="127"/>
      <c r="AS18" s="127"/>
      <c r="AT18" s="127"/>
      <c r="AU18" s="127"/>
      <c r="AV18" s="128"/>
      <c r="AW18" s="130">
        <v>288</v>
      </c>
      <c r="AX18" s="130">
        <v>181</v>
      </c>
      <c r="AY18" s="130">
        <v>181</v>
      </c>
      <c r="AZ18" s="130">
        <v>167</v>
      </c>
      <c r="BA18" s="130"/>
      <c r="BB18" s="130"/>
      <c r="BC18" s="130"/>
      <c r="BD18" s="130"/>
      <c r="BE18" s="130"/>
      <c r="BF18" s="130"/>
      <c r="BG18" s="130"/>
      <c r="BH18" s="130"/>
      <c r="BI18" s="130"/>
      <c r="BJ18" s="130"/>
      <c r="BK18" s="131"/>
    </row>
    <row r="19" spans="1:63" ht="17.25" customHeight="1" x14ac:dyDescent="0.3">
      <c r="A19" s="29">
        <v>1</v>
      </c>
      <c r="B19" s="19">
        <v>222</v>
      </c>
      <c r="C19" s="20" t="s">
        <v>11</v>
      </c>
      <c r="D19" s="20">
        <v>1</v>
      </c>
      <c r="E19" s="19">
        <v>1290</v>
      </c>
      <c r="F19" s="19"/>
      <c r="G19" s="19"/>
      <c r="H19" s="31"/>
      <c r="Y19" s="124">
        <f>IF(ROW()=ROW(TBL_Synthese[[#Headers],[tijd]])+1,$Z$1,Y18)+IF(LEFT(TBL_Synthese[[#This Row],[check]],1)="&gt;",0,$Z$2+COUNTA(TBL_Synthese[[#This Row],[P1]:[P15]])*$Z$3)</f>
        <v>0.31267361111111119</v>
      </c>
      <c r="Z19" s="125"/>
      <c r="AA19" s="126">
        <f>SUM(TBL_Synthese[[#This Row],[P1]:[P15]])+MAX(COUNT(TBL_Synthese[[#This Row],[P1]:[P15]])-1,0)*L_saw+IF(ISNUMBER(MATCH(TBL_Synthese[[#This Row],[Longueur]],tblStock[Long.],0)),2*L_ends,0)</f>
        <v>3893</v>
      </c>
      <c r="AB19" s="127"/>
      <c r="AC19" s="128">
        <v>2</v>
      </c>
      <c r="AD19" s="128">
        <v>8</v>
      </c>
      <c r="AE19" s="127">
        <v>5100</v>
      </c>
      <c r="AF19" s="127">
        <v>1187</v>
      </c>
      <c r="AG19" s="129" t="s">
        <v>72</v>
      </c>
      <c r="AH19" s="127">
        <v>3220</v>
      </c>
      <c r="AI19" s="127">
        <v>338.5</v>
      </c>
      <c r="AJ19" s="127">
        <v>328.5</v>
      </c>
      <c r="AK19" s="127"/>
      <c r="AL19" s="127"/>
      <c r="AM19" s="127"/>
      <c r="AN19" s="127"/>
      <c r="AO19" s="127"/>
      <c r="AP19" s="127"/>
      <c r="AQ19" s="127"/>
      <c r="AR19" s="127"/>
      <c r="AS19" s="127"/>
      <c r="AT19" s="127"/>
      <c r="AU19" s="127"/>
      <c r="AV19" s="128"/>
      <c r="AW19" s="130">
        <v>288</v>
      </c>
      <c r="AX19" s="130">
        <v>153</v>
      </c>
      <c r="AY19" s="130">
        <v>152</v>
      </c>
      <c r="AZ19" s="130"/>
      <c r="BA19" s="130"/>
      <c r="BB19" s="130"/>
      <c r="BC19" s="130"/>
      <c r="BD19" s="130"/>
      <c r="BE19" s="130"/>
      <c r="BF19" s="130"/>
      <c r="BG19" s="130"/>
      <c r="BH19" s="130"/>
      <c r="BI19" s="130"/>
      <c r="BJ19" s="130"/>
      <c r="BK19" s="131"/>
    </row>
    <row r="20" spans="1:63" ht="17.25" customHeight="1" x14ac:dyDescent="0.3">
      <c r="A20" s="29">
        <v>1</v>
      </c>
      <c r="B20" s="19">
        <v>232</v>
      </c>
      <c r="C20" s="20" t="s">
        <v>19</v>
      </c>
      <c r="D20" s="20">
        <v>1</v>
      </c>
      <c r="E20" s="19">
        <v>1290</v>
      </c>
      <c r="F20" s="19"/>
      <c r="G20" s="19"/>
      <c r="H20" s="32"/>
      <c r="Y20" s="124">
        <f>IF(ROW()=ROW(TBL_Synthese[[#Headers],[tijd]])+1,$Z$1,Y19)+IF(LEFT(TBL_Synthese[[#This Row],[check]],1)="&gt;",0,$Z$2+COUNTA(TBL_Synthese[[#This Row],[P1]:[P15]])*$Z$3)</f>
        <v>0.31493055555555566</v>
      </c>
      <c r="Z20" s="125"/>
      <c r="AA20" s="126">
        <f>SUM(TBL_Synthese[[#This Row],[P1]:[P15]])+MAX(COUNT(TBL_Synthese[[#This Row],[P1]:[P15]])-1,0)*L_saw+IF(ISNUMBER(MATCH(TBL_Synthese[[#This Row],[Longueur]],tblStock[Long.],0)),2*L_ends,0)</f>
        <v>3220</v>
      </c>
      <c r="AB20" s="127"/>
      <c r="AC20" s="128">
        <v>2</v>
      </c>
      <c r="AD20" s="128">
        <v>9</v>
      </c>
      <c r="AE20" s="127">
        <v>5100</v>
      </c>
      <c r="AF20" s="127">
        <v>1860</v>
      </c>
      <c r="AG20" s="129" t="s">
        <v>73</v>
      </c>
      <c r="AH20" s="127">
        <v>3220</v>
      </c>
      <c r="AI20" s="127"/>
      <c r="AJ20" s="127"/>
      <c r="AK20" s="127"/>
      <c r="AL20" s="127"/>
      <c r="AM20" s="127"/>
      <c r="AN20" s="127"/>
      <c r="AO20" s="127"/>
      <c r="AP20" s="127"/>
      <c r="AQ20" s="127"/>
      <c r="AR20" s="127"/>
      <c r="AS20" s="127"/>
      <c r="AT20" s="127"/>
      <c r="AU20" s="127"/>
      <c r="AV20" s="128"/>
      <c r="AW20" s="130">
        <v>288</v>
      </c>
      <c r="AX20" s="130"/>
      <c r="AY20" s="130"/>
      <c r="AZ20" s="130"/>
      <c r="BA20" s="130"/>
      <c r="BB20" s="130"/>
      <c r="BC20" s="130"/>
      <c r="BD20" s="130"/>
      <c r="BE20" s="130"/>
      <c r="BF20" s="130"/>
      <c r="BG20" s="130"/>
      <c r="BH20" s="130"/>
      <c r="BI20" s="130"/>
      <c r="BJ20" s="130"/>
      <c r="BK20" s="131"/>
    </row>
    <row r="21" spans="1:63" ht="17.25" customHeight="1" x14ac:dyDescent="0.3">
      <c r="A21" s="29">
        <v>1</v>
      </c>
      <c r="B21" s="19">
        <v>251</v>
      </c>
      <c r="C21" s="20"/>
      <c r="D21" s="20">
        <v>1</v>
      </c>
      <c r="E21" s="19">
        <v>2430</v>
      </c>
      <c r="F21" s="19"/>
      <c r="G21" s="19"/>
      <c r="H21" s="32"/>
      <c r="Y21" s="124">
        <f>IF(ROW()=ROW(TBL_Synthese[[#Headers],[tijd]])+1,$Z$1,Y20)+IF(LEFT(TBL_Synthese[[#This Row],[check]],1)="&gt;",0,$Z$2+COUNTA(TBL_Synthese[[#This Row],[P1]:[P15]])*$Z$3)</f>
        <v>0.31718750000000012</v>
      </c>
      <c r="Z21" s="125"/>
      <c r="AA21" s="126">
        <f>SUM(TBL_Synthese[[#This Row],[P1]:[P15]])+MAX(COUNT(TBL_Synthese[[#This Row],[P1]:[P15]])-1,0)*L_saw+IF(ISNUMBER(MATCH(TBL_Synthese[[#This Row],[Longueur]],tblStock[Long.],0)),2*L_ends,0)</f>
        <v>3220</v>
      </c>
      <c r="AB21" s="127"/>
      <c r="AC21" s="128">
        <v>2</v>
      </c>
      <c r="AD21" s="128">
        <v>10</v>
      </c>
      <c r="AE21" s="127">
        <v>5100</v>
      </c>
      <c r="AF21" s="127">
        <v>1860</v>
      </c>
      <c r="AG21" s="129" t="s">
        <v>73</v>
      </c>
      <c r="AH21" s="127">
        <v>3220</v>
      </c>
      <c r="AI21" s="127"/>
      <c r="AJ21" s="127"/>
      <c r="AK21" s="127"/>
      <c r="AL21" s="127"/>
      <c r="AM21" s="127"/>
      <c r="AN21" s="127"/>
      <c r="AO21" s="127"/>
      <c r="AP21" s="127"/>
      <c r="AQ21" s="127"/>
      <c r="AR21" s="127"/>
      <c r="AS21" s="127"/>
      <c r="AT21" s="127"/>
      <c r="AU21" s="127"/>
      <c r="AV21" s="128"/>
      <c r="AW21" s="130">
        <v>288</v>
      </c>
      <c r="AX21" s="130"/>
      <c r="AY21" s="130"/>
      <c r="AZ21" s="130"/>
      <c r="BA21" s="130"/>
      <c r="BB21" s="130"/>
      <c r="BC21" s="130"/>
      <c r="BD21" s="130"/>
      <c r="BE21" s="130"/>
      <c r="BF21" s="130"/>
      <c r="BG21" s="130"/>
      <c r="BH21" s="130"/>
      <c r="BI21" s="130"/>
      <c r="BJ21" s="130"/>
      <c r="BK21" s="131"/>
    </row>
    <row r="22" spans="1:63" ht="17.25" customHeight="1" x14ac:dyDescent="0.3">
      <c r="A22" s="25" t="str">
        <f>"Somme total "&amp;A21</f>
        <v>Somme total 1</v>
      </c>
      <c r="B22" s="26"/>
      <c r="C22" s="27" t="s">
        <v>10</v>
      </c>
      <c r="D22" s="27" t="e">
        <f>#REF!+D11</f>
        <v>#REF!</v>
      </c>
      <c r="E22" s="26" t="e">
        <f>#REF!+E11</f>
        <v>#REF!</v>
      </c>
      <c r="F22" s="26" t="e">
        <f>#REF!</f>
        <v>#REF!</v>
      </c>
      <c r="G22" s="26"/>
      <c r="H22" s="28" t="e">
        <f>F22/E22</f>
        <v>#REF!</v>
      </c>
      <c r="Y22" s="124">
        <f>IF(ROW()=ROW(TBL_Synthese[[#Headers],[tijd]])+1,$Z$1,Y21)+IF(LEFT(TBL_Synthese[[#This Row],[check]],1)="&gt;",0,$Z$2+COUNTA(TBL_Synthese[[#This Row],[P1]:[P15]])*$Z$3)</f>
        <v>0.31944444444444459</v>
      </c>
      <c r="Z22" s="125"/>
      <c r="AA22" s="126">
        <f>SUM(TBL_Synthese[[#This Row],[P1]:[P15]])+MAX(COUNT(TBL_Synthese[[#This Row],[P1]:[P15]])-1,0)*L_saw+IF(ISNUMBER(MATCH(TBL_Synthese[[#This Row],[Longueur]],tblStock[Long.],0)),2*L_ends,0)</f>
        <v>3220</v>
      </c>
      <c r="AB22" s="127"/>
      <c r="AC22" s="128">
        <v>2</v>
      </c>
      <c r="AD22" s="128">
        <v>11</v>
      </c>
      <c r="AE22" s="127">
        <v>5100</v>
      </c>
      <c r="AF22" s="127">
        <v>1860</v>
      </c>
      <c r="AG22" s="129" t="s">
        <v>73</v>
      </c>
      <c r="AH22" s="127">
        <v>3220</v>
      </c>
      <c r="AI22" s="127"/>
      <c r="AJ22" s="127"/>
      <c r="AK22" s="127"/>
      <c r="AL22" s="127"/>
      <c r="AM22" s="127"/>
      <c r="AN22" s="127"/>
      <c r="AO22" s="127"/>
      <c r="AP22" s="127"/>
      <c r="AQ22" s="127"/>
      <c r="AR22" s="127"/>
      <c r="AS22" s="127"/>
      <c r="AT22" s="127"/>
      <c r="AU22" s="127"/>
      <c r="AV22" s="128"/>
      <c r="AW22" s="130">
        <v>288</v>
      </c>
      <c r="AX22" s="130"/>
      <c r="AY22" s="130"/>
      <c r="AZ22" s="130"/>
      <c r="BA22" s="130"/>
      <c r="BB22" s="130"/>
      <c r="BC22" s="130"/>
      <c r="BD22" s="130"/>
      <c r="BE22" s="130"/>
      <c r="BF22" s="130"/>
      <c r="BG22" s="130"/>
      <c r="BH22" s="130"/>
      <c r="BI22" s="130"/>
      <c r="BJ22" s="130"/>
      <c r="BK22" s="131"/>
    </row>
    <row r="23" spans="1:63" ht="17.25" customHeight="1" x14ac:dyDescent="0.3">
      <c r="A23" s="13"/>
      <c r="H23" s="14"/>
      <c r="Y23" s="124">
        <f>IF(ROW()=ROW(TBL_Synthese[[#Headers],[tijd]])+1,$Z$1,Y22)+IF(LEFT(TBL_Synthese[[#This Row],[check]],1)="&gt;",0,$Z$2+COUNTA(TBL_Synthese[[#This Row],[P1]:[P15]])*$Z$3)</f>
        <v>0.32170138888888905</v>
      </c>
      <c r="Z23" s="125"/>
      <c r="AA23" s="126">
        <f>SUM(TBL_Synthese[[#This Row],[P1]:[P15]])+MAX(COUNT(TBL_Synthese[[#This Row],[P1]:[P15]])-1,0)*L_saw+IF(ISNUMBER(MATCH(TBL_Synthese[[#This Row],[Longueur]],tblStock[Long.],0)),2*L_ends,0)</f>
        <v>3220</v>
      </c>
      <c r="AB23" s="127"/>
      <c r="AC23" s="128">
        <v>2</v>
      </c>
      <c r="AD23" s="128">
        <v>12</v>
      </c>
      <c r="AE23" s="127">
        <v>5100</v>
      </c>
      <c r="AF23" s="127">
        <v>1860</v>
      </c>
      <c r="AG23" s="129" t="s">
        <v>73</v>
      </c>
      <c r="AH23" s="127">
        <v>3220</v>
      </c>
      <c r="AI23" s="127"/>
      <c r="AJ23" s="127"/>
      <c r="AK23" s="127"/>
      <c r="AL23" s="127"/>
      <c r="AM23" s="127"/>
      <c r="AN23" s="127"/>
      <c r="AO23" s="127"/>
      <c r="AP23" s="127"/>
      <c r="AQ23" s="127"/>
      <c r="AR23" s="127"/>
      <c r="AS23" s="127"/>
      <c r="AT23" s="127"/>
      <c r="AU23" s="127"/>
      <c r="AV23" s="128"/>
      <c r="AW23" s="130">
        <v>288</v>
      </c>
      <c r="AX23" s="130"/>
      <c r="AY23" s="130"/>
      <c r="AZ23" s="130"/>
      <c r="BA23" s="130"/>
      <c r="BB23" s="130"/>
      <c r="BC23" s="130"/>
      <c r="BD23" s="130"/>
      <c r="BE23" s="130"/>
      <c r="BF23" s="130"/>
      <c r="BG23" s="130"/>
      <c r="BH23" s="130"/>
      <c r="BI23" s="130"/>
      <c r="BJ23" s="130"/>
      <c r="BK23" s="131"/>
    </row>
    <row r="24" spans="1:63" ht="17.25" customHeight="1" x14ac:dyDescent="0.3">
      <c r="A24" s="30">
        <v>2</v>
      </c>
      <c r="B24" s="22"/>
      <c r="C24" s="23" t="s">
        <v>10</v>
      </c>
      <c r="D24" s="23">
        <v>1</v>
      </c>
      <c r="E24" s="22">
        <v>6000</v>
      </c>
      <c r="F24" s="22">
        <f>E24-SUM(E25:E32)</f>
        <v>1180</v>
      </c>
      <c r="G24" s="24" t="s">
        <v>22</v>
      </c>
      <c r="H24" s="33">
        <f>IF(G24="NON",F24/E24,0)</f>
        <v>0.19666666666666666</v>
      </c>
      <c r="Y24" s="124">
        <f>IF(ROW()=ROW(TBL_Synthese[[#Headers],[tijd]])+1,$Z$1,Y23)+IF(LEFT(TBL_Synthese[[#This Row],[check]],1)="&gt;",0,$Z$2+COUNTA(TBL_Synthese[[#This Row],[P1]:[P15]])*$Z$3)</f>
        <v>0.3241319444444446</v>
      </c>
      <c r="Z24" s="125"/>
      <c r="AA24" s="126">
        <f>SUM(TBL_Synthese[[#This Row],[P1]:[P15]])+MAX(COUNT(TBL_Synthese[[#This Row],[P1]:[P15]])-1,0)*L_saw+IF(ISNUMBER(MATCH(TBL_Synthese[[#This Row],[Longueur]],tblStock[Long.],0)),2*L_ends,0)</f>
        <v>4863</v>
      </c>
      <c r="AB24" s="127"/>
      <c r="AC24" s="128">
        <v>2</v>
      </c>
      <c r="AD24" s="128">
        <v>13</v>
      </c>
      <c r="AE24" s="127">
        <v>5100</v>
      </c>
      <c r="AF24" s="127">
        <v>217</v>
      </c>
      <c r="AG24" s="129" t="s">
        <v>74</v>
      </c>
      <c r="AH24" s="127">
        <v>2430</v>
      </c>
      <c r="AI24" s="127">
        <v>2430</v>
      </c>
      <c r="AJ24" s="127"/>
      <c r="AK24" s="127"/>
      <c r="AL24" s="127"/>
      <c r="AM24" s="127"/>
      <c r="AN24" s="127"/>
      <c r="AO24" s="127"/>
      <c r="AP24" s="127"/>
      <c r="AQ24" s="127"/>
      <c r="AR24" s="127"/>
      <c r="AS24" s="127"/>
      <c r="AT24" s="127"/>
      <c r="AU24" s="127"/>
      <c r="AV24" s="128"/>
      <c r="AW24" s="130">
        <v>251</v>
      </c>
      <c r="AX24" s="130">
        <v>251</v>
      </c>
      <c r="AY24" s="130"/>
      <c r="AZ24" s="130"/>
      <c r="BA24" s="130"/>
      <c r="BB24" s="130"/>
      <c r="BC24" s="130"/>
      <c r="BD24" s="130"/>
      <c r="BE24" s="130"/>
      <c r="BF24" s="130"/>
      <c r="BG24" s="130"/>
      <c r="BH24" s="130"/>
      <c r="BI24" s="130"/>
      <c r="BJ24" s="130"/>
      <c r="BK24" s="131"/>
    </row>
    <row r="25" spans="1:63" ht="17.25" customHeight="1" x14ac:dyDescent="0.3">
      <c r="A25" s="29">
        <v>2</v>
      </c>
      <c r="B25" s="19">
        <v>136</v>
      </c>
      <c r="C25" s="20"/>
      <c r="D25" s="20">
        <v>1</v>
      </c>
      <c r="E25" s="39">
        <v>108.5</v>
      </c>
      <c r="F25" s="19"/>
      <c r="G25" s="19"/>
      <c r="H25" s="31"/>
      <c r="Y25" s="124">
        <f>IF(ROW()=ROW(TBL_Synthese[[#Headers],[tijd]])+1,$Z$1,Y24)+IF(LEFT(TBL_Synthese[[#This Row],[check]],1)="&gt;",0,$Z$2+COUNTA(TBL_Synthese[[#This Row],[P1]:[P15]])*$Z$3)</f>
        <v>0.32673611111111128</v>
      </c>
      <c r="Z25" s="125"/>
      <c r="AA25" s="126">
        <f>SUM(TBL_Synthese[[#This Row],[P1]:[P15]])+MAX(COUNT(TBL_Synthese[[#This Row],[P1]:[P15]])-1,0)*L_saw+IF(ISNUMBER(MATCH(TBL_Synthese[[#This Row],[Longueur]],tblStock[Long.],0)),2*L_ends,0)</f>
        <v>5071.5</v>
      </c>
      <c r="AB25" s="127"/>
      <c r="AC25" s="128">
        <v>3</v>
      </c>
      <c r="AD25" s="128">
        <v>14</v>
      </c>
      <c r="AE25" s="127">
        <v>5100</v>
      </c>
      <c r="AF25" s="127">
        <v>8.5</v>
      </c>
      <c r="AG25" s="129" t="s">
        <v>75</v>
      </c>
      <c r="AH25" s="127">
        <v>3528</v>
      </c>
      <c r="AI25" s="127">
        <v>1290</v>
      </c>
      <c r="AJ25" s="127">
        <v>247.5</v>
      </c>
      <c r="AK25" s="127"/>
      <c r="AL25" s="127"/>
      <c r="AM25" s="127"/>
      <c r="AN25" s="127"/>
      <c r="AO25" s="127"/>
      <c r="AP25" s="127"/>
      <c r="AQ25" s="127"/>
      <c r="AR25" s="127"/>
      <c r="AS25" s="127"/>
      <c r="AT25" s="127"/>
      <c r="AU25" s="127"/>
      <c r="AV25" s="128"/>
      <c r="AW25" s="130">
        <v>298</v>
      </c>
      <c r="AX25" s="130">
        <v>227</v>
      </c>
      <c r="AY25" s="130">
        <v>143</v>
      </c>
      <c r="AZ25" s="130"/>
      <c r="BA25" s="130"/>
      <c r="BB25" s="130"/>
      <c r="BC25" s="130"/>
      <c r="BD25" s="130"/>
      <c r="BE25" s="130"/>
      <c r="BF25" s="130"/>
      <c r="BG25" s="130"/>
      <c r="BH25" s="130"/>
      <c r="BI25" s="130"/>
      <c r="BJ25" s="130"/>
      <c r="BK25" s="131"/>
    </row>
    <row r="26" spans="1:63" ht="17.25" customHeight="1" x14ac:dyDescent="0.3">
      <c r="A26" s="29">
        <v>2</v>
      </c>
      <c r="B26" s="19">
        <v>143</v>
      </c>
      <c r="C26" s="20"/>
      <c r="D26" s="20">
        <v>1</v>
      </c>
      <c r="E26" s="39">
        <v>247.5</v>
      </c>
      <c r="F26" s="19"/>
      <c r="G26" s="19"/>
      <c r="H26" s="32"/>
      <c r="Y26" s="124">
        <f>IF(ROW()=ROW(TBL_Synthese[[#Headers],[tijd]])+1,$Z$1,Y25)+IF(LEFT(TBL_Synthese[[#This Row],[check]],1)="&gt;",0,$Z$2+COUNTA(TBL_Synthese[[#This Row],[P1]:[P15]])*$Z$3)</f>
        <v>0.32934027777777797</v>
      </c>
      <c r="Z26" s="125"/>
      <c r="AA26" s="126">
        <f>SUM(TBL_Synthese[[#This Row],[P1]:[P15]])+MAX(COUNT(TBL_Synthese[[#This Row],[P1]:[P15]])-1,0)*L_saw+IF(ISNUMBER(MATCH(TBL_Synthese[[#This Row],[Longueur]],tblStock[Long.],0)),2*L_ends,0)</f>
        <v>4932.5</v>
      </c>
      <c r="AB26" s="127"/>
      <c r="AC26" s="128">
        <v>3</v>
      </c>
      <c r="AD26" s="128">
        <v>15</v>
      </c>
      <c r="AE26" s="127">
        <v>5100</v>
      </c>
      <c r="AF26" s="127">
        <v>147.5</v>
      </c>
      <c r="AG26" s="129" t="s">
        <v>76</v>
      </c>
      <c r="AH26" s="127">
        <v>3528</v>
      </c>
      <c r="AI26" s="127">
        <v>1290</v>
      </c>
      <c r="AJ26" s="127">
        <v>108.5</v>
      </c>
      <c r="AK26" s="127"/>
      <c r="AL26" s="127"/>
      <c r="AM26" s="127"/>
      <c r="AN26" s="127"/>
      <c r="AO26" s="127"/>
      <c r="AP26" s="127"/>
      <c r="AQ26" s="127"/>
      <c r="AR26" s="127"/>
      <c r="AS26" s="127"/>
      <c r="AT26" s="127"/>
      <c r="AU26" s="127"/>
      <c r="AV26" s="128"/>
      <c r="AW26" s="130">
        <v>298</v>
      </c>
      <c r="AX26" s="130">
        <v>227</v>
      </c>
      <c r="AY26" s="130">
        <v>136</v>
      </c>
      <c r="AZ26" s="130"/>
      <c r="BA26" s="130"/>
      <c r="BB26" s="130"/>
      <c r="BC26" s="130"/>
      <c r="BD26" s="130"/>
      <c r="BE26" s="130"/>
      <c r="BF26" s="130"/>
      <c r="BG26" s="130"/>
      <c r="BH26" s="130"/>
      <c r="BI26" s="130"/>
      <c r="BJ26" s="130"/>
      <c r="BK26" s="131"/>
    </row>
    <row r="27" spans="1:63" ht="17.25" customHeight="1" x14ac:dyDescent="0.3">
      <c r="A27" s="29">
        <v>2</v>
      </c>
      <c r="B27" s="19">
        <v>159</v>
      </c>
      <c r="C27" s="20"/>
      <c r="D27" s="20">
        <v>1</v>
      </c>
      <c r="E27" s="39">
        <v>410.5</v>
      </c>
      <c r="F27" s="19"/>
      <c r="G27" s="19"/>
      <c r="H27" s="32"/>
      <c r="Y27" s="124">
        <f>IF(ROW()=ROW(TBL_Synthese[[#Headers],[tijd]])+1,$Z$1,Y26)+IF(LEFT(TBL_Synthese[[#This Row],[check]],1)="&gt;",0,$Z$2+COUNTA(TBL_Synthese[[#This Row],[P1]:[P15]])*$Z$3)</f>
        <v>0.33194444444444465</v>
      </c>
      <c r="Z27" s="125"/>
      <c r="AA27" s="126">
        <f>SUM(TBL_Synthese[[#This Row],[P1]:[P15]])+MAX(COUNT(TBL_Synthese[[#This Row],[P1]:[P15]])-1,0)*L_saw+IF(ISNUMBER(MATCH(TBL_Synthese[[#This Row],[Longueur]],tblStock[Long.],0)),2*L_ends,0)</f>
        <v>5016.5</v>
      </c>
      <c r="AB27" s="127"/>
      <c r="AC27" s="128">
        <v>3</v>
      </c>
      <c r="AD27" s="128">
        <v>16</v>
      </c>
      <c r="AE27" s="127">
        <v>5100</v>
      </c>
      <c r="AF27" s="127">
        <v>63.5</v>
      </c>
      <c r="AG27" s="129" t="s">
        <v>77</v>
      </c>
      <c r="AH27" s="127">
        <v>3220</v>
      </c>
      <c r="AI27" s="127">
        <v>1200</v>
      </c>
      <c r="AJ27" s="127">
        <v>590.5</v>
      </c>
      <c r="AK27" s="127"/>
      <c r="AL27" s="127"/>
      <c r="AM27" s="127"/>
      <c r="AN27" s="127"/>
      <c r="AO27" s="127"/>
      <c r="AP27" s="127"/>
      <c r="AQ27" s="127"/>
      <c r="AR27" s="127"/>
      <c r="AS27" s="127"/>
      <c r="AT27" s="127"/>
      <c r="AU27" s="127"/>
      <c r="AV27" s="128"/>
      <c r="AW27" s="130">
        <v>289</v>
      </c>
      <c r="AX27" s="130">
        <v>210</v>
      </c>
      <c r="AY27" s="130">
        <v>189</v>
      </c>
      <c r="AZ27" s="130"/>
      <c r="BA27" s="130"/>
      <c r="BB27" s="130"/>
      <c r="BC27" s="130"/>
      <c r="BD27" s="130"/>
      <c r="BE27" s="130"/>
      <c r="BF27" s="130"/>
      <c r="BG27" s="130"/>
      <c r="BH27" s="130"/>
      <c r="BI27" s="130"/>
      <c r="BJ27" s="130"/>
      <c r="BK27" s="131"/>
    </row>
    <row r="28" spans="1:63" ht="17.25" customHeight="1" x14ac:dyDescent="0.3">
      <c r="A28" s="29">
        <v>2</v>
      </c>
      <c r="B28" s="19">
        <v>182</v>
      </c>
      <c r="C28" s="20"/>
      <c r="D28" s="20">
        <v>2</v>
      </c>
      <c r="E28" s="19">
        <v>553</v>
      </c>
      <c r="F28" s="19"/>
      <c r="G28" s="19"/>
      <c r="H28" s="32"/>
      <c r="Y28" s="124">
        <f>IF(ROW()=ROW(TBL_Synthese[[#Headers],[tijd]])+1,$Z$1,Y27)+IF(LEFT(TBL_Synthese[[#This Row],[check]],1)="&gt;",0,$Z$2+COUNTA(TBL_Synthese[[#This Row],[P1]:[P15]])*$Z$3)</f>
        <v>0.33454861111111134</v>
      </c>
      <c r="Z28" s="125"/>
      <c r="AA28" s="126">
        <f>SUM(TBL_Synthese[[#This Row],[P1]:[P15]])+MAX(COUNT(TBL_Synthese[[#This Row],[P1]:[P15]])-1,0)*L_saw+IF(ISNUMBER(MATCH(TBL_Synthese[[#This Row],[Longueur]],tblStock[Long.],0)),2*L_ends,0)</f>
        <v>4936</v>
      </c>
      <c r="AB28" s="127"/>
      <c r="AC28" s="128">
        <v>3</v>
      </c>
      <c r="AD28" s="128">
        <v>17</v>
      </c>
      <c r="AE28" s="127">
        <v>5100</v>
      </c>
      <c r="AF28" s="127">
        <v>144</v>
      </c>
      <c r="AG28" s="129" t="s">
        <v>70</v>
      </c>
      <c r="AH28" s="127">
        <v>3220</v>
      </c>
      <c r="AI28" s="127">
        <v>965</v>
      </c>
      <c r="AJ28" s="127">
        <v>745</v>
      </c>
      <c r="AK28" s="127"/>
      <c r="AL28" s="127"/>
      <c r="AM28" s="127"/>
      <c r="AN28" s="127"/>
      <c r="AO28" s="127"/>
      <c r="AP28" s="127"/>
      <c r="AQ28" s="127"/>
      <c r="AR28" s="127"/>
      <c r="AS28" s="127"/>
      <c r="AT28" s="127"/>
      <c r="AU28" s="127"/>
      <c r="AV28" s="128"/>
      <c r="AW28" s="130">
        <v>289</v>
      </c>
      <c r="AX28" s="130">
        <v>202</v>
      </c>
      <c r="AY28" s="130">
        <v>194</v>
      </c>
      <c r="AZ28" s="130"/>
      <c r="BA28" s="130"/>
      <c r="BB28" s="130"/>
      <c r="BC28" s="130"/>
      <c r="BD28" s="130"/>
      <c r="BE28" s="130"/>
      <c r="BF28" s="130"/>
      <c r="BG28" s="130"/>
      <c r="BH28" s="130"/>
      <c r="BI28" s="130"/>
      <c r="BJ28" s="130"/>
      <c r="BK28" s="131"/>
    </row>
    <row r="29" spans="1:63" ht="17.25" customHeight="1" x14ac:dyDescent="0.3">
      <c r="A29" s="29">
        <v>2</v>
      </c>
      <c r="B29" s="19">
        <v>189</v>
      </c>
      <c r="C29" s="20"/>
      <c r="D29" s="20">
        <v>1</v>
      </c>
      <c r="E29" s="39">
        <v>590.5</v>
      </c>
      <c r="F29" s="19"/>
      <c r="G29" s="19"/>
      <c r="H29" s="32"/>
      <c r="Y29" s="124">
        <f>IF(ROW()=ROW(TBL_Synthese[[#Headers],[tijd]])+1,$Z$1,Y28)+IF(LEFT(TBL_Synthese[[#This Row],[check]],1)="&gt;",0,$Z$2+COUNTA(TBL_Synthese[[#This Row],[P1]:[P15]])*$Z$3)</f>
        <v>0.33715277777777802</v>
      </c>
      <c r="Z29" s="125"/>
      <c r="AA29" s="126">
        <f>SUM(TBL_Synthese[[#This Row],[P1]:[P15]])+MAX(COUNT(TBL_Synthese[[#This Row],[P1]:[P15]])-1,0)*L_saw+IF(ISNUMBER(MATCH(TBL_Synthese[[#This Row],[Longueur]],tblStock[Long.],0)),2*L_ends,0)</f>
        <v>4936</v>
      </c>
      <c r="AB29" s="127"/>
      <c r="AC29" s="128">
        <v>3</v>
      </c>
      <c r="AD29" s="128">
        <v>18</v>
      </c>
      <c r="AE29" s="127">
        <v>5100</v>
      </c>
      <c r="AF29" s="127">
        <v>144</v>
      </c>
      <c r="AG29" s="129" t="s">
        <v>70</v>
      </c>
      <c r="AH29" s="127">
        <v>3220</v>
      </c>
      <c r="AI29" s="127">
        <v>965</v>
      </c>
      <c r="AJ29" s="127">
        <v>745</v>
      </c>
      <c r="AK29" s="127"/>
      <c r="AL29" s="127"/>
      <c r="AM29" s="127"/>
      <c r="AN29" s="127"/>
      <c r="AO29" s="127"/>
      <c r="AP29" s="127"/>
      <c r="AQ29" s="127"/>
      <c r="AR29" s="127"/>
      <c r="AS29" s="127"/>
      <c r="AT29" s="127"/>
      <c r="AU29" s="127"/>
      <c r="AV29" s="128"/>
      <c r="AW29" s="130">
        <v>289</v>
      </c>
      <c r="AX29" s="130">
        <v>202</v>
      </c>
      <c r="AY29" s="130">
        <v>194</v>
      </c>
      <c r="AZ29" s="130"/>
      <c r="BA29" s="130"/>
      <c r="BB29" s="130"/>
      <c r="BC29" s="130"/>
      <c r="BD29" s="130"/>
      <c r="BE29" s="130"/>
      <c r="BF29" s="130"/>
      <c r="BG29" s="130"/>
      <c r="BH29" s="130"/>
      <c r="BI29" s="130"/>
      <c r="BJ29" s="130"/>
      <c r="BK29" s="131"/>
    </row>
    <row r="30" spans="1:63" ht="17.25" customHeight="1" x14ac:dyDescent="0.3">
      <c r="A30" s="29">
        <v>2</v>
      </c>
      <c r="B30" s="19">
        <v>194</v>
      </c>
      <c r="C30" s="20"/>
      <c r="D30" s="20">
        <v>2</v>
      </c>
      <c r="E30" s="19">
        <v>745</v>
      </c>
      <c r="F30" s="19"/>
      <c r="G30" s="19"/>
      <c r="H30" s="32"/>
      <c r="Y30" s="124">
        <f>IF(ROW()=ROW(TBL_Synthese[[#Headers],[tijd]])+1,$Z$1,Y29)+IF(LEFT(TBL_Synthese[[#This Row],[check]],1)="&gt;",0,$Z$2+COUNTA(TBL_Synthese[[#This Row],[P1]:[P15]])*$Z$3)</f>
        <v>0.34010416666666693</v>
      </c>
      <c r="Z30" s="125"/>
      <c r="AA30" s="126">
        <f>SUM(TBL_Synthese[[#This Row],[P1]:[P15]])+MAX(COUNT(TBL_Synthese[[#This Row],[P1]:[P15]])-1,0)*L_saw+IF(ISNUMBER(MATCH(TBL_Synthese[[#This Row],[Longueur]],tblStock[Long.],0)),2*L_ends,0)</f>
        <v>5009</v>
      </c>
      <c r="AB30" s="127"/>
      <c r="AC30" s="128">
        <v>3</v>
      </c>
      <c r="AD30" s="128">
        <v>19</v>
      </c>
      <c r="AE30" s="127">
        <v>5100</v>
      </c>
      <c r="AF30" s="127">
        <v>71</v>
      </c>
      <c r="AG30" s="129" t="s">
        <v>78</v>
      </c>
      <c r="AH30" s="127">
        <v>3220</v>
      </c>
      <c r="AI30" s="127">
        <v>553</v>
      </c>
      <c r="AJ30" s="127">
        <v>553</v>
      </c>
      <c r="AK30" s="127">
        <v>410.5</v>
      </c>
      <c r="AL30" s="127">
        <v>260.5</v>
      </c>
      <c r="AM30" s="127"/>
      <c r="AN30" s="127"/>
      <c r="AO30" s="127"/>
      <c r="AP30" s="127"/>
      <c r="AQ30" s="127"/>
      <c r="AR30" s="127"/>
      <c r="AS30" s="127"/>
      <c r="AT30" s="127"/>
      <c r="AU30" s="127"/>
      <c r="AV30" s="128"/>
      <c r="AW30" s="130">
        <v>289</v>
      </c>
      <c r="AX30" s="130">
        <v>182</v>
      </c>
      <c r="AY30" s="130">
        <v>182</v>
      </c>
      <c r="AZ30" s="130">
        <v>159</v>
      </c>
      <c r="BA30" s="130">
        <v>145</v>
      </c>
      <c r="BB30" s="130"/>
      <c r="BC30" s="130"/>
      <c r="BD30" s="130"/>
      <c r="BE30" s="130"/>
      <c r="BF30" s="130"/>
      <c r="BG30" s="130"/>
      <c r="BH30" s="130"/>
      <c r="BI30" s="130"/>
      <c r="BJ30" s="130"/>
      <c r="BK30" s="131"/>
    </row>
    <row r="31" spans="1:63" ht="17.25" customHeight="1" x14ac:dyDescent="0.3">
      <c r="A31" s="29">
        <v>2</v>
      </c>
      <c r="B31" s="19">
        <v>202</v>
      </c>
      <c r="C31" s="20"/>
      <c r="D31" s="20">
        <v>2</v>
      </c>
      <c r="E31" s="19">
        <v>965</v>
      </c>
      <c r="F31" s="19"/>
      <c r="G31" s="19"/>
      <c r="H31" s="32"/>
      <c r="Y31" s="124">
        <f>IF(ROW()=ROW(TBL_Synthese[[#Headers],[tijd]])+1,$Z$1,Y30)+IF(LEFT(TBL_Synthese[[#This Row],[check]],1)="&gt;",0,$Z$2+COUNTA(TBL_Synthese[[#This Row],[P1]:[P15]])*$Z$3)</f>
        <v>0.34270833333333361</v>
      </c>
      <c r="Z31" s="125" t="s">
        <v>150</v>
      </c>
      <c r="AA31" s="126">
        <f>SUM(TBL_Synthese[[#This Row],[P1]:[P15]])+MAX(COUNT(TBL_Synthese[[#This Row],[P1]:[P15]])-1,0)*L_saw+IF(ISNUMBER(MATCH(TBL_Synthese[[#This Row],[Longueur]],tblStock[Long.],0)),2*L_ends,0)</f>
        <v>3622.5</v>
      </c>
      <c r="AB31" s="127"/>
      <c r="AC31" s="128">
        <v>3</v>
      </c>
      <c r="AD31" s="128">
        <v>20</v>
      </c>
      <c r="AE31" s="127">
        <v>5100</v>
      </c>
      <c r="AF31" s="127">
        <v>1457.5</v>
      </c>
      <c r="AG31" s="129" t="s">
        <v>139</v>
      </c>
      <c r="AH31" s="127">
        <v>3220</v>
      </c>
      <c r="AI31" s="127">
        <v>399.5</v>
      </c>
      <c r="AJ31" s="127" t="s">
        <v>128</v>
      </c>
      <c r="AK31" s="127"/>
      <c r="AL31" s="127"/>
      <c r="AM31" s="127"/>
      <c r="AN31" s="127"/>
      <c r="AO31" s="127"/>
      <c r="AP31" s="127"/>
      <c r="AQ31" s="127"/>
      <c r="AR31" s="127"/>
      <c r="AS31" s="127"/>
      <c r="AT31" s="127"/>
      <c r="AU31" s="127"/>
      <c r="AV31" s="128"/>
      <c r="AW31" s="130">
        <v>289</v>
      </c>
      <c r="AX31" s="130">
        <v>158</v>
      </c>
      <c r="AY31" s="130" t="s">
        <v>129</v>
      </c>
      <c r="AZ31" s="130"/>
      <c r="BA31" s="130"/>
      <c r="BB31" s="130"/>
      <c r="BC31" s="130"/>
      <c r="BD31" s="130"/>
      <c r="BE31" s="130"/>
      <c r="BF31" s="130"/>
      <c r="BG31" s="130"/>
      <c r="BH31" s="130"/>
      <c r="BI31" s="130"/>
      <c r="BJ31" s="130"/>
      <c r="BK31" s="131"/>
    </row>
    <row r="32" spans="1:63" ht="17.25" customHeight="1" x14ac:dyDescent="0.3">
      <c r="A32" s="29">
        <v>2</v>
      </c>
      <c r="B32" s="19">
        <v>210</v>
      </c>
      <c r="C32" s="20"/>
      <c r="D32" s="20">
        <v>1</v>
      </c>
      <c r="E32" s="19">
        <v>1200</v>
      </c>
      <c r="F32" s="19"/>
      <c r="G32" s="19"/>
      <c r="H32" s="32"/>
      <c r="Y32" s="124">
        <f>IF(ROW()=ROW(TBL_Synthese[[#Headers],[tijd]])+1,$Z$1,Y31)+IF(LEFT(TBL_Synthese[[#This Row],[check]],1)="&gt;",0,$Z$2+COUNTA(TBL_Synthese[[#This Row],[P1]:[P15]])*$Z$3)</f>
        <v>0.34496527777777808</v>
      </c>
      <c r="Z32" s="125"/>
      <c r="AA32" s="126">
        <f>SUM(TBL_Synthese[[#This Row],[P1]:[P15]])+MAX(COUNT(TBL_Synthese[[#This Row],[P1]:[P15]])-1,0)*L_saw+IF(ISNUMBER(MATCH(TBL_Synthese[[#This Row],[Longueur]],tblStock[Long.],0)),2*L_ends,0)</f>
        <v>3220</v>
      </c>
      <c r="AB32" s="127"/>
      <c r="AC32" s="128">
        <v>3</v>
      </c>
      <c r="AD32" s="128">
        <v>21</v>
      </c>
      <c r="AE32" s="127">
        <v>5100</v>
      </c>
      <c r="AF32" s="127">
        <v>1860</v>
      </c>
      <c r="AG32" s="129" t="s">
        <v>73</v>
      </c>
      <c r="AH32" s="127">
        <v>3220</v>
      </c>
      <c r="AI32" s="127"/>
      <c r="AJ32" s="127"/>
      <c r="AK32" s="127"/>
      <c r="AL32" s="127"/>
      <c r="AM32" s="127"/>
      <c r="AN32" s="127"/>
      <c r="AO32" s="127"/>
      <c r="AP32" s="127"/>
      <c r="AQ32" s="127"/>
      <c r="AR32" s="127"/>
      <c r="AS32" s="127"/>
      <c r="AT32" s="127"/>
      <c r="AU32" s="127"/>
      <c r="AV32" s="128"/>
      <c r="AW32" s="130">
        <v>289</v>
      </c>
      <c r="AX32" s="130"/>
      <c r="AY32" s="130"/>
      <c r="AZ32" s="130"/>
      <c r="BA32" s="130"/>
      <c r="BB32" s="130"/>
      <c r="BC32" s="130"/>
      <c r="BD32" s="130"/>
      <c r="BE32" s="130"/>
      <c r="BF32" s="130"/>
      <c r="BG32" s="130"/>
      <c r="BH32" s="130"/>
      <c r="BI32" s="130"/>
      <c r="BJ32" s="130"/>
      <c r="BK32" s="131"/>
    </row>
    <row r="33" spans="1:63" ht="17.25" customHeight="1" x14ac:dyDescent="0.3">
      <c r="A33" s="30">
        <v>2</v>
      </c>
      <c r="B33" s="22"/>
      <c r="C33" s="23" t="s">
        <v>10</v>
      </c>
      <c r="D33" s="23">
        <v>1</v>
      </c>
      <c r="E33" s="22">
        <v>6000</v>
      </c>
      <c r="F33" s="22">
        <f>E33-(E34*D34+E35*D35+E36*D36)</f>
        <v>990</v>
      </c>
      <c r="G33" s="24" t="s">
        <v>22</v>
      </c>
      <c r="H33" s="33">
        <f>IF(G33="NON",F33/E33,0)</f>
        <v>0.16500000000000001</v>
      </c>
      <c r="Y33" s="124">
        <f>IF(ROW()=ROW(TBL_Synthese[[#Headers],[tijd]])+1,$Z$1,Y32)+IF(LEFT(TBL_Synthese[[#This Row],[check]],1)="&gt;",0,$Z$2+COUNTA(TBL_Synthese[[#This Row],[P1]:[P15]])*$Z$3)</f>
        <v>0.34739583333333363</v>
      </c>
      <c r="Z33" s="125" t="s">
        <v>148</v>
      </c>
      <c r="AA33" s="126">
        <f>SUM(TBL_Synthese[[#This Row],[P1]:[P15]])+MAX(COUNT(TBL_Synthese[[#This Row],[P1]:[P15]])-1,0)*L_saw+IF(ISNUMBER(MATCH(TBL_Synthese[[#This Row],[Longueur]],tblStock[Long.],0)),2*L_ends,0)</f>
        <v>3220</v>
      </c>
      <c r="AB33" s="127"/>
      <c r="AC33" s="128">
        <v>3</v>
      </c>
      <c r="AD33" s="128">
        <v>22</v>
      </c>
      <c r="AE33" s="127">
        <v>5100</v>
      </c>
      <c r="AF33" s="127">
        <v>1860</v>
      </c>
      <c r="AG33" s="129" t="s">
        <v>136</v>
      </c>
      <c r="AH33" s="127">
        <v>3220</v>
      </c>
      <c r="AI33" s="127" t="s">
        <v>124</v>
      </c>
      <c r="AJ33" s="127"/>
      <c r="AK33" s="127"/>
      <c r="AL33" s="127"/>
      <c r="AM33" s="127"/>
      <c r="AN33" s="127"/>
      <c r="AO33" s="127"/>
      <c r="AP33" s="127"/>
      <c r="AQ33" s="127"/>
      <c r="AR33" s="127"/>
      <c r="AS33" s="127"/>
      <c r="AT33" s="127"/>
      <c r="AU33" s="127"/>
      <c r="AV33" s="128"/>
      <c r="AW33" s="130">
        <v>289</v>
      </c>
      <c r="AX33" s="130" t="s">
        <v>125</v>
      </c>
      <c r="AY33" s="130"/>
      <c r="AZ33" s="130"/>
      <c r="BA33" s="130"/>
      <c r="BB33" s="130"/>
      <c r="BC33" s="130"/>
      <c r="BD33" s="130"/>
      <c r="BE33" s="130"/>
      <c r="BF33" s="130"/>
      <c r="BG33" s="130"/>
      <c r="BH33" s="130"/>
      <c r="BI33" s="130"/>
      <c r="BJ33" s="130"/>
      <c r="BK33" s="131"/>
    </row>
    <row r="34" spans="1:63" ht="17.25" customHeight="1" x14ac:dyDescent="0.3">
      <c r="A34" s="29">
        <v>2</v>
      </c>
      <c r="B34" s="19">
        <v>222</v>
      </c>
      <c r="C34" s="20" t="s">
        <v>11</v>
      </c>
      <c r="D34" s="20">
        <v>1</v>
      </c>
      <c r="E34" s="19">
        <v>1290</v>
      </c>
      <c r="F34" s="19"/>
      <c r="G34" s="19"/>
      <c r="H34" s="31"/>
      <c r="Y34" s="124">
        <f>IF(ROW()=ROW(TBL_Synthese[[#Headers],[tijd]])+1,$Z$1,Y33)+IF(LEFT(TBL_Synthese[[#This Row],[check]],1)="&gt;",0,$Z$2+COUNTA(TBL_Synthese[[#This Row],[P1]:[P15]])*$Z$3)</f>
        <v>0.34982638888888917</v>
      </c>
      <c r="Z34" s="125"/>
      <c r="AA34" s="126">
        <f>SUM(TBL_Synthese[[#This Row],[P1]:[P15]])+MAX(COUNT(TBL_Synthese[[#This Row],[P1]:[P15]])-1,0)*L_saw+IF(ISNUMBER(MATCH(TBL_Synthese[[#This Row],[Longueur]],tblStock[Long.],0)),2*L_ends,0)</f>
        <v>4863</v>
      </c>
      <c r="AB34" s="127"/>
      <c r="AC34" s="128">
        <v>3</v>
      </c>
      <c r="AD34" s="128">
        <v>23</v>
      </c>
      <c r="AE34" s="127">
        <v>5100</v>
      </c>
      <c r="AF34" s="127">
        <v>217</v>
      </c>
      <c r="AG34" s="129" t="s">
        <v>74</v>
      </c>
      <c r="AH34" s="127">
        <v>2430</v>
      </c>
      <c r="AI34" s="127">
        <v>2430</v>
      </c>
      <c r="AJ34" s="127"/>
      <c r="AK34" s="127"/>
      <c r="AL34" s="127"/>
      <c r="AM34" s="127"/>
      <c r="AN34" s="127"/>
      <c r="AO34" s="127"/>
      <c r="AP34" s="127"/>
      <c r="AQ34" s="127"/>
      <c r="AR34" s="127"/>
      <c r="AS34" s="127"/>
      <c r="AT34" s="127"/>
      <c r="AU34" s="127"/>
      <c r="AV34" s="128"/>
      <c r="AW34" s="130">
        <v>250</v>
      </c>
      <c r="AX34" s="130">
        <v>250</v>
      </c>
      <c r="AY34" s="130"/>
      <c r="AZ34" s="130"/>
      <c r="BA34" s="130"/>
      <c r="BB34" s="130"/>
      <c r="BC34" s="130"/>
      <c r="BD34" s="130"/>
      <c r="BE34" s="130"/>
      <c r="BF34" s="130"/>
      <c r="BG34" s="130"/>
      <c r="BH34" s="130"/>
      <c r="BI34" s="130"/>
      <c r="BJ34" s="130"/>
      <c r="BK34" s="131"/>
    </row>
    <row r="35" spans="1:63" ht="17.25" customHeight="1" x14ac:dyDescent="0.3">
      <c r="A35" s="29">
        <v>2</v>
      </c>
      <c r="B35" s="19">
        <v>232</v>
      </c>
      <c r="C35" s="20" t="s">
        <v>19</v>
      </c>
      <c r="D35" s="20">
        <v>1</v>
      </c>
      <c r="E35" s="19">
        <v>1290</v>
      </c>
      <c r="F35" s="19"/>
      <c r="G35" s="19"/>
      <c r="H35" s="32"/>
      <c r="Y35" s="124">
        <f>IF(ROW()=ROW(TBL_Synthese[[#Headers],[tijd]])+1,$Z$1,Y34)+IF(LEFT(TBL_Synthese[[#This Row],[check]],1)="&gt;",0,$Z$2+COUNTA(TBL_Synthese[[#This Row],[P1]:[P15]])*$Z$3)</f>
        <v>0.35243055555555586</v>
      </c>
      <c r="Z35" s="125"/>
      <c r="AA35" s="126">
        <f>SUM(TBL_Synthese[[#This Row],[P1]:[P15]])+MAX(COUNT(TBL_Synthese[[#This Row],[P1]:[P15]])-1,0)*L_saw+IF(ISNUMBER(MATCH(TBL_Synthese[[#This Row],[Longueur]],tblStock[Long.],0)),2*L_ends,0)</f>
        <v>5032.5</v>
      </c>
      <c r="AB35" s="127"/>
      <c r="AC35" s="128">
        <v>4</v>
      </c>
      <c r="AD35" s="128">
        <v>24</v>
      </c>
      <c r="AE35" s="127">
        <v>5100</v>
      </c>
      <c r="AF35" s="127">
        <v>47.5</v>
      </c>
      <c r="AG35" s="129" t="s">
        <v>79</v>
      </c>
      <c r="AH35" s="127">
        <v>3516</v>
      </c>
      <c r="AI35" s="127">
        <v>1290</v>
      </c>
      <c r="AJ35" s="127">
        <v>220.5</v>
      </c>
      <c r="AK35" s="127"/>
      <c r="AL35" s="127"/>
      <c r="AM35" s="127"/>
      <c r="AN35" s="127"/>
      <c r="AO35" s="127"/>
      <c r="AP35" s="127"/>
      <c r="AQ35" s="127"/>
      <c r="AR35" s="127"/>
      <c r="AS35" s="127"/>
      <c r="AT35" s="127"/>
      <c r="AU35" s="127"/>
      <c r="AV35" s="128"/>
      <c r="AW35" s="130">
        <v>297</v>
      </c>
      <c r="AX35" s="130">
        <v>221</v>
      </c>
      <c r="AY35" s="130">
        <v>142</v>
      </c>
      <c r="AZ35" s="130"/>
      <c r="BA35" s="130"/>
      <c r="BB35" s="130"/>
      <c r="BC35" s="130"/>
      <c r="BD35" s="130"/>
      <c r="BE35" s="130"/>
      <c r="BF35" s="130"/>
      <c r="BG35" s="130"/>
      <c r="BH35" s="130"/>
      <c r="BI35" s="130"/>
      <c r="BJ35" s="130"/>
      <c r="BK35" s="131"/>
    </row>
    <row r="36" spans="1:63" ht="17.25" customHeight="1" x14ac:dyDescent="0.3">
      <c r="A36" s="29">
        <v>2</v>
      </c>
      <c r="B36" s="19">
        <v>251</v>
      </c>
      <c r="C36" s="20"/>
      <c r="D36" s="20">
        <v>1</v>
      </c>
      <c r="E36" s="19">
        <v>2430</v>
      </c>
      <c r="F36" s="19"/>
      <c r="G36" s="19"/>
      <c r="H36" s="32"/>
      <c r="Y36" s="124">
        <f>IF(ROW()=ROW(TBL_Synthese[[#Headers],[tijd]])+1,$Z$1,Y35)+IF(LEFT(TBL_Synthese[[#This Row],[check]],1)="&gt;",0,$Z$2+COUNTA(TBL_Synthese[[#This Row],[P1]:[P15]])*$Z$3)</f>
        <v>0.35503472222222254</v>
      </c>
      <c r="Z36" s="125"/>
      <c r="AA36" s="126">
        <f>SUM(TBL_Synthese[[#This Row],[P1]:[P15]])+MAX(COUNT(TBL_Synthese[[#This Row],[P1]:[P15]])-1,0)*L_saw+IF(ISNUMBER(MATCH(TBL_Synthese[[#This Row],[Longueur]],tblStock[Long.],0)),2*L_ends,0)</f>
        <v>4960.5</v>
      </c>
      <c r="AB36" s="127"/>
      <c r="AC36" s="128">
        <v>4</v>
      </c>
      <c r="AD36" s="128">
        <v>25</v>
      </c>
      <c r="AE36" s="127">
        <v>5100</v>
      </c>
      <c r="AF36" s="127">
        <v>119.5</v>
      </c>
      <c r="AG36" s="129" t="s">
        <v>80</v>
      </c>
      <c r="AH36" s="127">
        <v>3516</v>
      </c>
      <c r="AI36" s="127">
        <v>1290</v>
      </c>
      <c r="AJ36" s="127">
        <v>148.5</v>
      </c>
      <c r="AK36" s="127"/>
      <c r="AL36" s="127"/>
      <c r="AM36" s="127"/>
      <c r="AN36" s="127"/>
      <c r="AO36" s="127"/>
      <c r="AP36" s="127"/>
      <c r="AQ36" s="127"/>
      <c r="AR36" s="127"/>
      <c r="AS36" s="127"/>
      <c r="AT36" s="127"/>
      <c r="AU36" s="127"/>
      <c r="AV36" s="128"/>
      <c r="AW36" s="130">
        <v>297</v>
      </c>
      <c r="AX36" s="130">
        <v>221</v>
      </c>
      <c r="AY36" s="130">
        <v>138</v>
      </c>
      <c r="AZ36" s="130"/>
      <c r="BA36" s="130"/>
      <c r="BB36" s="130"/>
      <c r="BC36" s="130"/>
      <c r="BD36" s="130"/>
      <c r="BE36" s="130"/>
      <c r="BF36" s="130"/>
      <c r="BG36" s="130"/>
      <c r="BH36" s="130"/>
      <c r="BI36" s="130"/>
      <c r="BJ36" s="130"/>
      <c r="BK36" s="131"/>
    </row>
    <row r="37" spans="1:63" ht="17.25" customHeight="1" x14ac:dyDescent="0.3">
      <c r="A37" s="25" t="str">
        <f>"Somme total "&amp;A36</f>
        <v>Somme total 2</v>
      </c>
      <c r="B37" s="26"/>
      <c r="C37" s="27" t="s">
        <v>10</v>
      </c>
      <c r="D37" s="27">
        <f>D33+D24</f>
        <v>2</v>
      </c>
      <c r="E37" s="26">
        <f>E24+E33</f>
        <v>12000</v>
      </c>
      <c r="F37" s="26">
        <f>IF(G24="NON",F24,0)+IF(G33="NON",F33,0)</f>
        <v>2170</v>
      </c>
      <c r="G37" s="26"/>
      <c r="H37" s="28">
        <f>F37/E37</f>
        <v>0.18083333333333335</v>
      </c>
      <c r="Y37" s="124">
        <f>IF(ROW()=ROW(TBL_Synthese[[#Headers],[tijd]])+1,$Z$1,Y36)+IF(LEFT(TBL_Synthese[[#This Row],[check]],1)="&gt;",0,$Z$2+COUNTA(TBL_Synthese[[#This Row],[P1]:[P15]])*$Z$3)</f>
        <v>0.35763888888888923</v>
      </c>
      <c r="Z37" s="125"/>
      <c r="AA37" s="126">
        <f>SUM(TBL_Synthese[[#This Row],[P1]:[P15]])+MAX(COUNT(TBL_Synthese[[#This Row],[P1]:[P15]])-1,0)*L_saw+IF(ISNUMBER(MATCH(TBL_Synthese[[#This Row],[Longueur]],tblStock[Long.],0)),2*L_ends,0)</f>
        <v>4979</v>
      </c>
      <c r="AB37" s="127"/>
      <c r="AC37" s="128">
        <v>4</v>
      </c>
      <c r="AD37" s="128">
        <v>26</v>
      </c>
      <c r="AE37" s="127">
        <v>5100</v>
      </c>
      <c r="AF37" s="127">
        <v>101</v>
      </c>
      <c r="AG37" s="129" t="s">
        <v>69</v>
      </c>
      <c r="AH37" s="127">
        <v>3220</v>
      </c>
      <c r="AI37" s="127">
        <v>1200</v>
      </c>
      <c r="AJ37" s="127">
        <v>553</v>
      </c>
      <c r="AK37" s="127"/>
      <c r="AL37" s="127"/>
      <c r="AM37" s="127"/>
      <c r="AN37" s="127"/>
      <c r="AO37" s="127"/>
      <c r="AP37" s="127"/>
      <c r="AQ37" s="127"/>
      <c r="AR37" s="127"/>
      <c r="AS37" s="127"/>
      <c r="AT37" s="127"/>
      <c r="AU37" s="127"/>
      <c r="AV37" s="128"/>
      <c r="AW37" s="130">
        <v>290</v>
      </c>
      <c r="AX37" s="130">
        <v>212</v>
      </c>
      <c r="AY37" s="130">
        <v>175</v>
      </c>
      <c r="AZ37" s="130"/>
      <c r="BA37" s="130"/>
      <c r="BB37" s="130"/>
      <c r="BC37" s="130"/>
      <c r="BD37" s="130"/>
      <c r="BE37" s="130"/>
      <c r="BF37" s="130"/>
      <c r="BG37" s="130"/>
      <c r="BH37" s="130"/>
      <c r="BI37" s="130"/>
      <c r="BJ37" s="130"/>
      <c r="BK37" s="131"/>
    </row>
    <row r="38" spans="1:63" ht="17.25" customHeight="1" x14ac:dyDescent="0.3">
      <c r="A38" s="13"/>
      <c r="H38" s="14"/>
      <c r="Y38" s="124">
        <f>IF(ROW()=ROW(TBL_Synthese[[#Headers],[tijd]])+1,$Z$1,Y37)+IF(LEFT(TBL_Synthese[[#This Row],[check]],1)="&gt;",0,$Z$2+COUNTA(TBL_Synthese[[#This Row],[P1]:[P15]])*$Z$3)</f>
        <v>0.36024305555555591</v>
      </c>
      <c r="Z38" s="125"/>
      <c r="AA38" s="126">
        <f>SUM(TBL_Synthese[[#This Row],[P1]:[P15]])+MAX(COUNT(TBL_Synthese[[#This Row],[P1]:[P15]])-1,0)*L_saw+IF(ISNUMBER(MATCH(TBL_Synthese[[#This Row],[Longueur]],tblStock[Long.],0)),2*L_ends,0)</f>
        <v>4936</v>
      </c>
      <c r="AB38" s="127"/>
      <c r="AC38" s="128">
        <v>4</v>
      </c>
      <c r="AD38" s="128">
        <v>27</v>
      </c>
      <c r="AE38" s="127">
        <v>5100</v>
      </c>
      <c r="AF38" s="127">
        <v>144</v>
      </c>
      <c r="AG38" s="129" t="s">
        <v>70</v>
      </c>
      <c r="AH38" s="127">
        <v>3220</v>
      </c>
      <c r="AI38" s="127">
        <v>965</v>
      </c>
      <c r="AJ38" s="127">
        <v>745</v>
      </c>
      <c r="AK38" s="127"/>
      <c r="AL38" s="127"/>
      <c r="AM38" s="127"/>
      <c r="AN38" s="127"/>
      <c r="AO38" s="127"/>
      <c r="AP38" s="127"/>
      <c r="AQ38" s="127"/>
      <c r="AR38" s="127"/>
      <c r="AS38" s="127"/>
      <c r="AT38" s="127"/>
      <c r="AU38" s="127"/>
      <c r="AV38" s="128"/>
      <c r="AW38" s="130">
        <v>290</v>
      </c>
      <c r="AX38" s="130">
        <v>201</v>
      </c>
      <c r="AY38" s="130">
        <v>196</v>
      </c>
      <c r="AZ38" s="130"/>
      <c r="BA38" s="130"/>
      <c r="BB38" s="130"/>
      <c r="BC38" s="130"/>
      <c r="BD38" s="130"/>
      <c r="BE38" s="130"/>
      <c r="BF38" s="130"/>
      <c r="BG38" s="130"/>
      <c r="BH38" s="130"/>
      <c r="BI38" s="130"/>
      <c r="BJ38" s="130"/>
      <c r="BK38" s="131"/>
    </row>
    <row r="39" spans="1:63" ht="17.25" customHeight="1" x14ac:dyDescent="0.3">
      <c r="A39" s="143" t="s">
        <v>25</v>
      </c>
      <c r="B39" s="37"/>
      <c r="C39" s="145" t="s">
        <v>10</v>
      </c>
      <c r="D39" s="145" t="e">
        <f>D37+D22</f>
        <v>#REF!</v>
      </c>
      <c r="E39" s="147" t="e">
        <f>E37+E22</f>
        <v>#REF!</v>
      </c>
      <c r="F39" s="147" t="e">
        <f>F22+F37</f>
        <v>#REF!</v>
      </c>
      <c r="G39" s="37"/>
      <c r="H39" s="149" t="e">
        <f>F39/E39</f>
        <v>#REF!</v>
      </c>
      <c r="Y39" s="124">
        <f>IF(ROW()=ROW(TBL_Synthese[[#Headers],[tijd]])+1,$Z$1,Y38)+IF(LEFT(TBL_Synthese[[#This Row],[check]],1)="&gt;",0,$Z$2+COUNTA(TBL_Synthese[[#This Row],[P1]:[P15]])*$Z$3)</f>
        <v>0.3628472222222226</v>
      </c>
      <c r="Z39" s="125"/>
      <c r="AA39" s="126">
        <f>SUM(TBL_Synthese[[#This Row],[P1]:[P15]])+MAX(COUNT(TBL_Synthese[[#This Row],[P1]:[P15]])-1,0)*L_saw+IF(ISNUMBER(MATCH(TBL_Synthese[[#This Row],[Longueur]],tblStock[Long.],0)),2*L_ends,0)</f>
        <v>4936</v>
      </c>
      <c r="AB39" s="127"/>
      <c r="AC39" s="128">
        <v>4</v>
      </c>
      <c r="AD39" s="128">
        <v>28</v>
      </c>
      <c r="AE39" s="127">
        <v>5100</v>
      </c>
      <c r="AF39" s="127">
        <v>144</v>
      </c>
      <c r="AG39" s="129" t="s">
        <v>70</v>
      </c>
      <c r="AH39" s="127">
        <v>3220</v>
      </c>
      <c r="AI39" s="127">
        <v>965</v>
      </c>
      <c r="AJ39" s="127">
        <v>745</v>
      </c>
      <c r="AK39" s="127"/>
      <c r="AL39" s="127"/>
      <c r="AM39" s="127"/>
      <c r="AN39" s="127"/>
      <c r="AO39" s="127"/>
      <c r="AP39" s="127"/>
      <c r="AQ39" s="127"/>
      <c r="AR39" s="127"/>
      <c r="AS39" s="127"/>
      <c r="AT39" s="127"/>
      <c r="AU39" s="127"/>
      <c r="AV39" s="128"/>
      <c r="AW39" s="130">
        <v>290</v>
      </c>
      <c r="AX39" s="130">
        <v>201</v>
      </c>
      <c r="AY39" s="130">
        <v>196</v>
      </c>
      <c r="AZ39" s="130"/>
      <c r="BA39" s="130"/>
      <c r="BB39" s="130"/>
      <c r="BC39" s="130"/>
      <c r="BD39" s="130"/>
      <c r="BE39" s="130"/>
      <c r="BF39" s="130"/>
      <c r="BG39" s="130"/>
      <c r="BH39" s="130"/>
      <c r="BI39" s="130"/>
      <c r="BJ39" s="130"/>
      <c r="BK39" s="131"/>
    </row>
    <row r="40" spans="1:63" ht="17.25" customHeight="1" x14ac:dyDescent="0.3">
      <c r="A40" s="144"/>
      <c r="B40" s="38"/>
      <c r="C40" s="146"/>
      <c r="D40" s="146"/>
      <c r="E40" s="148"/>
      <c r="F40" s="148"/>
      <c r="G40" s="38"/>
      <c r="H40" s="150"/>
      <c r="Y40" s="124">
        <f>IF(ROW()=ROW(TBL_Synthese[[#Headers],[tijd]])+1,$Z$1,Y39)+IF(LEFT(TBL_Synthese[[#This Row],[check]],1)="&gt;",0,$Z$2+COUNTA(TBL_Synthese[[#This Row],[P1]:[P15]])*$Z$3)</f>
        <v>0.3657986111111115</v>
      </c>
      <c r="Z40" s="125"/>
      <c r="AA40" s="126">
        <f>SUM(TBL_Synthese[[#This Row],[P1]:[P15]])+MAX(COUNT(TBL_Synthese[[#This Row],[P1]:[P15]])-1,0)*L_saw+IF(ISNUMBER(MATCH(TBL_Synthese[[#This Row],[Longueur]],tblStock[Long.],0)),2*L_ends,0)</f>
        <v>5061.5</v>
      </c>
      <c r="AB40" s="127"/>
      <c r="AC40" s="128">
        <v>4</v>
      </c>
      <c r="AD40" s="128">
        <v>29</v>
      </c>
      <c r="AE40" s="127">
        <v>5100</v>
      </c>
      <c r="AF40" s="127">
        <v>18.5</v>
      </c>
      <c r="AG40" s="129" t="s">
        <v>81</v>
      </c>
      <c r="AH40" s="127">
        <v>3220</v>
      </c>
      <c r="AI40" s="127">
        <v>553</v>
      </c>
      <c r="AJ40" s="127">
        <v>518.5</v>
      </c>
      <c r="AK40" s="127">
        <v>470.5</v>
      </c>
      <c r="AL40" s="127">
        <v>287.5</v>
      </c>
      <c r="AM40" s="127"/>
      <c r="AN40" s="127"/>
      <c r="AO40" s="127"/>
      <c r="AP40" s="127"/>
      <c r="AQ40" s="127"/>
      <c r="AR40" s="127"/>
      <c r="AS40" s="127"/>
      <c r="AT40" s="127"/>
      <c r="AU40" s="127"/>
      <c r="AV40" s="128"/>
      <c r="AW40" s="130">
        <v>290</v>
      </c>
      <c r="AX40" s="130">
        <v>175</v>
      </c>
      <c r="AY40" s="130">
        <v>172</v>
      </c>
      <c r="AZ40" s="130">
        <v>168</v>
      </c>
      <c r="BA40" s="130">
        <v>146</v>
      </c>
      <c r="BB40" s="130"/>
      <c r="BC40" s="130"/>
      <c r="BD40" s="130"/>
      <c r="BE40" s="130"/>
      <c r="BF40" s="130"/>
      <c r="BG40" s="130"/>
      <c r="BH40" s="130"/>
      <c r="BI40" s="130"/>
      <c r="BJ40" s="130"/>
      <c r="BK40" s="131"/>
    </row>
    <row r="41" spans="1:63" ht="17.25" customHeight="1" x14ac:dyDescent="0.3">
      <c r="A41" s="13"/>
      <c r="H41" s="14"/>
      <c r="Y41" s="124">
        <f>IF(ROW()=ROW(TBL_Synthese[[#Headers],[tijd]])+1,$Z$1,Y40)+IF(LEFT(TBL_Synthese[[#This Row],[check]],1)="&gt;",0,$Z$2+COUNTA(TBL_Synthese[[#This Row],[P1]:[P15]])*$Z$3)</f>
        <v>0.36822916666666705</v>
      </c>
      <c r="Z41" s="125"/>
      <c r="AA41" s="126">
        <f>SUM(TBL_Synthese[[#This Row],[P1]:[P15]])+MAX(COUNT(TBL_Synthese[[#This Row],[P1]:[P15]])-1,0)*L_saw+IF(ISNUMBER(MATCH(TBL_Synthese[[#This Row],[Longueur]],tblStock[Long.],0)),2*L_ends,0)</f>
        <v>5823</v>
      </c>
      <c r="AB41" s="127"/>
      <c r="AC41" s="128">
        <v>4</v>
      </c>
      <c r="AD41" s="128">
        <v>30</v>
      </c>
      <c r="AE41" s="127">
        <v>6000</v>
      </c>
      <c r="AF41" s="127">
        <v>157</v>
      </c>
      <c r="AG41" s="129" t="s">
        <v>147</v>
      </c>
      <c r="AH41" s="127">
        <v>3220</v>
      </c>
      <c r="AI41" s="127">
        <v>2600</v>
      </c>
      <c r="AJ41" s="127"/>
      <c r="AK41" s="127"/>
      <c r="AL41" s="127"/>
      <c r="AM41" s="127"/>
      <c r="AN41" s="127"/>
      <c r="AO41" s="127"/>
      <c r="AP41" s="127"/>
      <c r="AQ41" s="127"/>
      <c r="AR41" s="127"/>
      <c r="AS41" s="127"/>
      <c r="AT41" s="127"/>
      <c r="AU41" s="127"/>
      <c r="AV41" s="128"/>
      <c r="AW41" s="130">
        <v>290</v>
      </c>
      <c r="AX41" s="130" t="s">
        <v>146</v>
      </c>
      <c r="AY41" s="130"/>
      <c r="AZ41" s="130"/>
      <c r="BA41" s="130"/>
      <c r="BB41" s="130"/>
      <c r="BC41" s="130"/>
      <c r="BD41" s="130"/>
      <c r="BE41" s="130"/>
      <c r="BF41" s="130"/>
      <c r="BG41" s="130"/>
      <c r="BH41" s="130"/>
      <c r="BI41" s="130"/>
      <c r="BJ41" s="130"/>
      <c r="BK41" s="131"/>
    </row>
    <row r="42" spans="1:63" ht="17.25" customHeight="1" x14ac:dyDescent="0.3">
      <c r="A42" s="13"/>
      <c r="H42" s="14"/>
      <c r="Y42" s="124">
        <f>IF(ROW()=ROW(TBL_Synthese[[#Headers],[tijd]])+1,$Z$1,Y41)+IF(LEFT(TBL_Synthese[[#This Row],[check]],1)="&gt;",0,$Z$2+COUNTA(TBL_Synthese[[#This Row],[P1]:[P15]])*$Z$3)</f>
        <v>0.3706597222222226</v>
      </c>
      <c r="Z42" s="125"/>
      <c r="AA42" s="126">
        <f>SUM(TBL_Synthese[[#This Row],[P1]:[P15]])+MAX(COUNT(TBL_Synthese[[#This Row],[P1]:[P15]])-1,0)*L_saw+IF(ISNUMBER(MATCH(TBL_Synthese[[#This Row],[Longueur]],tblStock[Long.],0)),2*L_ends,0)</f>
        <v>5653</v>
      </c>
      <c r="AB42" s="127"/>
      <c r="AC42" s="128">
        <v>4</v>
      </c>
      <c r="AD42" s="128">
        <v>31</v>
      </c>
      <c r="AE42" s="127">
        <v>6000</v>
      </c>
      <c r="AF42" s="127">
        <v>327</v>
      </c>
      <c r="AG42" s="129" t="s">
        <v>82</v>
      </c>
      <c r="AH42" s="127">
        <v>3220</v>
      </c>
      <c r="AI42" s="127">
        <v>2430</v>
      </c>
      <c r="AJ42" s="127"/>
      <c r="AK42" s="127"/>
      <c r="AL42" s="127"/>
      <c r="AM42" s="127"/>
      <c r="AN42" s="127"/>
      <c r="AO42" s="127"/>
      <c r="AP42" s="127"/>
      <c r="AQ42" s="127"/>
      <c r="AR42" s="127"/>
      <c r="AS42" s="127"/>
      <c r="AT42" s="127"/>
      <c r="AU42" s="127"/>
      <c r="AV42" s="128"/>
      <c r="AW42" s="130">
        <v>290</v>
      </c>
      <c r="AX42" s="130">
        <v>248</v>
      </c>
      <c r="AY42" s="130"/>
      <c r="AZ42" s="130"/>
      <c r="BA42" s="130"/>
      <c r="BB42" s="130"/>
      <c r="BC42" s="130"/>
      <c r="BD42" s="130"/>
      <c r="BE42" s="130"/>
      <c r="BF42" s="130"/>
      <c r="BG42" s="130"/>
      <c r="BH42" s="130"/>
      <c r="BI42" s="130"/>
      <c r="BJ42" s="130"/>
      <c r="BK42" s="131"/>
    </row>
    <row r="43" spans="1:63" ht="17.25" customHeight="1" x14ac:dyDescent="0.3">
      <c r="A43" s="13"/>
      <c r="H43" s="14"/>
      <c r="Y43" s="124">
        <f>IF(ROW()=ROW(TBL_Synthese[[#Headers],[tijd]])+1,$Z$1,Y42)+IF(LEFT(TBL_Synthese[[#This Row],[check]],1)="&gt;",0,$Z$2+COUNTA(TBL_Synthese[[#This Row],[P1]:[P15]])*$Z$3)</f>
        <v>0.37309027777777815</v>
      </c>
      <c r="Z43" s="125"/>
      <c r="AA43" s="126">
        <f>SUM(TBL_Synthese[[#This Row],[P1]:[P15]])+MAX(COUNT(TBL_Synthese[[#This Row],[P1]:[P15]])-1,0)*L_saw+IF(ISNUMBER(MATCH(TBL_Synthese[[#This Row],[Longueur]],tblStock[Long.],0)),2*L_ends,0)</f>
        <v>5653</v>
      </c>
      <c r="AB43" s="127"/>
      <c r="AC43" s="128">
        <v>4</v>
      </c>
      <c r="AD43" s="128">
        <v>32</v>
      </c>
      <c r="AE43" s="127">
        <v>6000</v>
      </c>
      <c r="AF43" s="127">
        <v>327</v>
      </c>
      <c r="AG43" s="129" t="s">
        <v>82</v>
      </c>
      <c r="AH43" s="127">
        <v>3220</v>
      </c>
      <c r="AI43" s="127">
        <v>2430</v>
      </c>
      <c r="AJ43" s="127"/>
      <c r="AK43" s="127"/>
      <c r="AL43" s="127"/>
      <c r="AM43" s="127"/>
      <c r="AN43" s="127"/>
      <c r="AO43" s="127"/>
      <c r="AP43" s="127"/>
      <c r="AQ43" s="127"/>
      <c r="AR43" s="127"/>
      <c r="AS43" s="127"/>
      <c r="AT43" s="127"/>
      <c r="AU43" s="127"/>
      <c r="AV43" s="128"/>
      <c r="AW43" s="130">
        <v>290</v>
      </c>
      <c r="AX43" s="130">
        <v>248</v>
      </c>
      <c r="AY43" s="130"/>
      <c r="AZ43" s="130"/>
      <c r="BA43" s="130"/>
      <c r="BB43" s="130"/>
      <c r="BC43" s="130"/>
      <c r="BD43" s="130"/>
      <c r="BE43" s="130"/>
      <c r="BF43" s="130"/>
      <c r="BG43" s="130"/>
      <c r="BH43" s="130"/>
      <c r="BI43" s="130"/>
      <c r="BJ43" s="130"/>
      <c r="BK43" s="131"/>
    </row>
    <row r="44" spans="1:63" ht="17.25" customHeight="1" x14ac:dyDescent="0.3">
      <c r="A44" s="13"/>
      <c r="H44" s="14"/>
      <c r="Y44" s="124">
        <f>IF(ROW()=ROW(TBL_Synthese[[#Headers],[tijd]])+1,$Z$1,Y43)+IF(LEFT(TBL_Synthese[[#This Row],[check]],1)="&gt;",0,$Z$2+COUNTA(TBL_Synthese[[#This Row],[P1]:[P15]])*$Z$3)</f>
        <v>0.37569444444444483</v>
      </c>
      <c r="Z44" s="125" t="s">
        <v>123</v>
      </c>
      <c r="AA44" s="126">
        <f>SUM(TBL_Synthese[[#This Row],[P1]:[P15]])+MAX(COUNT(TBL_Synthese[[#This Row],[P1]:[P15]])-1,0)*L_saw+IF(ISNUMBER(MATCH(TBL_Synthese[[#This Row],[Longueur]],tblStock[Long.],0)),2*L_ends,0)</f>
        <v>3582.5</v>
      </c>
      <c r="AB44" s="127"/>
      <c r="AC44" s="128">
        <v>4</v>
      </c>
      <c r="AD44" s="128">
        <v>33</v>
      </c>
      <c r="AE44" s="127">
        <v>6000</v>
      </c>
      <c r="AF44" s="127">
        <v>2397.5</v>
      </c>
      <c r="AG44" s="129" t="s">
        <v>137</v>
      </c>
      <c r="AH44" s="127">
        <v>3220</v>
      </c>
      <c r="AI44" s="127">
        <v>359.5</v>
      </c>
      <c r="AJ44" s="127" t="s">
        <v>126</v>
      </c>
      <c r="AK44" s="127"/>
      <c r="AL44" s="127"/>
      <c r="AM44" s="127"/>
      <c r="AN44" s="127"/>
      <c r="AO44" s="127"/>
      <c r="AP44" s="127"/>
      <c r="AQ44" s="127"/>
      <c r="AR44" s="127"/>
      <c r="AS44" s="127"/>
      <c r="AT44" s="127"/>
      <c r="AU44" s="127"/>
      <c r="AV44" s="128"/>
      <c r="AW44" s="130">
        <v>290</v>
      </c>
      <c r="AX44" s="130">
        <v>155</v>
      </c>
      <c r="AY44" s="130" t="s">
        <v>127</v>
      </c>
      <c r="AZ44" s="130"/>
      <c r="BA44" s="130"/>
      <c r="BB44" s="130"/>
      <c r="BC44" s="130"/>
      <c r="BD44" s="130"/>
      <c r="BE44" s="130"/>
      <c r="BF44" s="130"/>
      <c r="BG44" s="130"/>
      <c r="BH44" s="130"/>
      <c r="BI44" s="130"/>
      <c r="BJ44" s="130"/>
      <c r="BK44" s="131"/>
    </row>
    <row r="45" spans="1:63" ht="17.25" customHeight="1" x14ac:dyDescent="0.3">
      <c r="A45" s="13"/>
      <c r="H45" s="14"/>
      <c r="Y45" s="124">
        <f>IF(ROW()=ROW(TBL_Synthese[[#Headers],[tijd]])+1,$Z$1,Y44)+IF(LEFT(TBL_Synthese[[#This Row],[check]],1)="&gt;",0,$Z$2+COUNTA(TBL_Synthese[[#This Row],[P1]:[P15]])*$Z$3)</f>
        <v>0.37829861111111152</v>
      </c>
      <c r="Z45" s="125"/>
      <c r="AA45" s="126">
        <f>SUM(TBL_Synthese[[#This Row],[P1]:[P15]])+MAX(COUNT(TBL_Synthese[[#This Row],[P1]:[P15]])-1,0)*L_saw+IF(ISNUMBER(MATCH(TBL_Synthese[[#This Row],[Longueur]],tblStock[Long.],0)),2*L_ends,0)</f>
        <v>5934.5</v>
      </c>
      <c r="AB45" s="127"/>
      <c r="AC45" s="128">
        <v>5</v>
      </c>
      <c r="AD45" s="128">
        <v>34</v>
      </c>
      <c r="AE45" s="127">
        <v>6000</v>
      </c>
      <c r="AF45" s="127">
        <v>45.5</v>
      </c>
      <c r="AG45" s="129" t="s">
        <v>83</v>
      </c>
      <c r="AH45" s="127">
        <v>4340</v>
      </c>
      <c r="AI45" s="127">
        <v>1290</v>
      </c>
      <c r="AJ45" s="127">
        <v>298.5</v>
      </c>
      <c r="AK45" s="127"/>
      <c r="AL45" s="127"/>
      <c r="AM45" s="127"/>
      <c r="AN45" s="127"/>
      <c r="AO45" s="127"/>
      <c r="AP45" s="127"/>
      <c r="AQ45" s="127"/>
      <c r="AR45" s="127"/>
      <c r="AS45" s="127"/>
      <c r="AT45" s="127"/>
      <c r="AU45" s="127"/>
      <c r="AV45" s="128"/>
      <c r="AW45" s="130">
        <v>300</v>
      </c>
      <c r="AX45" s="130">
        <v>226</v>
      </c>
      <c r="AY45" s="130">
        <v>148</v>
      </c>
      <c r="AZ45" s="130"/>
      <c r="BA45" s="130"/>
      <c r="BB45" s="130"/>
      <c r="BC45" s="130"/>
      <c r="BD45" s="130"/>
      <c r="BE45" s="130"/>
      <c r="BF45" s="130"/>
      <c r="BG45" s="130"/>
      <c r="BH45" s="130"/>
      <c r="BI45" s="130"/>
      <c r="BJ45" s="130"/>
      <c r="BK45" s="131"/>
    </row>
    <row r="46" spans="1:63" ht="17.25" customHeight="1" x14ac:dyDescent="0.3">
      <c r="A46" s="13"/>
      <c r="H46" s="14"/>
      <c r="Y46" s="124">
        <f>IF(ROW()=ROW(TBL_Synthese[[#Headers],[tijd]])+1,$Z$1,Y45)+IF(LEFT(TBL_Synthese[[#This Row],[check]],1)="&gt;",0,$Z$2+COUNTA(TBL_Synthese[[#This Row],[P1]:[P15]])*$Z$3)</f>
        <v>0.3809027777777782</v>
      </c>
      <c r="Z46" s="125"/>
      <c r="AA46" s="126">
        <f>SUM(TBL_Synthese[[#This Row],[P1]:[P15]])+MAX(COUNT(TBL_Synthese[[#This Row],[P1]:[P15]])-1,0)*L_saw+IF(ISNUMBER(MATCH(TBL_Synthese[[#This Row],[Longueur]],tblStock[Long.],0)),2*L_ends,0)</f>
        <v>5894.5</v>
      </c>
      <c r="AB46" s="127"/>
      <c r="AC46" s="128">
        <v>5</v>
      </c>
      <c r="AD46" s="128">
        <v>35</v>
      </c>
      <c r="AE46" s="127">
        <v>6000</v>
      </c>
      <c r="AF46" s="127">
        <v>85.5</v>
      </c>
      <c r="AG46" s="129" t="s">
        <v>84</v>
      </c>
      <c r="AH46" s="127">
        <v>4250</v>
      </c>
      <c r="AI46" s="127">
        <v>1290</v>
      </c>
      <c r="AJ46" s="127">
        <v>348.5</v>
      </c>
      <c r="AK46" s="127"/>
      <c r="AL46" s="127"/>
      <c r="AM46" s="127"/>
      <c r="AN46" s="127"/>
      <c r="AO46" s="127"/>
      <c r="AP46" s="127"/>
      <c r="AQ46" s="127"/>
      <c r="AR46" s="127"/>
      <c r="AS46" s="127"/>
      <c r="AT46" s="127"/>
      <c r="AU46" s="127"/>
      <c r="AV46" s="128"/>
      <c r="AW46" s="130">
        <v>299</v>
      </c>
      <c r="AX46" s="130">
        <v>226</v>
      </c>
      <c r="AY46" s="130">
        <v>154</v>
      </c>
      <c r="AZ46" s="130"/>
      <c r="BA46" s="130"/>
      <c r="BB46" s="130"/>
      <c r="BC46" s="130"/>
      <c r="BD46" s="130"/>
      <c r="BE46" s="130"/>
      <c r="BF46" s="130"/>
      <c r="BG46" s="130"/>
      <c r="BH46" s="130"/>
      <c r="BI46" s="130"/>
      <c r="BJ46" s="130"/>
      <c r="BK46" s="131"/>
    </row>
    <row r="47" spans="1:63" ht="17.25" customHeight="1" x14ac:dyDescent="0.3">
      <c r="A47" s="13"/>
      <c r="H47" s="14"/>
      <c r="Y47" s="124">
        <f>IF(ROW()=ROW(TBL_Synthese[[#Headers],[tijd]])+1,$Z$1,Y46)+IF(LEFT(TBL_Synthese[[#This Row],[check]],1)="&gt;",0,$Z$2+COUNTA(TBL_Synthese[[#This Row],[P1]:[P15]])*$Z$3)</f>
        <v>0.38350694444444489</v>
      </c>
      <c r="Z47" s="125"/>
      <c r="AA47" s="126">
        <f>SUM(TBL_Synthese[[#This Row],[P1]:[P15]])+MAX(COUNT(TBL_Synthese[[#This Row],[P1]:[P15]])-1,0)*L_saw+IF(ISNUMBER(MATCH(TBL_Synthese[[#This Row],[Longueur]],tblStock[Long.],0)),2*L_ends,0)</f>
        <v>5930.6</v>
      </c>
      <c r="AB47" s="127"/>
      <c r="AC47" s="128">
        <v>5</v>
      </c>
      <c r="AD47" s="128">
        <v>36</v>
      </c>
      <c r="AE47" s="127">
        <v>6000</v>
      </c>
      <c r="AF47" s="127">
        <v>49.399999999999636</v>
      </c>
      <c r="AG47" s="129" t="s">
        <v>85</v>
      </c>
      <c r="AH47" s="127">
        <v>2685.8</v>
      </c>
      <c r="AI47" s="127">
        <v>2685.8</v>
      </c>
      <c r="AJ47" s="127">
        <v>553</v>
      </c>
      <c r="AK47" s="127"/>
      <c r="AL47" s="127"/>
      <c r="AM47" s="127"/>
      <c r="AN47" s="127"/>
      <c r="AO47" s="127"/>
      <c r="AP47" s="127"/>
      <c r="AQ47" s="127"/>
      <c r="AR47" s="127"/>
      <c r="AS47" s="127"/>
      <c r="AT47" s="127"/>
      <c r="AU47" s="127"/>
      <c r="AV47" s="128"/>
      <c r="AW47" s="130">
        <v>257</v>
      </c>
      <c r="AX47" s="130">
        <v>257</v>
      </c>
      <c r="AY47" s="130">
        <v>184</v>
      </c>
      <c r="AZ47" s="130"/>
      <c r="BA47" s="130"/>
      <c r="BB47" s="130"/>
      <c r="BC47" s="130"/>
      <c r="BD47" s="130"/>
      <c r="BE47" s="130"/>
      <c r="BF47" s="130"/>
      <c r="BG47" s="130"/>
      <c r="BH47" s="130"/>
      <c r="BI47" s="130"/>
      <c r="BJ47" s="130"/>
      <c r="BK47" s="131"/>
    </row>
    <row r="48" spans="1:63" ht="17.25" customHeight="1" x14ac:dyDescent="0.3">
      <c r="A48" s="13"/>
      <c r="H48" s="14"/>
      <c r="Y48" s="124">
        <f>IF(ROW()=ROW(TBL_Synthese[[#Headers],[tijd]])+1,$Z$1,Y47)+IF(LEFT(TBL_Synthese[[#This Row],[check]],1)="&gt;",0,$Z$2+COUNTA(TBL_Synthese[[#This Row],[P1]:[P15]])*$Z$3)</f>
        <v>0.38611111111111157</v>
      </c>
      <c r="Z48" s="125"/>
      <c r="AA48" s="126">
        <f>SUM(TBL_Synthese[[#This Row],[P1]:[P15]])+MAX(COUNT(TBL_Synthese[[#This Row],[P1]:[P15]])-1,0)*L_saw+IF(ISNUMBER(MATCH(TBL_Synthese[[#This Row],[Longueur]],tblStock[Long.],0)),2*L_ends,0)</f>
        <v>5930.6</v>
      </c>
      <c r="AB48" s="127"/>
      <c r="AC48" s="128">
        <v>5</v>
      </c>
      <c r="AD48" s="128">
        <v>37</v>
      </c>
      <c r="AE48" s="127">
        <v>6000</v>
      </c>
      <c r="AF48" s="127">
        <v>49.399999999999636</v>
      </c>
      <c r="AG48" s="129" t="s">
        <v>85</v>
      </c>
      <c r="AH48" s="127">
        <v>2685.8</v>
      </c>
      <c r="AI48" s="127">
        <v>2685.8</v>
      </c>
      <c r="AJ48" s="127">
        <v>553</v>
      </c>
      <c r="AK48" s="127"/>
      <c r="AL48" s="127"/>
      <c r="AM48" s="127"/>
      <c r="AN48" s="127"/>
      <c r="AO48" s="127"/>
      <c r="AP48" s="127"/>
      <c r="AQ48" s="127"/>
      <c r="AR48" s="127"/>
      <c r="AS48" s="127"/>
      <c r="AT48" s="127"/>
      <c r="AU48" s="127"/>
      <c r="AV48" s="128"/>
      <c r="AW48" s="130">
        <v>257</v>
      </c>
      <c r="AX48" s="130">
        <v>257</v>
      </c>
      <c r="AY48" s="130">
        <v>184</v>
      </c>
      <c r="AZ48" s="130"/>
      <c r="BA48" s="130"/>
      <c r="BB48" s="130"/>
      <c r="BC48" s="130"/>
      <c r="BD48" s="130"/>
      <c r="BE48" s="130"/>
      <c r="BF48" s="130"/>
      <c r="BG48" s="130"/>
      <c r="BH48" s="130"/>
      <c r="BI48" s="130"/>
      <c r="BJ48" s="130"/>
      <c r="BK48" s="131"/>
    </row>
    <row r="49" spans="1:63" ht="17.25" customHeight="1" x14ac:dyDescent="0.3">
      <c r="A49" s="13"/>
      <c r="H49" s="14"/>
      <c r="Y49" s="124">
        <f>IF(ROW()=ROW(TBL_Synthese[[#Headers],[tijd]])+1,$Z$1,Y48)+IF(LEFT(TBL_Synthese[[#This Row],[check]],1)="&gt;",0,$Z$2+COUNTA(TBL_Synthese[[#This Row],[P1]:[P15]])*$Z$3)</f>
        <v>0.38871527777777826</v>
      </c>
      <c r="Z49" s="125"/>
      <c r="AA49" s="126">
        <f>SUM(TBL_Synthese[[#This Row],[P1]:[P15]])+MAX(COUNT(TBL_Synthese[[#This Row],[P1]:[P15]])-1,0)*L_saw+IF(ISNUMBER(MATCH(TBL_Synthese[[#This Row],[Longueur]],tblStock[Long.],0)),2*L_ends,0)</f>
        <v>5930.6</v>
      </c>
      <c r="AB49" s="127"/>
      <c r="AC49" s="128">
        <v>5</v>
      </c>
      <c r="AD49" s="128">
        <v>38</v>
      </c>
      <c r="AE49" s="127">
        <v>6000</v>
      </c>
      <c r="AF49" s="127">
        <v>49.399999999999636</v>
      </c>
      <c r="AG49" s="129" t="s">
        <v>85</v>
      </c>
      <c r="AH49" s="127">
        <v>2685.8</v>
      </c>
      <c r="AI49" s="127">
        <v>2685.8</v>
      </c>
      <c r="AJ49" s="127">
        <v>553</v>
      </c>
      <c r="AK49" s="127"/>
      <c r="AL49" s="127"/>
      <c r="AM49" s="127"/>
      <c r="AN49" s="127"/>
      <c r="AO49" s="127"/>
      <c r="AP49" s="127"/>
      <c r="AQ49" s="127"/>
      <c r="AR49" s="127"/>
      <c r="AS49" s="127"/>
      <c r="AT49" s="127"/>
      <c r="AU49" s="127"/>
      <c r="AV49" s="128"/>
      <c r="AW49" s="130">
        <v>257</v>
      </c>
      <c r="AX49" s="130">
        <v>257</v>
      </c>
      <c r="AY49" s="130">
        <v>184</v>
      </c>
      <c r="AZ49" s="130"/>
      <c r="BA49" s="130"/>
      <c r="BB49" s="130"/>
      <c r="BC49" s="130"/>
      <c r="BD49" s="130"/>
      <c r="BE49" s="130"/>
      <c r="BF49" s="130"/>
      <c r="BG49" s="130"/>
      <c r="BH49" s="130"/>
      <c r="BI49" s="130"/>
      <c r="BJ49" s="130"/>
      <c r="BK49" s="131"/>
    </row>
    <row r="50" spans="1:63" ht="17.25" customHeight="1" x14ac:dyDescent="0.3">
      <c r="A50" s="13"/>
      <c r="H50" s="14"/>
      <c r="Y50" s="124">
        <f>IF(ROW()=ROW(TBL_Synthese[[#Headers],[tijd]])+1,$Z$1,Y49)+IF(LEFT(TBL_Synthese[[#This Row],[check]],1)="&gt;",0,$Z$2+COUNTA(TBL_Synthese[[#This Row],[P1]:[P15]])*$Z$3)</f>
        <v>0.3911458333333338</v>
      </c>
      <c r="Z50" s="125"/>
      <c r="AA50" s="126">
        <f>SUM(TBL_Synthese[[#This Row],[P1]:[P15]])+MAX(COUNT(TBL_Synthese[[#This Row],[P1]:[P15]])-1,0)*L_saw+IF(ISNUMBER(MATCH(TBL_Synthese[[#This Row],[Longueur]],tblStock[Long.],0)),2*L_ends,0)</f>
        <v>5374.6</v>
      </c>
      <c r="AB50" s="127"/>
      <c r="AC50" s="128">
        <v>5</v>
      </c>
      <c r="AD50" s="128">
        <v>39</v>
      </c>
      <c r="AE50" s="127">
        <v>6000</v>
      </c>
      <c r="AF50" s="127">
        <v>605.39999999999964</v>
      </c>
      <c r="AG50" s="129" t="s">
        <v>86</v>
      </c>
      <c r="AH50" s="127">
        <v>2685.8</v>
      </c>
      <c r="AI50" s="127">
        <v>2685.8</v>
      </c>
      <c r="AJ50" s="127"/>
      <c r="AK50" s="127"/>
      <c r="AL50" s="127"/>
      <c r="AM50" s="127"/>
      <c r="AN50" s="127"/>
      <c r="AO50" s="127"/>
      <c r="AP50" s="127"/>
      <c r="AQ50" s="127"/>
      <c r="AR50" s="127"/>
      <c r="AS50" s="127"/>
      <c r="AT50" s="127"/>
      <c r="AU50" s="127"/>
      <c r="AV50" s="128"/>
      <c r="AW50" s="130">
        <v>257</v>
      </c>
      <c r="AX50" s="130">
        <v>257</v>
      </c>
      <c r="AY50" s="130"/>
      <c r="AZ50" s="130"/>
      <c r="BA50" s="130"/>
      <c r="BB50" s="130"/>
      <c r="BC50" s="130"/>
      <c r="BD50" s="130"/>
      <c r="BE50" s="130"/>
      <c r="BF50" s="130"/>
      <c r="BG50" s="130"/>
      <c r="BH50" s="130"/>
      <c r="BI50" s="130"/>
      <c r="BJ50" s="130"/>
      <c r="BK50" s="131"/>
    </row>
    <row r="51" spans="1:63" ht="17.25" customHeight="1" x14ac:dyDescent="0.3">
      <c r="A51" s="13"/>
      <c r="H51" s="14"/>
      <c r="Y51" s="124">
        <f>IF(ROW()=ROW(TBL_Synthese[[#Headers],[tijd]])+1,$Z$1,Y50)+IF(LEFT(TBL_Synthese[[#This Row],[check]],1)="&gt;",0,$Z$2+COUNTA(TBL_Synthese[[#This Row],[P1]:[P15]])*$Z$3)</f>
        <v>0.39357638888888935</v>
      </c>
      <c r="Z51" s="125"/>
      <c r="AA51" s="126">
        <f>SUM(TBL_Synthese[[#This Row],[P1]:[P15]])+MAX(COUNT(TBL_Synthese[[#This Row],[P1]:[P15]])-1,0)*L_saw+IF(ISNUMBER(MATCH(TBL_Synthese[[#This Row],[Longueur]],tblStock[Long.],0)),2*L_ends,0)</f>
        <v>5374.6</v>
      </c>
      <c r="AB51" s="127"/>
      <c r="AC51" s="128">
        <v>5</v>
      </c>
      <c r="AD51" s="128">
        <v>40</v>
      </c>
      <c r="AE51" s="127">
        <v>6000</v>
      </c>
      <c r="AF51" s="127">
        <v>605.39999999999964</v>
      </c>
      <c r="AG51" s="129" t="s">
        <v>86</v>
      </c>
      <c r="AH51" s="127">
        <v>2685.8</v>
      </c>
      <c r="AI51" s="127">
        <v>2685.8</v>
      </c>
      <c r="AJ51" s="127"/>
      <c r="AK51" s="127"/>
      <c r="AL51" s="127"/>
      <c r="AM51" s="127"/>
      <c r="AN51" s="127"/>
      <c r="AO51" s="127"/>
      <c r="AP51" s="127"/>
      <c r="AQ51" s="127"/>
      <c r="AR51" s="127"/>
      <c r="AS51" s="127"/>
      <c r="AT51" s="127"/>
      <c r="AU51" s="127"/>
      <c r="AV51" s="128"/>
      <c r="AW51" s="130">
        <v>257</v>
      </c>
      <c r="AX51" s="130">
        <v>257</v>
      </c>
      <c r="AY51" s="130"/>
      <c r="AZ51" s="130"/>
      <c r="BA51" s="130"/>
      <c r="BB51" s="130"/>
      <c r="BC51" s="130"/>
      <c r="BD51" s="130"/>
      <c r="BE51" s="130"/>
      <c r="BF51" s="130"/>
      <c r="BG51" s="130"/>
      <c r="BH51" s="130"/>
      <c r="BI51" s="130"/>
      <c r="BJ51" s="130"/>
      <c r="BK51" s="131"/>
    </row>
    <row r="52" spans="1:63" ht="17.25" customHeight="1" x14ac:dyDescent="0.3">
      <c r="A52" s="13"/>
      <c r="H52" s="14"/>
      <c r="Y52" s="124">
        <f>IF(ROW()=ROW(TBL_Synthese[[#Headers],[tijd]])+1,$Z$1,Y51)+IF(LEFT(TBL_Synthese[[#This Row],[check]],1)="&gt;",0,$Z$2+COUNTA(TBL_Synthese[[#This Row],[P1]:[P15]])*$Z$3)</f>
        <v>0.3960069444444449</v>
      </c>
      <c r="Z52" s="125"/>
      <c r="AA52" s="126">
        <f>SUM(TBL_Synthese[[#This Row],[P1]:[P15]])+MAX(COUNT(TBL_Synthese[[#This Row],[P1]:[P15]])-1,0)*L_saw+IF(ISNUMBER(MATCH(TBL_Synthese[[#This Row],[Longueur]],tblStock[Long.],0)),2*L_ends,0)</f>
        <v>5374.6</v>
      </c>
      <c r="AB52" s="127"/>
      <c r="AC52" s="128">
        <v>5</v>
      </c>
      <c r="AD52" s="128">
        <v>41</v>
      </c>
      <c r="AE52" s="127">
        <v>6000</v>
      </c>
      <c r="AF52" s="127">
        <v>605.39999999999964</v>
      </c>
      <c r="AG52" s="129" t="s">
        <v>86</v>
      </c>
      <c r="AH52" s="127">
        <v>2685.8</v>
      </c>
      <c r="AI52" s="127">
        <v>2685.8</v>
      </c>
      <c r="AJ52" s="127"/>
      <c r="AK52" s="127"/>
      <c r="AL52" s="127"/>
      <c r="AM52" s="127"/>
      <c r="AN52" s="127"/>
      <c r="AO52" s="127"/>
      <c r="AP52" s="127"/>
      <c r="AQ52" s="127"/>
      <c r="AR52" s="127"/>
      <c r="AS52" s="127"/>
      <c r="AT52" s="127"/>
      <c r="AU52" s="127"/>
      <c r="AV52" s="128"/>
      <c r="AW52" s="130">
        <v>257</v>
      </c>
      <c r="AX52" s="130">
        <v>257</v>
      </c>
      <c r="AY52" s="130"/>
      <c r="AZ52" s="130"/>
      <c r="BA52" s="130"/>
      <c r="BB52" s="130"/>
      <c r="BC52" s="130"/>
      <c r="BD52" s="130"/>
      <c r="BE52" s="130"/>
      <c r="BF52" s="130"/>
      <c r="BG52" s="130"/>
      <c r="BH52" s="130"/>
      <c r="BI52" s="130"/>
      <c r="BJ52" s="130"/>
      <c r="BK52" s="131"/>
    </row>
    <row r="53" spans="1:63" ht="17.25" customHeight="1" x14ac:dyDescent="0.3">
      <c r="A53" s="13"/>
      <c r="H53" s="14"/>
      <c r="Y53" s="124">
        <f>IF(ROW()=ROW(TBL_Synthese[[#Headers],[tijd]])+1,$Z$1,Y52)+IF(LEFT(TBL_Synthese[[#This Row],[check]],1)="&gt;",0,$Z$2+COUNTA(TBL_Synthese[[#This Row],[P1]:[P15]])*$Z$3)</f>
        <v>0.39861111111111158</v>
      </c>
      <c r="Z53" s="125"/>
      <c r="AA53" s="126">
        <f>SUM(TBL_Synthese[[#This Row],[P1]:[P15]])+MAX(COUNT(TBL_Synthese[[#This Row],[P1]:[P15]])-1,0)*L_saw+IF(ISNUMBER(MATCH(TBL_Synthese[[#This Row],[Longueur]],tblStock[Long.],0)),2*L_ends,0)</f>
        <v>5962.6</v>
      </c>
      <c r="AB53" s="127"/>
      <c r="AC53" s="128">
        <v>5</v>
      </c>
      <c r="AD53" s="128">
        <v>42</v>
      </c>
      <c r="AE53" s="127">
        <v>6000</v>
      </c>
      <c r="AF53" s="127">
        <v>17.399999999999636</v>
      </c>
      <c r="AG53" s="129" t="s">
        <v>87</v>
      </c>
      <c r="AH53" s="127">
        <v>2495.8000000000002</v>
      </c>
      <c r="AI53" s="127">
        <v>2495.8000000000002</v>
      </c>
      <c r="AJ53" s="127">
        <v>965</v>
      </c>
      <c r="AK53" s="127"/>
      <c r="AL53" s="127"/>
      <c r="AM53" s="127"/>
      <c r="AN53" s="127"/>
      <c r="AO53" s="127"/>
      <c r="AP53" s="127"/>
      <c r="AQ53" s="127"/>
      <c r="AR53" s="127"/>
      <c r="AS53" s="127"/>
      <c r="AT53" s="127"/>
      <c r="AU53" s="127"/>
      <c r="AV53" s="128"/>
      <c r="AW53" s="130">
        <v>253</v>
      </c>
      <c r="AX53" s="130">
        <v>253</v>
      </c>
      <c r="AY53" s="130">
        <v>204</v>
      </c>
      <c r="AZ53" s="130"/>
      <c r="BA53" s="130"/>
      <c r="BB53" s="130"/>
      <c r="BC53" s="130"/>
      <c r="BD53" s="130"/>
      <c r="BE53" s="130"/>
      <c r="BF53" s="130"/>
      <c r="BG53" s="130"/>
      <c r="BH53" s="130"/>
      <c r="BI53" s="130"/>
      <c r="BJ53" s="130"/>
      <c r="BK53" s="131"/>
    </row>
    <row r="54" spans="1:63" ht="17.25" customHeight="1" x14ac:dyDescent="0.3">
      <c r="A54" s="13"/>
      <c r="H54" s="14"/>
      <c r="Y54" s="124">
        <f>IF(ROW()=ROW(TBL_Synthese[[#Headers],[tijd]])+1,$Z$1,Y53)+IF(LEFT(TBL_Synthese[[#This Row],[check]],1)="&gt;",0,$Z$2+COUNTA(TBL_Synthese[[#This Row],[P1]:[P15]])*$Z$3)</f>
        <v>0.40121527777777827</v>
      </c>
      <c r="Z54" s="125"/>
      <c r="AA54" s="126">
        <f>SUM(TBL_Synthese[[#This Row],[P1]:[P15]])+MAX(COUNT(TBL_Synthese[[#This Row],[P1]:[P15]])-1,0)*L_saw+IF(ISNUMBER(MATCH(TBL_Synthese[[#This Row],[Longueur]],tblStock[Long.],0)),2*L_ends,0)</f>
        <v>5812.6</v>
      </c>
      <c r="AB54" s="127"/>
      <c r="AC54" s="128">
        <v>5</v>
      </c>
      <c r="AD54" s="128">
        <v>43</v>
      </c>
      <c r="AE54" s="127">
        <v>6000</v>
      </c>
      <c r="AF54" s="127">
        <v>167.39999999999964</v>
      </c>
      <c r="AG54" s="129" t="s">
        <v>88</v>
      </c>
      <c r="AH54" s="127">
        <v>2420.8000000000002</v>
      </c>
      <c r="AI54" s="127">
        <v>2420.8000000000002</v>
      </c>
      <c r="AJ54" s="127">
        <v>965</v>
      </c>
      <c r="AK54" s="127"/>
      <c r="AL54" s="127"/>
      <c r="AM54" s="127"/>
      <c r="AN54" s="127"/>
      <c r="AO54" s="127"/>
      <c r="AP54" s="127"/>
      <c r="AQ54" s="127"/>
      <c r="AR54" s="127"/>
      <c r="AS54" s="127"/>
      <c r="AT54" s="127"/>
      <c r="AU54" s="127"/>
      <c r="AV54" s="128"/>
      <c r="AW54" s="130">
        <v>246</v>
      </c>
      <c r="AX54" s="130">
        <v>246</v>
      </c>
      <c r="AY54" s="130">
        <v>204</v>
      </c>
      <c r="AZ54" s="130"/>
      <c r="BA54" s="130"/>
      <c r="BB54" s="130"/>
      <c r="BC54" s="130"/>
      <c r="BD54" s="130"/>
      <c r="BE54" s="130"/>
      <c r="BF54" s="130"/>
      <c r="BG54" s="130"/>
      <c r="BH54" s="130"/>
      <c r="BI54" s="130"/>
      <c r="BJ54" s="130"/>
      <c r="BK54" s="131"/>
    </row>
    <row r="55" spans="1:63" ht="17.25" customHeight="1" x14ac:dyDescent="0.3">
      <c r="A55" s="13"/>
      <c r="H55" s="14"/>
      <c r="Y55" s="124">
        <f>IF(ROW()=ROW(TBL_Synthese[[#Headers],[tijd]])+1,$Z$1,Y54)+IF(LEFT(TBL_Synthese[[#This Row],[check]],1)="&gt;",0,$Z$2+COUNTA(TBL_Synthese[[#This Row],[P1]:[P15]])*$Z$3)</f>
        <v>0.40364583333333381</v>
      </c>
      <c r="Z55" s="125"/>
      <c r="AA55" s="126">
        <f>SUM(TBL_Synthese[[#This Row],[P1]:[P15]])+MAX(COUNT(TBL_Synthese[[#This Row],[P1]:[P15]])-1,0)*L_saw+IF(ISNUMBER(MATCH(TBL_Synthese[[#This Row],[Longueur]],tblStock[Long.],0)),2*L_ends,0)</f>
        <v>5588.1</v>
      </c>
      <c r="AB55" s="127"/>
      <c r="AC55" s="128">
        <v>6</v>
      </c>
      <c r="AD55" s="128">
        <v>44</v>
      </c>
      <c r="AE55" s="127">
        <v>6000</v>
      </c>
      <c r="AF55" s="127">
        <v>391.89999999999964</v>
      </c>
      <c r="AG55" s="129" t="s">
        <v>89</v>
      </c>
      <c r="AH55" s="127">
        <v>2802.5</v>
      </c>
      <c r="AI55" s="127">
        <v>2782.6</v>
      </c>
      <c r="AJ55" s="127"/>
      <c r="AK55" s="127"/>
      <c r="AL55" s="127"/>
      <c r="AM55" s="127"/>
      <c r="AN55" s="127"/>
      <c r="AO55" s="127"/>
      <c r="AP55" s="127"/>
      <c r="AQ55" s="127"/>
      <c r="AR55" s="127"/>
      <c r="AS55" s="127"/>
      <c r="AT55" s="127"/>
      <c r="AU55" s="127"/>
      <c r="AV55" s="128"/>
      <c r="AW55" s="130">
        <v>273</v>
      </c>
      <c r="AX55" s="130">
        <v>270</v>
      </c>
      <c r="AY55" s="130"/>
      <c r="AZ55" s="130"/>
      <c r="BA55" s="130"/>
      <c r="BB55" s="130"/>
      <c r="BC55" s="130"/>
      <c r="BD55" s="130"/>
      <c r="BE55" s="130"/>
      <c r="BF55" s="130"/>
      <c r="BG55" s="130"/>
      <c r="BH55" s="130"/>
      <c r="BI55" s="130"/>
      <c r="BJ55" s="130"/>
      <c r="BK55" s="131"/>
    </row>
    <row r="56" spans="1:63" ht="17.25" customHeight="1" x14ac:dyDescent="0.3">
      <c r="A56" s="13"/>
      <c r="H56" s="14"/>
      <c r="Y56" s="124">
        <f>IF(ROW()=ROW(TBL_Synthese[[#Headers],[tijd]])+1,$Z$1,Y55)+IF(LEFT(TBL_Synthese[[#This Row],[check]],1)="&gt;",0,$Z$2+COUNTA(TBL_Synthese[[#This Row],[P1]:[P15]])*$Z$3)</f>
        <v>0.40607638888888936</v>
      </c>
      <c r="Z56" s="125"/>
      <c r="AA56" s="126">
        <f>SUM(TBL_Synthese[[#This Row],[P1]:[P15]])+MAX(COUNT(TBL_Synthese[[#This Row],[P1]:[P15]])-1,0)*L_saw+IF(ISNUMBER(MATCH(TBL_Synthese[[#This Row],[Longueur]],tblStock[Long.],0)),2*L_ends,0)</f>
        <v>5444.3</v>
      </c>
      <c r="AB56" s="127"/>
      <c r="AC56" s="128">
        <v>6</v>
      </c>
      <c r="AD56" s="128">
        <v>45</v>
      </c>
      <c r="AE56" s="127">
        <v>6000</v>
      </c>
      <c r="AF56" s="127">
        <v>535.69999999999982</v>
      </c>
      <c r="AG56" s="129" t="s">
        <v>90</v>
      </c>
      <c r="AH56" s="127">
        <v>2734.8</v>
      </c>
      <c r="AI56" s="127">
        <v>2706.5</v>
      </c>
      <c r="AJ56" s="127"/>
      <c r="AK56" s="127"/>
      <c r="AL56" s="127"/>
      <c r="AM56" s="127"/>
      <c r="AN56" s="127"/>
      <c r="AO56" s="127"/>
      <c r="AP56" s="127"/>
      <c r="AQ56" s="127"/>
      <c r="AR56" s="127"/>
      <c r="AS56" s="127"/>
      <c r="AT56" s="127"/>
      <c r="AU56" s="127"/>
      <c r="AV56" s="128"/>
      <c r="AW56" s="130">
        <v>266</v>
      </c>
      <c r="AX56" s="130">
        <v>262</v>
      </c>
      <c r="AY56" s="130"/>
      <c r="AZ56" s="130"/>
      <c r="BA56" s="130"/>
      <c r="BB56" s="130"/>
      <c r="BC56" s="130"/>
      <c r="BD56" s="130"/>
      <c r="BE56" s="130"/>
      <c r="BF56" s="130"/>
      <c r="BG56" s="130"/>
      <c r="BH56" s="130"/>
      <c r="BI56" s="130"/>
      <c r="BJ56" s="130"/>
      <c r="BK56" s="131"/>
    </row>
    <row r="57" spans="1:63" ht="17.25" customHeight="1" x14ac:dyDescent="0.3">
      <c r="A57" s="13"/>
      <c r="H57" s="14"/>
      <c r="Y57" s="124">
        <f>IF(ROW()=ROW(TBL_Synthese[[#Headers],[tijd]])+1,$Z$1,Y56)+IF(LEFT(TBL_Synthese[[#This Row],[check]],1)="&gt;",0,$Z$2+COUNTA(TBL_Synthese[[#This Row],[P1]:[P15]])*$Z$3)</f>
        <v>0.40607638888888936</v>
      </c>
      <c r="Z57" s="125" t="s">
        <v>138</v>
      </c>
      <c r="AA57" s="126">
        <f>SUM(TBL_Synthese[[#This Row],[P1]:[P15]])+MAX(COUNT(TBL_Synthese[[#This Row],[P1]:[P15]])-1,0)*L_saw+IF(ISNUMBER(MATCH(TBL_Synthese[[#This Row],[Longueur]],tblStock[Long.],0)),2*L_ends,0)</f>
        <v>1252.5999999999999</v>
      </c>
      <c r="AB57" s="127"/>
      <c r="AC57" s="128">
        <v>6</v>
      </c>
      <c r="AD57" s="128">
        <v>46</v>
      </c>
      <c r="AE57" s="127">
        <v>1457.5</v>
      </c>
      <c r="AF57" s="127">
        <v>201.90000000000009</v>
      </c>
      <c r="AG57" s="129" t="s">
        <v>91</v>
      </c>
      <c r="AH57" s="127">
        <v>1252.5999999999999</v>
      </c>
      <c r="AI57" s="127"/>
      <c r="AJ57" s="127"/>
      <c r="AK57" s="127"/>
      <c r="AL57" s="127"/>
      <c r="AM57" s="127"/>
      <c r="AN57" s="127"/>
      <c r="AO57" s="127"/>
      <c r="AP57" s="127"/>
      <c r="AQ57" s="127"/>
      <c r="AR57" s="127"/>
      <c r="AS57" s="127"/>
      <c r="AT57" s="127"/>
      <c r="AU57" s="127"/>
      <c r="AV57" s="128"/>
      <c r="AW57" s="130">
        <v>219</v>
      </c>
      <c r="AX57" s="130"/>
      <c r="AY57" s="130"/>
      <c r="AZ57" s="130"/>
      <c r="BA57" s="130"/>
      <c r="BB57" s="130"/>
      <c r="BC57" s="130"/>
      <c r="BD57" s="130"/>
      <c r="BE57" s="130"/>
      <c r="BF57" s="130"/>
      <c r="BG57" s="130"/>
      <c r="BH57" s="130"/>
      <c r="BI57" s="130"/>
      <c r="BJ57" s="130"/>
      <c r="BK57" s="131"/>
    </row>
    <row r="58" spans="1:63" ht="17.25" customHeight="1" x14ac:dyDescent="0.3">
      <c r="A58" s="15"/>
      <c r="B58" s="16"/>
      <c r="C58" s="18"/>
      <c r="D58" s="16"/>
      <c r="E58" s="16"/>
      <c r="F58" s="16"/>
      <c r="G58" s="16"/>
      <c r="H58" s="17"/>
      <c r="Y58" s="124">
        <f>IF(ROW()=ROW(TBL_Synthese[[#Headers],[tijd]])+1,$Z$1,Y57)+IF(LEFT(TBL_Synthese[[#This Row],[check]],1)="&gt;",0,$Z$2+COUNTA(TBL_Synthese[[#This Row],[P1]:[P15]])*$Z$3)</f>
        <v>0.40833333333333383</v>
      </c>
      <c r="Z58" s="125"/>
      <c r="AA58" s="126">
        <f>SUM(TBL_Synthese[[#This Row],[P1]:[P15]])+MAX(COUNT(TBL_Synthese[[#This Row],[P1]:[P15]])-1,0)*L_saw+IF(ISNUMBER(MATCH(TBL_Synthese[[#This Row],[Longueur]],tblStock[Long.],0)),2*L_ends,0)</f>
        <v>5818.5</v>
      </c>
      <c r="AB58" s="127"/>
      <c r="AC58" s="128">
        <v>7</v>
      </c>
      <c r="AD58" s="128">
        <v>47</v>
      </c>
      <c r="AE58" s="127">
        <v>6000</v>
      </c>
      <c r="AF58" s="127">
        <v>161.5</v>
      </c>
      <c r="AG58" s="129" t="s">
        <v>92</v>
      </c>
      <c r="AH58" s="127">
        <v>5818.5</v>
      </c>
      <c r="AI58" s="127"/>
      <c r="AJ58" s="127"/>
      <c r="AK58" s="127"/>
      <c r="AL58" s="127"/>
      <c r="AM58" s="127"/>
      <c r="AN58" s="127"/>
      <c r="AO58" s="127"/>
      <c r="AP58" s="127"/>
      <c r="AQ58" s="127"/>
      <c r="AR58" s="127"/>
      <c r="AS58" s="127"/>
      <c r="AT58" s="127"/>
      <c r="AU58" s="127"/>
      <c r="AV58" s="128"/>
      <c r="AW58" s="130">
        <v>304</v>
      </c>
      <c r="AX58" s="130"/>
      <c r="AY58" s="130"/>
      <c r="AZ58" s="130"/>
      <c r="BA58" s="130"/>
      <c r="BB58" s="130"/>
      <c r="BC58" s="130"/>
      <c r="BD58" s="130"/>
      <c r="BE58" s="130"/>
      <c r="BF58" s="130"/>
      <c r="BG58" s="130"/>
      <c r="BH58" s="130"/>
      <c r="BI58" s="130"/>
      <c r="BJ58" s="130"/>
      <c r="BK58" s="131"/>
    </row>
    <row r="59" spans="1:63" ht="17.25" customHeight="1" x14ac:dyDescent="0.3">
      <c r="Y59" s="124">
        <f>IF(ROW()=ROW(TBL_Synthese[[#Headers],[tijd]])+1,$Z$1,Y58)+IF(LEFT(TBL_Synthese[[#This Row],[check]],1)="&gt;",0,$Z$2+COUNTA(TBL_Synthese[[#This Row],[P1]:[P15]])*$Z$3)</f>
        <v>0.41059027777777829</v>
      </c>
      <c r="Z59" s="125"/>
      <c r="AA59" s="126">
        <f>SUM(TBL_Synthese[[#This Row],[P1]:[P15]])+MAX(COUNT(TBL_Synthese[[#This Row],[P1]:[P15]])-1,0)*L_saw+IF(ISNUMBER(MATCH(TBL_Synthese[[#This Row],[Longueur]],tblStock[Long.],0)),2*L_ends,0)</f>
        <v>5818.5</v>
      </c>
      <c r="AB59" s="127"/>
      <c r="AC59" s="128">
        <v>7</v>
      </c>
      <c r="AD59" s="128">
        <v>48</v>
      </c>
      <c r="AE59" s="127">
        <v>6000</v>
      </c>
      <c r="AF59" s="127">
        <v>161.5</v>
      </c>
      <c r="AG59" s="129" t="s">
        <v>92</v>
      </c>
      <c r="AH59" s="127">
        <v>5818.5</v>
      </c>
      <c r="AI59" s="127"/>
      <c r="AJ59" s="127"/>
      <c r="AK59" s="127"/>
      <c r="AL59" s="127"/>
      <c r="AM59" s="127"/>
      <c r="AN59" s="127"/>
      <c r="AO59" s="127"/>
      <c r="AP59" s="127"/>
      <c r="AQ59" s="127"/>
      <c r="AR59" s="127"/>
      <c r="AS59" s="127"/>
      <c r="AT59" s="127"/>
      <c r="AU59" s="127"/>
      <c r="AV59" s="128"/>
      <c r="AW59" s="130">
        <v>304</v>
      </c>
      <c r="AX59" s="130"/>
      <c r="AY59" s="130"/>
      <c r="AZ59" s="130"/>
      <c r="BA59" s="130"/>
      <c r="BB59" s="130"/>
      <c r="BC59" s="130"/>
      <c r="BD59" s="130"/>
      <c r="BE59" s="130"/>
      <c r="BF59" s="130"/>
      <c r="BG59" s="130"/>
      <c r="BH59" s="130"/>
      <c r="BI59" s="130"/>
      <c r="BJ59" s="130"/>
      <c r="BK59" s="131"/>
    </row>
    <row r="60" spans="1:63" ht="17.25" customHeight="1" x14ac:dyDescent="0.3">
      <c r="A60" s="142" t="s">
        <v>0</v>
      </c>
      <c r="B60" s="142" t="s">
        <v>1</v>
      </c>
      <c r="C60" s="142" t="s">
        <v>8</v>
      </c>
      <c r="D60" s="142" t="s">
        <v>2</v>
      </c>
      <c r="E60" s="142" t="s">
        <v>3</v>
      </c>
      <c r="F60" s="142" t="s">
        <v>12</v>
      </c>
      <c r="G60" s="142" t="s">
        <v>20</v>
      </c>
      <c r="H60" s="142" t="s">
        <v>13</v>
      </c>
      <c r="Y60" s="124">
        <f>IF(ROW()=ROW(TBL_Synthese[[#Headers],[tijd]])+1,$Z$1,Y59)+IF(LEFT(TBL_Synthese[[#This Row],[check]],1)="&gt;",0,$Z$2+COUNTA(TBL_Synthese[[#This Row],[P1]:[P15]])*$Z$3)</f>
        <v>0.41319444444444497</v>
      </c>
      <c r="Z60" s="125"/>
      <c r="AA60" s="126">
        <f>SUM(TBL_Synthese[[#This Row],[P1]:[P15]])+MAX(COUNT(TBL_Synthese[[#This Row],[P1]:[P15]])-1,0)*L_saw+IF(ISNUMBER(MATCH(TBL_Synthese[[#This Row],[Longueur]],tblStock[Long.],0)),2*L_ends,0)</f>
        <v>5953.7</v>
      </c>
      <c r="AB60" s="127"/>
      <c r="AC60" s="128">
        <v>7</v>
      </c>
      <c r="AD60" s="128">
        <v>49</v>
      </c>
      <c r="AE60" s="127">
        <v>6000</v>
      </c>
      <c r="AF60" s="127">
        <v>26.300000000000182</v>
      </c>
      <c r="AG60" s="129" t="s">
        <v>93</v>
      </c>
      <c r="AH60" s="127">
        <v>3190</v>
      </c>
      <c r="AI60" s="127">
        <v>2430</v>
      </c>
      <c r="AJ60" s="127">
        <v>327.7</v>
      </c>
      <c r="AK60" s="127"/>
      <c r="AL60" s="127"/>
      <c r="AM60" s="127"/>
      <c r="AN60" s="127"/>
      <c r="AO60" s="127"/>
      <c r="AP60" s="127"/>
      <c r="AQ60" s="127"/>
      <c r="AR60" s="127"/>
      <c r="AS60" s="127"/>
      <c r="AT60" s="127"/>
      <c r="AU60" s="127"/>
      <c r="AV60" s="128"/>
      <c r="AW60" s="130">
        <v>284</v>
      </c>
      <c r="AX60" s="130">
        <v>249</v>
      </c>
      <c r="AY60" s="130">
        <v>151</v>
      </c>
      <c r="AZ60" s="130"/>
      <c r="BA60" s="130"/>
      <c r="BB60" s="130"/>
      <c r="BC60" s="130"/>
      <c r="BD60" s="130"/>
      <c r="BE60" s="130"/>
      <c r="BF60" s="130"/>
      <c r="BG60" s="130"/>
      <c r="BH60" s="130"/>
      <c r="BI60" s="130"/>
      <c r="BJ60" s="130"/>
      <c r="BK60" s="131"/>
    </row>
    <row r="61" spans="1:63" ht="17.25" customHeight="1" x14ac:dyDescent="0.3">
      <c r="A61" s="142"/>
      <c r="B61" s="142"/>
      <c r="C61" s="142"/>
      <c r="D61" s="142"/>
      <c r="E61" s="142"/>
      <c r="F61" s="142"/>
      <c r="G61" s="142"/>
      <c r="H61" s="142"/>
      <c r="Y61" s="124">
        <f>IF(ROW()=ROW(TBL_Synthese[[#Headers],[tijd]])+1,$Z$1,Y60)+IF(LEFT(TBL_Synthese[[#This Row],[check]],1)="&gt;",0,$Z$2+COUNTA(TBL_Synthese[[#This Row],[P1]:[P15]])*$Z$3)</f>
        <v>0.41579861111111166</v>
      </c>
      <c r="Z61" s="125"/>
      <c r="AA61" s="126">
        <f>SUM(TBL_Synthese[[#This Row],[P1]:[P15]])+MAX(COUNT(TBL_Synthese[[#This Row],[P1]:[P15]])-1,0)*L_saw+IF(ISNUMBER(MATCH(TBL_Synthese[[#This Row],[Longueur]],tblStock[Long.],0)),2*L_ends,0)</f>
        <v>5953.7</v>
      </c>
      <c r="AB61" s="127"/>
      <c r="AC61" s="128">
        <v>7</v>
      </c>
      <c r="AD61" s="128">
        <v>50</v>
      </c>
      <c r="AE61" s="127">
        <v>6000</v>
      </c>
      <c r="AF61" s="127">
        <v>26.300000000000182</v>
      </c>
      <c r="AG61" s="129" t="s">
        <v>93</v>
      </c>
      <c r="AH61" s="127">
        <v>3190</v>
      </c>
      <c r="AI61" s="127">
        <v>2430</v>
      </c>
      <c r="AJ61" s="127">
        <v>327.7</v>
      </c>
      <c r="AK61" s="127"/>
      <c r="AL61" s="127"/>
      <c r="AM61" s="127"/>
      <c r="AN61" s="127"/>
      <c r="AO61" s="127"/>
      <c r="AP61" s="127"/>
      <c r="AQ61" s="127"/>
      <c r="AR61" s="127"/>
      <c r="AS61" s="127"/>
      <c r="AT61" s="127"/>
      <c r="AU61" s="127"/>
      <c r="AV61" s="128"/>
      <c r="AW61" s="130">
        <v>284</v>
      </c>
      <c r="AX61" s="130">
        <v>249</v>
      </c>
      <c r="AY61" s="130">
        <v>151</v>
      </c>
      <c r="AZ61" s="130"/>
      <c r="BA61" s="130"/>
      <c r="BB61" s="130"/>
      <c r="BC61" s="130"/>
      <c r="BD61" s="130"/>
      <c r="BE61" s="130"/>
      <c r="BF61" s="130"/>
      <c r="BG61" s="130"/>
      <c r="BH61" s="130"/>
      <c r="BI61" s="130"/>
      <c r="BJ61" s="130"/>
      <c r="BK61" s="131"/>
    </row>
    <row r="62" spans="1:63" ht="17.25" customHeight="1" x14ac:dyDescent="0.3">
      <c r="A62" s="13"/>
      <c r="H62" s="14"/>
      <c r="Y62" s="124">
        <f>IF(ROW()=ROW(TBL_Synthese[[#Headers],[tijd]])+1,$Z$1,Y61)+IF(LEFT(TBL_Synthese[[#This Row],[check]],1)="&gt;",0,$Z$2+COUNTA(TBL_Synthese[[#This Row],[P1]:[P15]])*$Z$3)</f>
        <v>0.41822916666666721</v>
      </c>
      <c r="Z62" s="125"/>
      <c r="AA62" s="126">
        <f>SUM(TBL_Synthese[[#This Row],[P1]:[P15]])+MAX(COUNT(TBL_Synthese[[#This Row],[P1]:[P15]])-1,0)*L_saw+IF(ISNUMBER(MATCH(TBL_Synthese[[#This Row],[Longueur]],tblStock[Long.],0)),2*L_ends,0)</f>
        <v>5608.4</v>
      </c>
      <c r="AB62" s="127"/>
      <c r="AC62" s="128">
        <v>7</v>
      </c>
      <c r="AD62" s="128">
        <v>51</v>
      </c>
      <c r="AE62" s="127">
        <v>6000</v>
      </c>
      <c r="AF62" s="127">
        <v>371.60000000000036</v>
      </c>
      <c r="AG62" s="129" t="s">
        <v>94</v>
      </c>
      <c r="AH62" s="127">
        <v>2802.7</v>
      </c>
      <c r="AI62" s="127">
        <v>2802.7</v>
      </c>
      <c r="AJ62" s="127"/>
      <c r="AK62" s="127"/>
      <c r="AL62" s="127"/>
      <c r="AM62" s="127"/>
      <c r="AN62" s="127"/>
      <c r="AO62" s="127"/>
      <c r="AP62" s="127"/>
      <c r="AQ62" s="127"/>
      <c r="AR62" s="127"/>
      <c r="AS62" s="127"/>
      <c r="AT62" s="127"/>
      <c r="AU62" s="127"/>
      <c r="AV62" s="128"/>
      <c r="AW62" s="130">
        <v>274</v>
      </c>
      <c r="AX62" s="130">
        <v>274</v>
      </c>
      <c r="AY62" s="130"/>
      <c r="AZ62" s="130"/>
      <c r="BA62" s="130"/>
      <c r="BB62" s="130"/>
      <c r="BC62" s="130"/>
      <c r="BD62" s="130"/>
      <c r="BE62" s="130"/>
      <c r="BF62" s="130"/>
      <c r="BG62" s="130"/>
      <c r="BH62" s="130"/>
      <c r="BI62" s="130"/>
      <c r="BJ62" s="130"/>
      <c r="BK62" s="131"/>
    </row>
    <row r="63" spans="1:63" ht="17.25" customHeight="1" x14ac:dyDescent="0.3">
      <c r="A63" s="13"/>
      <c r="H63" s="14"/>
      <c r="Y63" s="124">
        <f>IF(ROW()=ROW(TBL_Synthese[[#Headers],[tijd]])+1,$Z$1,Y62)+IF(LEFT(TBL_Synthese[[#This Row],[check]],1)="&gt;",0,$Z$2+COUNTA(TBL_Synthese[[#This Row],[P1]:[P15]])*$Z$3)</f>
        <v>0.42065972222222275</v>
      </c>
      <c r="Z63" s="125"/>
      <c r="AA63" s="126">
        <f>SUM(TBL_Synthese[[#This Row],[P1]:[P15]])+MAX(COUNT(TBL_Synthese[[#This Row],[P1]:[P15]])-1,0)*L_saw+IF(ISNUMBER(MATCH(TBL_Synthese[[#This Row],[Longueur]],tblStock[Long.],0)),2*L_ends,0)</f>
        <v>5608.4</v>
      </c>
      <c r="AB63" s="127"/>
      <c r="AC63" s="128">
        <v>7</v>
      </c>
      <c r="AD63" s="128">
        <v>52</v>
      </c>
      <c r="AE63" s="127">
        <v>6000</v>
      </c>
      <c r="AF63" s="127">
        <v>371.60000000000036</v>
      </c>
      <c r="AG63" s="129" t="s">
        <v>94</v>
      </c>
      <c r="AH63" s="127">
        <v>2802.7</v>
      </c>
      <c r="AI63" s="127">
        <v>2802.7</v>
      </c>
      <c r="AJ63" s="127"/>
      <c r="AK63" s="127"/>
      <c r="AL63" s="127"/>
      <c r="AM63" s="127"/>
      <c r="AN63" s="127"/>
      <c r="AO63" s="127"/>
      <c r="AP63" s="127"/>
      <c r="AQ63" s="127"/>
      <c r="AR63" s="127"/>
      <c r="AS63" s="127"/>
      <c r="AT63" s="127"/>
      <c r="AU63" s="127"/>
      <c r="AV63" s="128"/>
      <c r="AW63" s="130">
        <v>274</v>
      </c>
      <c r="AX63" s="130">
        <v>274</v>
      </c>
      <c r="AY63" s="130"/>
      <c r="AZ63" s="130"/>
      <c r="BA63" s="130"/>
      <c r="BB63" s="130"/>
      <c r="BC63" s="130"/>
      <c r="BD63" s="130"/>
      <c r="BE63" s="130"/>
      <c r="BF63" s="130"/>
      <c r="BG63" s="130"/>
      <c r="BH63" s="130"/>
      <c r="BI63" s="130"/>
      <c r="BJ63" s="130"/>
      <c r="BK63" s="131"/>
    </row>
    <row r="64" spans="1:63" ht="17.25" customHeight="1" x14ac:dyDescent="0.3">
      <c r="A64" s="13"/>
      <c r="H64" s="14"/>
      <c r="Y64" s="124">
        <f>IF(ROW()=ROW(TBL_Synthese[[#Headers],[tijd]])+1,$Z$1,Y63)+IF(LEFT(TBL_Synthese[[#This Row],[check]],1)="&gt;",0,$Z$2+COUNTA(TBL_Synthese[[#This Row],[P1]:[P15]])*$Z$3)</f>
        <v>0.4230902777777783</v>
      </c>
      <c r="Z64" s="125"/>
      <c r="AA64" s="126">
        <f>SUM(TBL_Synthese[[#This Row],[P1]:[P15]])+MAX(COUNT(TBL_Synthese[[#This Row],[P1]:[P15]])-1,0)*L_saw+IF(ISNUMBER(MATCH(TBL_Synthese[[#This Row],[Longueur]],tblStock[Long.],0)),2*L_ends,0)</f>
        <v>5608.4</v>
      </c>
      <c r="AB64" s="127"/>
      <c r="AC64" s="128">
        <v>7</v>
      </c>
      <c r="AD64" s="128">
        <v>53</v>
      </c>
      <c r="AE64" s="127">
        <v>6000</v>
      </c>
      <c r="AF64" s="127">
        <v>371.60000000000036</v>
      </c>
      <c r="AG64" s="129" t="s">
        <v>94</v>
      </c>
      <c r="AH64" s="127">
        <v>2802.7</v>
      </c>
      <c r="AI64" s="127">
        <v>2802.7</v>
      </c>
      <c r="AJ64" s="127"/>
      <c r="AK64" s="127"/>
      <c r="AL64" s="127"/>
      <c r="AM64" s="127"/>
      <c r="AN64" s="127"/>
      <c r="AO64" s="127"/>
      <c r="AP64" s="127"/>
      <c r="AQ64" s="127"/>
      <c r="AR64" s="127"/>
      <c r="AS64" s="127"/>
      <c r="AT64" s="127"/>
      <c r="AU64" s="127"/>
      <c r="AV64" s="128"/>
      <c r="AW64" s="130">
        <v>274</v>
      </c>
      <c r="AX64" s="130">
        <v>274</v>
      </c>
      <c r="AY64" s="130"/>
      <c r="AZ64" s="130"/>
      <c r="BA64" s="130"/>
      <c r="BB64" s="130"/>
      <c r="BC64" s="130"/>
      <c r="BD64" s="130"/>
      <c r="BE64" s="130"/>
      <c r="BF64" s="130"/>
      <c r="BG64" s="130"/>
      <c r="BH64" s="130"/>
      <c r="BI64" s="130"/>
      <c r="BJ64" s="130"/>
      <c r="BK64" s="131"/>
    </row>
    <row r="65" spans="1:63" ht="17.25" customHeight="1" x14ac:dyDescent="0.3">
      <c r="A65" s="13"/>
      <c r="H65" s="14"/>
      <c r="Y65" s="124">
        <f>IF(ROW()=ROW(TBL_Synthese[[#Headers],[tijd]])+1,$Z$1,Y64)+IF(LEFT(TBL_Synthese[[#This Row],[check]],1)="&gt;",0,$Z$2+COUNTA(TBL_Synthese[[#This Row],[P1]:[P15]])*$Z$3)</f>
        <v>0.42552083333333385</v>
      </c>
      <c r="Z65" s="125"/>
      <c r="AA65" s="126">
        <f>SUM(TBL_Synthese[[#This Row],[P1]:[P15]])+MAX(COUNT(TBL_Synthese[[#This Row],[P1]:[P15]])-1,0)*L_saw+IF(ISNUMBER(MATCH(TBL_Synthese[[#This Row],[Longueur]],tblStock[Long.],0)),2*L_ends,0)</f>
        <v>5608.4</v>
      </c>
      <c r="AB65" s="127"/>
      <c r="AC65" s="128">
        <v>7</v>
      </c>
      <c r="AD65" s="128">
        <v>54</v>
      </c>
      <c r="AE65" s="127">
        <v>6000</v>
      </c>
      <c r="AF65" s="127">
        <v>371.60000000000036</v>
      </c>
      <c r="AG65" s="129" t="s">
        <v>94</v>
      </c>
      <c r="AH65" s="127">
        <v>2802.7</v>
      </c>
      <c r="AI65" s="127">
        <v>2802.7</v>
      </c>
      <c r="AJ65" s="127"/>
      <c r="AK65" s="127"/>
      <c r="AL65" s="127"/>
      <c r="AM65" s="127"/>
      <c r="AN65" s="127"/>
      <c r="AO65" s="127"/>
      <c r="AP65" s="127"/>
      <c r="AQ65" s="127"/>
      <c r="AR65" s="127"/>
      <c r="AS65" s="127"/>
      <c r="AT65" s="127"/>
      <c r="AU65" s="127"/>
      <c r="AV65" s="128"/>
      <c r="AW65" s="130">
        <v>274</v>
      </c>
      <c r="AX65" s="130">
        <v>274</v>
      </c>
      <c r="AY65" s="130"/>
      <c r="AZ65" s="130"/>
      <c r="BA65" s="130"/>
      <c r="BB65" s="130"/>
      <c r="BC65" s="130"/>
      <c r="BD65" s="130"/>
      <c r="BE65" s="130"/>
      <c r="BF65" s="130"/>
      <c r="BG65" s="130"/>
      <c r="BH65" s="130"/>
      <c r="BI65" s="130"/>
      <c r="BJ65" s="130"/>
      <c r="BK65" s="131"/>
    </row>
    <row r="66" spans="1:63" ht="17.25" customHeight="1" x14ac:dyDescent="0.3">
      <c r="A66" s="13"/>
      <c r="H66" s="14"/>
      <c r="Y66" s="124">
        <f>IF(ROW()=ROW(TBL_Synthese[[#Headers],[tijd]])+1,$Z$1,Y65)+IF(LEFT(TBL_Synthese[[#This Row],[check]],1)="&gt;",0,$Z$2+COUNTA(TBL_Synthese[[#This Row],[P1]:[P15]])*$Z$3)</f>
        <v>0.42795138888888939</v>
      </c>
      <c r="Z66" s="125"/>
      <c r="AA66" s="126">
        <f>SUM(TBL_Synthese[[#This Row],[P1]:[P15]])+MAX(COUNT(TBL_Synthese[[#This Row],[P1]:[P15]])-1,0)*L_saw+IF(ISNUMBER(MATCH(TBL_Synthese[[#This Row],[Longueur]],tblStock[Long.],0)),2*L_ends,0)</f>
        <v>5235.7</v>
      </c>
      <c r="AB66" s="127"/>
      <c r="AC66" s="128">
        <v>7</v>
      </c>
      <c r="AD66" s="128">
        <v>55</v>
      </c>
      <c r="AE66" s="127">
        <v>6000</v>
      </c>
      <c r="AF66" s="127">
        <v>744.30000000000018</v>
      </c>
      <c r="AG66" s="129" t="s">
        <v>95</v>
      </c>
      <c r="AH66" s="127">
        <v>2802.7</v>
      </c>
      <c r="AI66" s="127">
        <v>2430</v>
      </c>
      <c r="AJ66" s="127"/>
      <c r="AK66" s="127"/>
      <c r="AL66" s="127"/>
      <c r="AM66" s="127"/>
      <c r="AN66" s="127"/>
      <c r="AO66" s="127"/>
      <c r="AP66" s="127"/>
      <c r="AQ66" s="127"/>
      <c r="AR66" s="127"/>
      <c r="AS66" s="127"/>
      <c r="AT66" s="127"/>
      <c r="AU66" s="127"/>
      <c r="AV66" s="128"/>
      <c r="AW66" s="130">
        <v>274</v>
      </c>
      <c r="AX66" s="130">
        <v>249</v>
      </c>
      <c r="AY66" s="130"/>
      <c r="AZ66" s="130"/>
      <c r="BA66" s="130"/>
      <c r="BB66" s="130"/>
      <c r="BC66" s="130"/>
      <c r="BD66" s="130"/>
      <c r="BE66" s="130"/>
      <c r="BF66" s="130"/>
      <c r="BG66" s="130"/>
      <c r="BH66" s="130"/>
      <c r="BI66" s="130"/>
      <c r="BJ66" s="130"/>
      <c r="BK66" s="131"/>
    </row>
    <row r="67" spans="1:63" ht="17.25" customHeight="1" x14ac:dyDescent="0.3">
      <c r="A67" s="13"/>
      <c r="H67" s="14"/>
      <c r="Y67" s="124">
        <f>IF(ROW()=ROW(TBL_Synthese[[#Headers],[tijd]])+1,$Z$1,Y66)+IF(LEFT(TBL_Synthese[[#This Row],[check]],1)="&gt;",0,$Z$2+COUNTA(TBL_Synthese[[#This Row],[P1]:[P15]])*$Z$3)</f>
        <v>0.43038194444444494</v>
      </c>
      <c r="Z67" s="125"/>
      <c r="AA67" s="126">
        <f>SUM(TBL_Synthese[[#This Row],[P1]:[P15]])+MAX(COUNT(TBL_Synthese[[#This Row],[P1]:[P15]])-1,0)*L_saw+IF(ISNUMBER(MATCH(TBL_Synthese[[#This Row],[Longueur]],tblStock[Long.],0)),2*L_ends,0)</f>
        <v>3723</v>
      </c>
      <c r="AB67" s="127"/>
      <c r="AC67" s="128">
        <v>7</v>
      </c>
      <c r="AD67" s="128">
        <v>56</v>
      </c>
      <c r="AE67" s="127">
        <v>6000</v>
      </c>
      <c r="AF67" s="127">
        <v>2257</v>
      </c>
      <c r="AG67" s="129" t="s">
        <v>96</v>
      </c>
      <c r="AH67" s="127">
        <v>2430</v>
      </c>
      <c r="AI67" s="127">
        <v>1290</v>
      </c>
      <c r="AJ67" s="127"/>
      <c r="AK67" s="127"/>
      <c r="AL67" s="127"/>
      <c r="AM67" s="127"/>
      <c r="AN67" s="127"/>
      <c r="AO67" s="127"/>
      <c r="AP67" s="127"/>
      <c r="AQ67" s="127"/>
      <c r="AR67" s="127"/>
      <c r="AS67" s="127"/>
      <c r="AT67" s="127"/>
      <c r="AU67" s="127"/>
      <c r="AV67" s="128"/>
      <c r="AW67" s="130">
        <v>249</v>
      </c>
      <c r="AX67" s="130">
        <v>223</v>
      </c>
      <c r="AY67" s="130"/>
      <c r="AZ67" s="130"/>
      <c r="BA67" s="130"/>
      <c r="BB67" s="130"/>
      <c r="BC67" s="130"/>
      <c r="BD67" s="130"/>
      <c r="BE67" s="130"/>
      <c r="BF67" s="130"/>
      <c r="BG67" s="130"/>
      <c r="BH67" s="130"/>
      <c r="BI67" s="130"/>
      <c r="BJ67" s="130"/>
      <c r="BK67" s="131"/>
    </row>
    <row r="68" spans="1:63" ht="17.25" customHeight="1" x14ac:dyDescent="0.3">
      <c r="A68" s="13"/>
      <c r="H68" s="14"/>
      <c r="Y68" s="124">
        <f>IF(ROW()=ROW(TBL_Synthese[[#Headers],[tijd]])+1,$Z$1,Y67)+IF(LEFT(TBL_Synthese[[#This Row],[check]],1)="&gt;",0,$Z$2+COUNTA(TBL_Synthese[[#This Row],[P1]:[P15]])*$Z$3)</f>
        <v>0.43281250000000049</v>
      </c>
      <c r="Z68" s="125"/>
      <c r="AA68" s="126">
        <f>SUM(TBL_Synthese[[#This Row],[P1]:[P15]])+MAX(COUNT(TBL_Synthese[[#This Row],[P1]:[P15]])-1,0)*L_saw+IF(ISNUMBER(MATCH(TBL_Synthese[[#This Row],[Longueur]],tblStock[Long.],0)),2*L_ends,0)</f>
        <v>5607.8</v>
      </c>
      <c r="AB68" s="127"/>
      <c r="AC68" s="128">
        <v>8</v>
      </c>
      <c r="AD68" s="128">
        <v>57</v>
      </c>
      <c r="AE68" s="127">
        <v>6000</v>
      </c>
      <c r="AF68" s="127">
        <v>372.19999999999982</v>
      </c>
      <c r="AG68" s="129" t="s">
        <v>94</v>
      </c>
      <c r="AH68" s="127">
        <v>2802.5</v>
      </c>
      <c r="AI68" s="127">
        <v>2802.3</v>
      </c>
      <c r="AJ68" s="127"/>
      <c r="AK68" s="127"/>
      <c r="AL68" s="127"/>
      <c r="AM68" s="127"/>
      <c r="AN68" s="127"/>
      <c r="AO68" s="127"/>
      <c r="AP68" s="127"/>
      <c r="AQ68" s="127"/>
      <c r="AR68" s="127"/>
      <c r="AS68" s="127"/>
      <c r="AT68" s="127"/>
      <c r="AU68" s="127"/>
      <c r="AV68" s="128"/>
      <c r="AW68" s="130">
        <v>18</v>
      </c>
      <c r="AX68" s="130">
        <v>17</v>
      </c>
      <c r="AY68" s="130"/>
      <c r="AZ68" s="130"/>
      <c r="BA68" s="130"/>
      <c r="BB68" s="130"/>
      <c r="BC68" s="130"/>
      <c r="BD68" s="130"/>
      <c r="BE68" s="130"/>
      <c r="BF68" s="130"/>
      <c r="BG68" s="130"/>
      <c r="BH68" s="130"/>
      <c r="BI68" s="130"/>
      <c r="BJ68" s="130"/>
      <c r="BK68" s="131"/>
    </row>
    <row r="69" spans="1:63" ht="17.25" customHeight="1" x14ac:dyDescent="0.3">
      <c r="A69" s="13"/>
      <c r="H69" s="14"/>
      <c r="Y69" s="124">
        <f>IF(ROW()=ROW(TBL_Synthese[[#Headers],[tijd]])+1,$Z$1,Y68)+IF(LEFT(TBL_Synthese[[#This Row],[check]],1)="&gt;",0,$Z$2+COUNTA(TBL_Synthese[[#This Row],[P1]:[P15]])*$Z$3)</f>
        <v>0.43524305555555604</v>
      </c>
      <c r="Z69" s="125"/>
      <c r="AA69" s="126">
        <f>SUM(TBL_Synthese[[#This Row],[P1]:[P15]])+MAX(COUNT(TBL_Synthese[[#This Row],[P1]:[P15]])-1,0)*L_saw+IF(ISNUMBER(MATCH(TBL_Synthese[[#This Row],[Longueur]],tblStock[Long.],0)),2*L_ends,0)</f>
        <v>5520.4</v>
      </c>
      <c r="AB69" s="127"/>
      <c r="AC69" s="128">
        <v>8</v>
      </c>
      <c r="AD69" s="128">
        <v>58</v>
      </c>
      <c r="AE69" s="127">
        <v>6000</v>
      </c>
      <c r="AF69" s="127">
        <v>459.60000000000036</v>
      </c>
      <c r="AG69" s="129" t="s">
        <v>97</v>
      </c>
      <c r="AH69" s="127">
        <v>2782.6</v>
      </c>
      <c r="AI69" s="127">
        <v>2734.8</v>
      </c>
      <c r="AJ69" s="127"/>
      <c r="AK69" s="127"/>
      <c r="AL69" s="127"/>
      <c r="AM69" s="127"/>
      <c r="AN69" s="127"/>
      <c r="AO69" s="127"/>
      <c r="AP69" s="127"/>
      <c r="AQ69" s="127"/>
      <c r="AR69" s="127"/>
      <c r="AS69" s="127"/>
      <c r="AT69" s="127"/>
      <c r="AU69" s="127"/>
      <c r="AV69" s="128"/>
      <c r="AW69" s="130">
        <v>16</v>
      </c>
      <c r="AX69" s="130">
        <v>15</v>
      </c>
      <c r="AY69" s="130"/>
      <c r="AZ69" s="130"/>
      <c r="BA69" s="130"/>
      <c r="BB69" s="130"/>
      <c r="BC69" s="130"/>
      <c r="BD69" s="130"/>
      <c r="BE69" s="130"/>
      <c r="BF69" s="130"/>
      <c r="BG69" s="130"/>
      <c r="BH69" s="130"/>
      <c r="BI69" s="130"/>
      <c r="BJ69" s="130"/>
      <c r="BK69" s="131"/>
    </row>
    <row r="70" spans="1:63" ht="17.25" customHeight="1" x14ac:dyDescent="0.3">
      <c r="A70" s="13"/>
      <c r="H70" s="14"/>
      <c r="Y70" s="124">
        <f>IF(ROW()=ROW(TBL_Synthese[[#Headers],[tijd]])+1,$Z$1,Y69)+IF(LEFT(TBL_Synthese[[#This Row],[check]],1)="&gt;",0,$Z$2+COUNTA(TBL_Synthese[[#This Row],[P1]:[P15]])*$Z$3)</f>
        <v>0.43767361111111158</v>
      </c>
      <c r="Z70" s="125"/>
      <c r="AA70" s="126">
        <f>SUM(TBL_Synthese[[#This Row],[P1]:[P15]])+MAX(COUNT(TBL_Synthese[[#This Row],[P1]:[P15]])-1,0)*L_saw+IF(ISNUMBER(MATCH(TBL_Synthese[[#This Row],[Longueur]],tblStock[Long.],0)),2*L_ends,0)</f>
        <v>3961.9</v>
      </c>
      <c r="AB70" s="127"/>
      <c r="AC70" s="128">
        <v>8</v>
      </c>
      <c r="AD70" s="128">
        <v>59</v>
      </c>
      <c r="AE70" s="127">
        <v>6000</v>
      </c>
      <c r="AF70" s="127">
        <v>2018.1</v>
      </c>
      <c r="AG70" s="129" t="s">
        <v>98</v>
      </c>
      <c r="AH70" s="127">
        <v>2706.3</v>
      </c>
      <c r="AI70" s="127">
        <v>1252.5999999999999</v>
      </c>
      <c r="AJ70" s="127"/>
      <c r="AK70" s="127"/>
      <c r="AL70" s="127"/>
      <c r="AM70" s="127"/>
      <c r="AN70" s="127"/>
      <c r="AO70" s="127"/>
      <c r="AP70" s="127"/>
      <c r="AQ70" s="127"/>
      <c r="AR70" s="127"/>
      <c r="AS70" s="127"/>
      <c r="AT70" s="127"/>
      <c r="AU70" s="127"/>
      <c r="AV70" s="128"/>
      <c r="AW70" s="130">
        <v>14</v>
      </c>
      <c r="AX70" s="130">
        <v>13</v>
      </c>
      <c r="AY70" s="130"/>
      <c r="AZ70" s="130"/>
      <c r="BA70" s="130"/>
      <c r="BB70" s="130"/>
      <c r="BC70" s="130"/>
      <c r="BD70" s="130"/>
      <c r="BE70" s="130"/>
      <c r="BF70" s="130"/>
      <c r="BG70" s="130"/>
      <c r="BH70" s="130"/>
      <c r="BI70" s="130"/>
      <c r="BJ70" s="130"/>
      <c r="BK70" s="131"/>
    </row>
    <row r="71" spans="1:63" ht="17.25" customHeight="1" x14ac:dyDescent="0.3">
      <c r="A71" s="13"/>
      <c r="H71" s="14"/>
      <c r="Y71" s="124">
        <f>IF(ROW()=ROW(TBL_Synthese[[#Headers],[tijd]])+1,$Z$1,Y70)+IF(LEFT(TBL_Synthese[[#This Row],[check]],1)="&gt;",0,$Z$2+COUNTA(TBL_Synthese[[#This Row],[P1]:[P15]])*$Z$3)</f>
        <v>0.44010416666666713</v>
      </c>
      <c r="Z71" s="125"/>
      <c r="AA71" s="126">
        <f>SUM(TBL_Synthese[[#This Row],[P1]:[P15]])+MAX(COUNT(TBL_Synthese[[#This Row],[P1]:[P15]])-1,0)*L_saw+IF(ISNUMBER(MATCH(TBL_Synthese[[#This Row],[Longueur]],tblStock[Long.],0)),2*L_ends,0)</f>
        <v>5955.3</v>
      </c>
      <c r="AB71" s="127"/>
      <c r="AC71" s="128">
        <v>9</v>
      </c>
      <c r="AD71" s="128">
        <v>60</v>
      </c>
      <c r="AE71" s="127">
        <v>6000</v>
      </c>
      <c r="AF71" s="127">
        <v>24.699999999999818</v>
      </c>
      <c r="AG71" s="129" t="s">
        <v>99</v>
      </c>
      <c r="AH71" s="127">
        <v>3501.5</v>
      </c>
      <c r="AI71" s="127">
        <v>2450.8000000000002</v>
      </c>
      <c r="AJ71" s="127"/>
      <c r="AK71" s="127"/>
      <c r="AL71" s="127"/>
      <c r="AM71" s="127"/>
      <c r="AN71" s="127"/>
      <c r="AO71" s="127"/>
      <c r="AP71" s="127"/>
      <c r="AQ71" s="127"/>
      <c r="AR71" s="127"/>
      <c r="AS71" s="127"/>
      <c r="AT71" s="127"/>
      <c r="AU71" s="127"/>
      <c r="AV71" s="128"/>
      <c r="AW71" s="130">
        <v>294</v>
      </c>
      <c r="AX71" s="130">
        <v>252</v>
      </c>
      <c r="AY71" s="130"/>
      <c r="AZ71" s="130"/>
      <c r="BA71" s="130"/>
      <c r="BB71" s="130"/>
      <c r="BC71" s="130"/>
      <c r="BD71" s="130"/>
      <c r="BE71" s="130"/>
      <c r="BF71" s="130"/>
      <c r="BG71" s="130"/>
      <c r="BH71" s="130"/>
      <c r="BI71" s="130"/>
      <c r="BJ71" s="130"/>
      <c r="BK71" s="131"/>
    </row>
    <row r="72" spans="1:63" ht="17.25" customHeight="1" x14ac:dyDescent="0.3">
      <c r="Y72" s="124">
        <f>IF(ROW()=ROW(TBL_Synthese[[#Headers],[tijd]])+1,$Z$1,Y71)+IF(LEFT(TBL_Synthese[[#This Row],[check]],1)="&gt;",0,$Z$2+COUNTA(TBL_Synthese[[#This Row],[P1]:[P15]])*$Z$3)</f>
        <v>0.44253472222222268</v>
      </c>
      <c r="Z72" s="125"/>
      <c r="AA72" s="126">
        <f>SUM(TBL_Synthese[[#This Row],[P1]:[P15]])+MAX(COUNT(TBL_Synthese[[#This Row],[P1]:[P15]])-1,0)*L_saw+IF(ISNUMBER(MATCH(TBL_Synthese[[#This Row],[Longueur]],tblStock[Long.],0)),2*L_ends,0)</f>
        <v>5822.8</v>
      </c>
      <c r="AB72" s="127"/>
      <c r="AC72" s="128">
        <v>9</v>
      </c>
      <c r="AD72" s="128">
        <v>61</v>
      </c>
      <c r="AE72" s="127">
        <v>6000</v>
      </c>
      <c r="AF72" s="127">
        <v>157.19999999999982</v>
      </c>
      <c r="AG72" s="129" t="s">
        <v>100</v>
      </c>
      <c r="AH72" s="127">
        <v>3369</v>
      </c>
      <c r="AI72" s="127">
        <v>2450.8000000000002</v>
      </c>
      <c r="AJ72" s="127"/>
      <c r="AK72" s="127"/>
      <c r="AL72" s="127"/>
      <c r="AM72" s="127"/>
      <c r="AN72" s="127"/>
      <c r="AO72" s="127"/>
      <c r="AP72" s="127"/>
      <c r="AQ72" s="127"/>
      <c r="AR72" s="127"/>
      <c r="AS72" s="127"/>
      <c r="AT72" s="127"/>
      <c r="AU72" s="127"/>
      <c r="AV72" s="128"/>
      <c r="AW72" s="130">
        <v>293</v>
      </c>
      <c r="AX72" s="130">
        <v>252</v>
      </c>
      <c r="AY72" s="130"/>
      <c r="AZ72" s="130"/>
      <c r="BA72" s="130"/>
      <c r="BB72" s="130"/>
      <c r="BC72" s="130"/>
      <c r="BD72" s="130"/>
      <c r="BE72" s="130"/>
      <c r="BF72" s="130"/>
      <c r="BG72" s="130"/>
      <c r="BH72" s="130"/>
      <c r="BI72" s="130"/>
      <c r="BJ72" s="130"/>
      <c r="BK72" s="131"/>
    </row>
    <row r="73" spans="1:63" ht="17.25" customHeight="1" x14ac:dyDescent="0.3">
      <c r="Y73" s="124">
        <f>IF(ROW()=ROW(TBL_Synthese[[#Headers],[tijd]])+1,$Z$1,Y72)+IF(LEFT(TBL_Synthese[[#This Row],[check]],1)="&gt;",0,$Z$2+COUNTA(TBL_Synthese[[#This Row],[P1]:[P15]])*$Z$3)</f>
        <v>0.44513888888888936</v>
      </c>
      <c r="Z73" s="125"/>
      <c r="AA73" s="126">
        <f>SUM(TBL_Synthese[[#This Row],[P1]:[P15]])+MAX(COUNT(TBL_Synthese[[#This Row],[P1]:[P15]])-1,0)*L_saw+IF(ISNUMBER(MATCH(TBL_Synthese[[#This Row],[Longueur]],tblStock[Long.],0)),2*L_ends,0)</f>
        <v>5935.6</v>
      </c>
      <c r="AB73" s="127"/>
      <c r="AC73" s="128">
        <v>9</v>
      </c>
      <c r="AD73" s="128">
        <v>62</v>
      </c>
      <c r="AE73" s="127">
        <v>6000</v>
      </c>
      <c r="AF73" s="127">
        <v>44.399999999999636</v>
      </c>
      <c r="AG73" s="129" t="s">
        <v>101</v>
      </c>
      <c r="AH73" s="127">
        <v>2685.8</v>
      </c>
      <c r="AI73" s="127">
        <v>2685.8</v>
      </c>
      <c r="AJ73" s="127">
        <v>558</v>
      </c>
      <c r="AK73" s="127"/>
      <c r="AL73" s="127"/>
      <c r="AM73" s="127"/>
      <c r="AN73" s="127"/>
      <c r="AO73" s="127"/>
      <c r="AP73" s="127"/>
      <c r="AQ73" s="127"/>
      <c r="AR73" s="127"/>
      <c r="AS73" s="127"/>
      <c r="AT73" s="127"/>
      <c r="AU73" s="127"/>
      <c r="AV73" s="128"/>
      <c r="AW73" s="130">
        <v>258</v>
      </c>
      <c r="AX73" s="130">
        <v>258</v>
      </c>
      <c r="AY73" s="130">
        <v>186</v>
      </c>
      <c r="AZ73" s="130"/>
      <c r="BA73" s="130"/>
      <c r="BB73" s="130"/>
      <c r="BC73" s="130"/>
      <c r="BD73" s="130"/>
      <c r="BE73" s="130"/>
      <c r="BF73" s="130"/>
      <c r="BG73" s="130"/>
      <c r="BH73" s="130"/>
      <c r="BI73" s="130"/>
      <c r="BJ73" s="130"/>
      <c r="BK73" s="131"/>
    </row>
    <row r="74" spans="1:63" ht="17.25" customHeight="1" x14ac:dyDescent="0.3">
      <c r="Y74" s="124">
        <f>IF(ROW()=ROW(TBL_Synthese[[#Headers],[tijd]])+1,$Z$1,Y73)+IF(LEFT(TBL_Synthese[[#This Row],[check]],1)="&gt;",0,$Z$2+COUNTA(TBL_Synthese[[#This Row],[P1]:[P15]])*$Z$3)</f>
        <v>0.44774305555555605</v>
      </c>
      <c r="Z74" s="125"/>
      <c r="AA74" s="126">
        <f>SUM(TBL_Synthese[[#This Row],[P1]:[P15]])+MAX(COUNT(TBL_Synthese[[#This Row],[P1]:[P15]])-1,0)*L_saw+IF(ISNUMBER(MATCH(TBL_Synthese[[#This Row],[Longueur]],tblStock[Long.],0)),2*L_ends,0)</f>
        <v>5789.6</v>
      </c>
      <c r="AB74" s="127"/>
      <c r="AC74" s="128">
        <v>9</v>
      </c>
      <c r="AD74" s="128">
        <v>63</v>
      </c>
      <c r="AE74" s="127">
        <v>6000</v>
      </c>
      <c r="AF74" s="127">
        <v>190.39999999999964</v>
      </c>
      <c r="AG74" s="129" t="s">
        <v>102</v>
      </c>
      <c r="AH74" s="127">
        <v>2685.8</v>
      </c>
      <c r="AI74" s="127">
        <v>2685.8</v>
      </c>
      <c r="AJ74" s="127">
        <v>412</v>
      </c>
      <c r="AK74" s="127"/>
      <c r="AL74" s="127"/>
      <c r="AM74" s="127"/>
      <c r="AN74" s="127"/>
      <c r="AO74" s="127"/>
      <c r="AP74" s="127"/>
      <c r="AQ74" s="127"/>
      <c r="AR74" s="127"/>
      <c r="AS74" s="127"/>
      <c r="AT74" s="127"/>
      <c r="AU74" s="127"/>
      <c r="AV74" s="128"/>
      <c r="AW74" s="130">
        <v>258</v>
      </c>
      <c r="AX74" s="130">
        <v>258</v>
      </c>
      <c r="AY74" s="130">
        <v>164</v>
      </c>
      <c r="AZ74" s="130"/>
      <c r="BA74" s="130"/>
      <c r="BB74" s="130"/>
      <c r="BC74" s="130"/>
      <c r="BD74" s="130"/>
      <c r="BE74" s="130"/>
      <c r="BF74" s="130"/>
      <c r="BG74" s="130"/>
      <c r="BH74" s="130"/>
      <c r="BI74" s="130"/>
      <c r="BJ74" s="130"/>
      <c r="BK74" s="131"/>
    </row>
    <row r="75" spans="1:63" ht="17.25" customHeight="1" x14ac:dyDescent="0.3">
      <c r="Y75" s="124">
        <f>IF(ROW()=ROW(TBL_Synthese[[#Headers],[tijd]])+1,$Z$1,Y74)+IF(LEFT(TBL_Synthese[[#This Row],[check]],1)="&gt;",0,$Z$2+COUNTA(TBL_Synthese[[#This Row],[P1]:[P15]])*$Z$3)</f>
        <v>0.45034722222222273</v>
      </c>
      <c r="Z75" s="125"/>
      <c r="AA75" s="126">
        <f>SUM(TBL_Synthese[[#This Row],[P1]:[P15]])+MAX(COUNT(TBL_Synthese[[#This Row],[P1]:[P15]])-1,0)*L_saw+IF(ISNUMBER(MATCH(TBL_Synthese[[#This Row],[Longueur]],tblStock[Long.],0)),2*L_ends,0)</f>
        <v>5332.6</v>
      </c>
      <c r="AB75" s="127"/>
      <c r="AC75" s="128">
        <v>9</v>
      </c>
      <c r="AD75" s="128">
        <v>64</v>
      </c>
      <c r="AE75" s="127">
        <v>6000</v>
      </c>
      <c r="AF75" s="127">
        <v>647.39999999999964</v>
      </c>
      <c r="AG75" s="129" t="s">
        <v>103</v>
      </c>
      <c r="AH75" s="127">
        <v>2685.8</v>
      </c>
      <c r="AI75" s="127">
        <v>2450.8000000000002</v>
      </c>
      <c r="AJ75" s="127">
        <v>190</v>
      </c>
      <c r="AK75" s="127"/>
      <c r="AL75" s="127"/>
      <c r="AM75" s="127"/>
      <c r="AN75" s="127"/>
      <c r="AO75" s="127"/>
      <c r="AP75" s="127"/>
      <c r="AQ75" s="127"/>
      <c r="AR75" s="127"/>
      <c r="AS75" s="127"/>
      <c r="AT75" s="127"/>
      <c r="AU75" s="127"/>
      <c r="AV75" s="128"/>
      <c r="AW75" s="130">
        <v>258</v>
      </c>
      <c r="AX75" s="130">
        <v>252</v>
      </c>
      <c r="AY75" s="130">
        <v>140</v>
      </c>
      <c r="AZ75" s="130"/>
      <c r="BA75" s="130"/>
      <c r="BB75" s="130"/>
      <c r="BC75" s="130"/>
      <c r="BD75" s="130"/>
      <c r="BE75" s="130"/>
      <c r="BF75" s="130"/>
      <c r="BG75" s="130"/>
      <c r="BH75" s="130"/>
      <c r="BI75" s="130"/>
      <c r="BJ75" s="130"/>
      <c r="BK75" s="131"/>
    </row>
    <row r="76" spans="1:63" ht="17.25" customHeight="1" x14ac:dyDescent="0.3">
      <c r="Y76" s="124">
        <f>IF(ROW()=ROW(TBL_Synthese[[#Headers],[tijd]])+1,$Z$1,Y75)+IF(LEFT(TBL_Synthese[[#This Row],[check]],1)="&gt;",0,$Z$2+COUNTA(TBL_Synthese[[#This Row],[P1]:[P15]])*$Z$3)</f>
        <v>0.45277777777777828</v>
      </c>
      <c r="Z76" s="125"/>
      <c r="AA76" s="126">
        <f>SUM(TBL_Synthese[[#This Row],[P1]:[P15]])+MAX(COUNT(TBL_Synthese[[#This Row],[P1]:[P15]])-1,0)*L_saw+IF(ISNUMBER(MATCH(TBL_Synthese[[#This Row],[Longueur]],tblStock[Long.],0)),2*L_ends,0)</f>
        <v>4844.6000000000004</v>
      </c>
      <c r="AB76" s="127"/>
      <c r="AC76" s="128">
        <v>9</v>
      </c>
      <c r="AD76" s="128">
        <v>65</v>
      </c>
      <c r="AE76" s="127">
        <v>6000</v>
      </c>
      <c r="AF76" s="127">
        <v>1135.3999999999996</v>
      </c>
      <c r="AG76" s="129" t="s">
        <v>104</v>
      </c>
      <c r="AH76" s="127">
        <v>2420.8000000000002</v>
      </c>
      <c r="AI76" s="127">
        <v>2420.8000000000002</v>
      </c>
      <c r="AJ76" s="127"/>
      <c r="AK76" s="127"/>
      <c r="AL76" s="127"/>
      <c r="AM76" s="127"/>
      <c r="AN76" s="127"/>
      <c r="AO76" s="127"/>
      <c r="AP76" s="127"/>
      <c r="AQ76" s="127"/>
      <c r="AR76" s="127"/>
      <c r="AS76" s="127"/>
      <c r="AT76" s="127"/>
      <c r="AU76" s="127"/>
      <c r="AV76" s="128"/>
      <c r="AW76" s="130">
        <v>247</v>
      </c>
      <c r="AX76" s="130">
        <v>247</v>
      </c>
      <c r="AY76" s="130"/>
      <c r="AZ76" s="130"/>
      <c r="BA76" s="130"/>
      <c r="BB76" s="130"/>
      <c r="BC76" s="130"/>
      <c r="BD76" s="130"/>
      <c r="BE76" s="130"/>
      <c r="BF76" s="130"/>
      <c r="BG76" s="130"/>
      <c r="BH76" s="130"/>
      <c r="BI76" s="130"/>
      <c r="BJ76" s="130"/>
      <c r="BK76" s="131"/>
    </row>
    <row r="77" spans="1:63" ht="17.25" customHeight="1" x14ac:dyDescent="0.3">
      <c r="Y77" s="124">
        <f>IF(ROW()=ROW(TBL_Synthese[[#Headers],[tijd]])+1,$Z$1,Y76)+IF(LEFT(TBL_Synthese[[#This Row],[check]],1)="&gt;",0,$Z$2+COUNTA(TBL_Synthese[[#This Row],[P1]:[P15]])*$Z$3)</f>
        <v>0.45277777777777828</v>
      </c>
      <c r="Z77" s="125" t="s">
        <v>149</v>
      </c>
      <c r="AA77" s="126">
        <f>SUM(TBL_Synthese[[#This Row],[P1]:[P15]])+MAX(COUNT(TBL_Synthese[[#This Row],[P1]:[P15]])-1,0)*L_saw+IF(ISNUMBER(MATCH(TBL_Synthese[[#This Row],[Longueur]],tblStock[Long.],0)),2*L_ends,0)</f>
        <v>2280</v>
      </c>
      <c r="AB77" s="127"/>
      <c r="AC77" s="128">
        <v>9</v>
      </c>
      <c r="AD77" s="128">
        <v>66</v>
      </c>
      <c r="AE77" s="127">
        <v>2397.5</v>
      </c>
      <c r="AF77" s="127">
        <v>114.5</v>
      </c>
      <c r="AG77" s="129" t="s">
        <v>105</v>
      </c>
      <c r="AH77" s="127">
        <v>2280</v>
      </c>
      <c r="AI77" s="127"/>
      <c r="AJ77" s="127"/>
      <c r="AK77" s="127"/>
      <c r="AL77" s="127"/>
      <c r="AM77" s="127"/>
      <c r="AN77" s="127"/>
      <c r="AO77" s="127"/>
      <c r="AP77" s="127"/>
      <c r="AQ77" s="127"/>
      <c r="AR77" s="127"/>
      <c r="AS77" s="127"/>
      <c r="AT77" s="127"/>
      <c r="AU77" s="127"/>
      <c r="AV77" s="128"/>
      <c r="AW77" s="130">
        <v>243</v>
      </c>
      <c r="AX77" s="130"/>
      <c r="AY77" s="130"/>
      <c r="AZ77" s="130"/>
      <c r="BA77" s="130"/>
      <c r="BB77" s="130"/>
      <c r="BC77" s="130"/>
      <c r="BD77" s="130"/>
      <c r="BE77" s="130"/>
      <c r="BF77" s="130"/>
      <c r="BG77" s="130"/>
      <c r="BH77" s="130"/>
      <c r="BI77" s="130"/>
      <c r="BJ77" s="130"/>
      <c r="BK77" s="131"/>
    </row>
    <row r="78" spans="1:63" ht="17.25" customHeight="1" x14ac:dyDescent="0.3">
      <c r="Y78" s="124">
        <f>IF(ROW()=ROW(TBL_Synthese[[#Headers],[tijd]])+1,$Z$1,Y77)+IF(LEFT(TBL_Synthese[[#This Row],[check]],1)="&gt;",0,$Z$2+COUNTA(TBL_Synthese[[#This Row],[P1]:[P15]])*$Z$3)</f>
        <v>0.45538194444444496</v>
      </c>
      <c r="Z78" s="125"/>
      <c r="AA78" s="126">
        <f>SUM(TBL_Synthese[[#This Row],[P1]:[P15]])+MAX(COUNT(TBL_Synthese[[#This Row],[P1]:[P15]])-1,0)*L_saw+IF(ISNUMBER(MATCH(TBL_Synthese[[#This Row],[Longueur]],tblStock[Long.],0)),2*L_ends,0)</f>
        <v>5741</v>
      </c>
      <c r="AB78" s="127"/>
      <c r="AC78" s="128">
        <v>9</v>
      </c>
      <c r="AD78" s="128">
        <v>67</v>
      </c>
      <c r="AE78" s="127">
        <v>6000</v>
      </c>
      <c r="AF78" s="127">
        <v>239</v>
      </c>
      <c r="AG78" s="129" t="s">
        <v>106</v>
      </c>
      <c r="AH78" s="127">
        <v>2280</v>
      </c>
      <c r="AI78" s="127">
        <v>2190</v>
      </c>
      <c r="AJ78" s="127">
        <v>1265</v>
      </c>
      <c r="AK78" s="127"/>
      <c r="AL78" s="127"/>
      <c r="AM78" s="127"/>
      <c r="AN78" s="127"/>
      <c r="AO78" s="127"/>
      <c r="AP78" s="127"/>
      <c r="AQ78" s="127"/>
      <c r="AR78" s="127"/>
      <c r="AS78" s="127"/>
      <c r="AT78" s="127"/>
      <c r="AU78" s="127"/>
      <c r="AV78" s="128"/>
      <c r="AW78" s="130">
        <v>243</v>
      </c>
      <c r="AX78" s="130">
        <v>237</v>
      </c>
      <c r="AY78" s="130">
        <v>220</v>
      </c>
      <c r="AZ78" s="130"/>
      <c r="BA78" s="130"/>
      <c r="BB78" s="130"/>
      <c r="BC78" s="130"/>
      <c r="BD78" s="130"/>
      <c r="BE78" s="130"/>
      <c r="BF78" s="130"/>
      <c r="BG78" s="130"/>
      <c r="BH78" s="130"/>
      <c r="BI78" s="130"/>
      <c r="BJ78" s="130"/>
      <c r="BK78" s="131"/>
    </row>
    <row r="79" spans="1:63" ht="17.25" customHeight="1" x14ac:dyDescent="0.3">
      <c r="Y79" s="124">
        <f>IF(ROW()=ROW(TBL_Synthese[[#Headers],[tijd]])+1,$Z$1,Y78)+IF(LEFT(TBL_Synthese[[#This Row],[check]],1)="&gt;",0,$Z$2+COUNTA(TBL_Synthese[[#This Row],[P1]:[P15]])*$Z$3)</f>
        <v>0.45538194444444496</v>
      </c>
      <c r="Z79" s="125" t="s">
        <v>135</v>
      </c>
      <c r="AA79" s="126">
        <f>SUM(TBL_Synthese[[#This Row],[P1]:[P15]])+MAX(COUNT(TBL_Synthese[[#This Row],[P1]:[P15]])-1,0)*L_saw+IF(ISNUMBER(MATCH(TBL_Synthese[[#This Row],[Longueur]],tblStock[Long.],0)),2*L_ends,0)</f>
        <v>1265</v>
      </c>
      <c r="AB79" s="127"/>
      <c r="AC79" s="128">
        <v>9</v>
      </c>
      <c r="AD79" s="128">
        <v>68</v>
      </c>
      <c r="AE79" s="127">
        <v>1860</v>
      </c>
      <c r="AF79" s="127">
        <v>592</v>
      </c>
      <c r="AG79" s="129" t="s">
        <v>107</v>
      </c>
      <c r="AH79" s="127">
        <v>1265</v>
      </c>
      <c r="AI79" s="127"/>
      <c r="AJ79" s="127"/>
      <c r="AK79" s="127"/>
      <c r="AL79" s="127"/>
      <c r="AM79" s="127"/>
      <c r="AN79" s="127"/>
      <c r="AO79" s="127"/>
      <c r="AP79" s="127"/>
      <c r="AQ79" s="127"/>
      <c r="AR79" s="127"/>
      <c r="AS79" s="127"/>
      <c r="AT79" s="127"/>
      <c r="AU79" s="127"/>
      <c r="AV79" s="128"/>
      <c r="AW79" s="130">
        <v>220</v>
      </c>
      <c r="AX79" s="130"/>
      <c r="AY79" s="130"/>
      <c r="AZ79" s="130"/>
      <c r="BA79" s="130"/>
      <c r="BB79" s="130"/>
      <c r="BC79" s="130"/>
      <c r="BD79" s="130"/>
      <c r="BE79" s="130"/>
      <c r="BF79" s="130"/>
      <c r="BG79" s="130"/>
      <c r="BH79" s="130"/>
      <c r="BI79" s="130"/>
      <c r="BJ79" s="130"/>
      <c r="BK79" s="131"/>
    </row>
  </sheetData>
  <mergeCells count="23">
    <mergeCell ref="E60:E61"/>
    <mergeCell ref="F60:F61"/>
    <mergeCell ref="G60:G61"/>
    <mergeCell ref="H60:H61"/>
    <mergeCell ref="A39:A40"/>
    <mergeCell ref="C39:C40"/>
    <mergeCell ref="D39:D40"/>
    <mergeCell ref="E39:E40"/>
    <mergeCell ref="F39:F40"/>
    <mergeCell ref="H39:H40"/>
    <mergeCell ref="D60:D61"/>
    <mergeCell ref="B9:B10"/>
    <mergeCell ref="A9:A10"/>
    <mergeCell ref="A60:A61"/>
    <mergeCell ref="B60:B61"/>
    <mergeCell ref="C60:C61"/>
    <mergeCell ref="C2:F3"/>
    <mergeCell ref="H9:H10"/>
    <mergeCell ref="G9:G10"/>
    <mergeCell ref="F9:F10"/>
    <mergeCell ref="E9:E10"/>
    <mergeCell ref="D9:D10"/>
    <mergeCell ref="C9:C10"/>
  </mergeCells>
  <phoneticPr fontId="10" type="noConversion"/>
  <conditionalFormatting sqref="AA11:AB79">
    <cfRule type="expression" dxfId="4" priority="6">
      <formula>AA11&gt;AE11</formula>
    </cfRule>
  </conditionalFormatting>
  <conditionalFormatting sqref="Y11:BK79">
    <cfRule type="expression" dxfId="3" priority="4">
      <formula>$AC11&lt;&gt;OFFSET($AC11,1,)</formula>
    </cfRule>
  </conditionalFormatting>
  <conditionalFormatting sqref="AH11:BK79">
    <cfRule type="expression" dxfId="2" priority="2">
      <formula>AND(LEFT(Z11,1)="&gt;",AH11&lt;&gt;"")</formula>
    </cfRule>
    <cfRule type="expression" dxfId="1" priority="3">
      <formula>LEFT(AH11,1)="["</formula>
    </cfRule>
  </conditionalFormatting>
  <conditionalFormatting sqref="AF11:AF79">
    <cfRule type="dataBar" priority="90">
      <dataBar>
        <cfvo type="min"/>
        <cfvo type="max"/>
        <color theme="9" tint="0.39997558519241921"/>
      </dataBar>
      <extLst>
        <ext xmlns:x14="http://schemas.microsoft.com/office/spreadsheetml/2009/9/main" uri="{B025F937-C7B1-47D3-B67F-A62EFF666E3E}">
          <x14:id>{12A6C50D-C0E7-46DB-A55A-8B873468884C}</x14:id>
        </ext>
      </extLst>
    </cfRule>
  </conditionalFormatting>
  <pageMargins left="0.25" right="0.25" top="0.75" bottom="0.75" header="0.3" footer="0.3"/>
  <pageSetup paperSize="8" orientation="portrait" r:id="rId1"/>
  <headerFooter>
    <oddHeader>&amp;C&amp;"Times New Roman,Gras"&amp;20&amp;UFICHE DE DEBIT</oddHeader>
    <oddFooter>&amp;RPage &amp;P de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2A6C50D-C0E7-46DB-A55A-8B873468884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AF11:AF79</xm:sqref>
        </x14:conditionalFormatting>
        <x14:conditionalFormatting xmlns:xm="http://schemas.microsoft.com/office/excel/2006/main">
          <x14:cfRule type="expression" priority="5" id="{62642A73-65D4-47EF-A26B-61F9DCB00D29}">
            <xm:f>AND(ROW()&gt;ROW($AE$11),ISERROR(MATCH(AE11,Listings!$L$4:$L$5,0)))</xm:f>
            <x14:dxf>
              <fill>
                <patternFill>
                  <bgColor rgb="FFFFC000"/>
                </patternFill>
              </fill>
            </x14:dxf>
          </x14:cfRule>
          <xm:sqref>AE11:AE79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8C9EA-B656-46AF-97E9-2F36D6E4C6BD}">
  <sheetPr codeName="Blad1"/>
  <dimension ref="A1:D7"/>
  <sheetViews>
    <sheetView workbookViewId="0">
      <selection activeCell="D7" sqref="D7"/>
    </sheetView>
  </sheetViews>
  <sheetFormatPr defaultRowHeight="14.25" x14ac:dyDescent="0.2"/>
  <cols>
    <col min="1" max="1" width="27" style="99" bestFit="1" customWidth="1"/>
    <col min="2" max="2" width="10.140625" style="99" bestFit="1" customWidth="1"/>
    <col min="3" max="3" width="5.5703125" style="99" bestFit="1" customWidth="1"/>
    <col min="4" max="4" width="20.5703125" style="99" bestFit="1" customWidth="1"/>
    <col min="5" max="16384" width="9.140625" style="99"/>
  </cols>
  <sheetData>
    <row r="1" spans="1:4" x14ac:dyDescent="0.2">
      <c r="A1" s="99" t="s">
        <v>130</v>
      </c>
      <c r="B1" s="99" t="s">
        <v>131</v>
      </c>
      <c r="C1" s="99" t="s">
        <v>132</v>
      </c>
      <c r="D1" s="99" t="s">
        <v>133</v>
      </c>
    </row>
    <row r="2" spans="1:4" x14ac:dyDescent="0.2">
      <c r="A2" s="99" t="s">
        <v>140</v>
      </c>
      <c r="B2" s="99">
        <v>50</v>
      </c>
      <c r="C2" s="99">
        <v>209</v>
      </c>
      <c r="D2" s="99">
        <v>1</v>
      </c>
    </row>
    <row r="3" spans="1:4" x14ac:dyDescent="0.2">
      <c r="A3" s="99" t="s">
        <v>141</v>
      </c>
      <c r="B3" s="99">
        <v>57</v>
      </c>
      <c r="C3" s="99">
        <v>216</v>
      </c>
      <c r="D3" s="99">
        <v>1</v>
      </c>
    </row>
    <row r="4" spans="1:4" x14ac:dyDescent="0.2">
      <c r="A4" s="99" t="s">
        <v>142</v>
      </c>
      <c r="B4" s="99">
        <v>64</v>
      </c>
      <c r="C4" s="99">
        <v>223</v>
      </c>
      <c r="D4" s="99">
        <v>1</v>
      </c>
    </row>
    <row r="5" spans="1:4" x14ac:dyDescent="0.2">
      <c r="A5" s="99" t="s">
        <v>143</v>
      </c>
      <c r="B5" s="99">
        <v>69</v>
      </c>
      <c r="C5" s="99">
        <v>12</v>
      </c>
      <c r="D5" s="99">
        <v>1</v>
      </c>
    </row>
    <row r="6" spans="1:4" x14ac:dyDescent="0.2">
      <c r="A6" s="99" t="s">
        <v>144</v>
      </c>
      <c r="B6" s="99">
        <v>79</v>
      </c>
      <c r="C6" s="99">
        <v>220</v>
      </c>
      <c r="D6" s="99">
        <v>1</v>
      </c>
    </row>
    <row r="7" spans="1:4" x14ac:dyDescent="0.2">
      <c r="A7" s="99" t="s">
        <v>145</v>
      </c>
      <c r="B7" s="99">
        <v>87</v>
      </c>
      <c r="C7" s="99">
        <v>123</v>
      </c>
      <c r="D7" s="99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3</vt:i4>
      </vt:variant>
    </vt:vector>
  </HeadingPairs>
  <TitlesOfParts>
    <vt:vector size="7" baseType="lpstr">
      <vt:lpstr>Listings</vt:lpstr>
      <vt:lpstr>SyntheseSimple</vt:lpstr>
      <vt:lpstr>Synthèse</vt:lpstr>
      <vt:lpstr>Blad1</vt:lpstr>
      <vt:lpstr>L_ends</vt:lpstr>
      <vt:lpstr>L_recycl</vt:lpstr>
      <vt:lpstr>L_saw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Sourgen</dc:creator>
  <cp:lastModifiedBy>Bart Strubbe</cp:lastModifiedBy>
  <dcterms:created xsi:type="dcterms:W3CDTF">2024-09-06T12:49:57Z</dcterms:created>
  <dcterms:modified xsi:type="dcterms:W3CDTF">2024-09-11T15:58:15Z</dcterms:modified>
</cp:coreProperties>
</file>