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8C73972-7FF6-49C3-8ECB-5306074FDA98}" xr6:coauthVersionLast="47" xr6:coauthVersionMax="47" xr10:uidLastSave="{00000000-0000-0000-0000-000000000000}"/>
  <bookViews>
    <workbookView xWindow="-120" yWindow="-120" windowWidth="29040" windowHeight="15990" xr2:uid="{2BACF624-7EA2-457C-8028-5545B449C759}"/>
  </bookViews>
  <sheets>
    <sheet name="Planning Final" sheetId="1" r:id="rId1"/>
    <sheet name="Base de Données" sheetId="2" r:id="rId2"/>
  </sheets>
  <definedNames>
    <definedName name="debut_heure">'Planning Final'!$F$3</definedName>
    <definedName name="debut_jour">'Planning Final'!$F$2:$F$3</definedName>
    <definedName name="jour">'Planning Final'!$F$2</definedName>
  </definedNames>
  <calcPr calcId="191029"/>
  <pivotCaches>
    <pivotCache cacheId="18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02" i="1" l="1"/>
  <c r="T102" i="1"/>
  <c r="H11" i="1"/>
  <c r="I11" i="1"/>
  <c r="J11" i="1"/>
  <c r="K11" i="1"/>
  <c r="X5" i="1" s="1"/>
  <c r="L11" i="1"/>
  <c r="M11" i="1"/>
  <c r="N11" i="1"/>
  <c r="O11" i="1"/>
  <c r="X7" i="1" s="1"/>
  <c r="P11" i="1"/>
  <c r="Q11" i="1"/>
  <c r="X8" i="1" s="1"/>
  <c r="X9" i="1"/>
  <c r="X4" i="1"/>
  <c r="X6" i="1"/>
  <c r="X10" i="1"/>
  <c r="B21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X3" i="1" l="1"/>
  <c r="X11" i="1" s="1"/>
</calcChain>
</file>

<file path=xl/sharedStrings.xml><?xml version="1.0" encoding="utf-8"?>
<sst xmlns="http://schemas.openxmlformats.org/spreadsheetml/2006/main" count="195" uniqueCount="70">
  <si>
    <t>ARTICLE</t>
  </si>
  <si>
    <t>TEMPS/UNITE</t>
  </si>
  <si>
    <t>LUNDI (8h)</t>
  </si>
  <si>
    <t>MARDI (8h)</t>
  </si>
  <si>
    <t>MERCREDI (8h)</t>
  </si>
  <si>
    <t>JEUDI (8h)</t>
  </si>
  <si>
    <t>VENDREDI (7h)</t>
  </si>
  <si>
    <t>Temps</t>
  </si>
  <si>
    <t>PLANNING SEMAINE</t>
  </si>
  <si>
    <t>PRODUCTION SEMAINE</t>
  </si>
  <si>
    <t>Solde Semaine +1</t>
  </si>
  <si>
    <t>Base de Données</t>
  </si>
  <si>
    <t>Article</t>
  </si>
  <si>
    <t>Temps de Production</t>
  </si>
  <si>
    <t>Art-01</t>
  </si>
  <si>
    <t>Art-02</t>
  </si>
  <si>
    <t>Art-03</t>
  </si>
  <si>
    <t>Art-04</t>
  </si>
  <si>
    <t>Art-05</t>
  </si>
  <si>
    <t>Art-06</t>
  </si>
  <si>
    <t>Art-07</t>
  </si>
  <si>
    <t>Art-08</t>
  </si>
  <si>
    <t>Art-09</t>
  </si>
  <si>
    <t>Art-10</t>
  </si>
  <si>
    <t>Art-11</t>
  </si>
  <si>
    <t>Art-12</t>
  </si>
  <si>
    <t>Art-13</t>
  </si>
  <si>
    <t>Art-14</t>
  </si>
  <si>
    <t>Art-15</t>
  </si>
  <si>
    <t>Art-16</t>
  </si>
  <si>
    <t>Art-17</t>
  </si>
  <si>
    <t>Art-18</t>
  </si>
  <si>
    <t>Art-19</t>
  </si>
  <si>
    <t>Art-20</t>
  </si>
  <si>
    <t>Temps2</t>
  </si>
  <si>
    <t>Temps3</t>
  </si>
  <si>
    <t>Temps4</t>
  </si>
  <si>
    <t>Temps5</t>
  </si>
  <si>
    <t>jour</t>
  </si>
  <si>
    <t>heures</t>
  </si>
  <si>
    <t>nom</t>
  </si>
  <si>
    <t>lun</t>
  </si>
  <si>
    <t>mar</t>
  </si>
  <si>
    <t>mer</t>
  </si>
  <si>
    <t>jeu</t>
  </si>
  <si>
    <t>ven</t>
  </si>
  <si>
    <t>Art-11***</t>
  </si>
  <si>
    <t>Art-03***</t>
  </si>
  <si>
    <t>Art-04***</t>
  </si>
  <si>
    <t>total</t>
  </si>
  <si>
    <t>lundi</t>
  </si>
  <si>
    <t>mardi</t>
  </si>
  <si>
    <t>mercredi</t>
  </si>
  <si>
    <t>jeudi</t>
  </si>
  <si>
    <t>vendredi</t>
  </si>
  <si>
    <t>sem. Suiv.</t>
  </si>
  <si>
    <t>delta</t>
  </si>
  <si>
    <t>debut</t>
  </si>
  <si>
    <t>Art-02***</t>
  </si>
  <si>
    <t>Delai</t>
  </si>
  <si>
    <t>Art-05***</t>
  </si>
  <si>
    <t>Art-17***</t>
  </si>
  <si>
    <t>delai</t>
  </si>
  <si>
    <t>Totaal</t>
  </si>
  <si>
    <t>Art-14***</t>
  </si>
  <si>
    <t>Art-19***</t>
  </si>
  <si>
    <t>Grand total</t>
  </si>
  <si>
    <t>QUANTITE
 A PRODUIRE</t>
  </si>
  <si>
    <t>TEMPS
/UNITE</t>
  </si>
  <si>
    <t>Semaine
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</si>
</sst>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/mm/yy"/>
    <numFmt numFmtId="165" formatCode="ddd\ dd/mm/yy;"/>
    <numFmt numFmtId="167" formatCode="0.00&quot; hrs&quot;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</fills>
  <borders count="3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medium">
        <color rgb="FFFF0000"/>
      </top>
      <bottom/>
      <diagonal/>
    </border>
    <border>
      <left/>
      <right style="thick">
        <color rgb="FFFF0000"/>
      </right>
      <top style="medium">
        <color rgb="FFFF0000"/>
      </top>
      <bottom/>
      <diagonal/>
    </border>
    <border>
      <left style="thick">
        <color rgb="FFFF0000"/>
      </left>
      <right/>
      <top/>
      <bottom style="medium">
        <color rgb="FFFF0000"/>
      </bottom>
      <diagonal/>
    </border>
    <border>
      <left/>
      <right style="thick">
        <color rgb="FFFF0000"/>
      </right>
      <top/>
      <bottom style="medium">
        <color rgb="FFFF0000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5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0" borderId="5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8" xfId="0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12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0" fillId="19" borderId="8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15" borderId="2" xfId="0" applyNumberFormat="1" applyFill="1" applyBorder="1" applyAlignment="1">
      <alignment horizontal="center" vertical="center"/>
    </xf>
    <xf numFmtId="2" fontId="0" fillId="15" borderId="10" xfId="0" applyNumberFormat="1" applyFill="1" applyBorder="1" applyAlignment="1">
      <alignment horizontal="center" vertical="center"/>
    </xf>
    <xf numFmtId="2" fontId="0" fillId="15" borderId="3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3" fillId="0" borderId="12" xfId="0" applyFont="1" applyBorder="1"/>
    <xf numFmtId="0" fontId="3" fillId="0" borderId="16" xfId="0" applyFont="1" applyBorder="1"/>
    <xf numFmtId="0" fontId="3" fillId="23" borderId="14" xfId="0" applyFont="1" applyFill="1" applyBorder="1"/>
    <xf numFmtId="0" fontId="3" fillId="23" borderId="18" xfId="0" applyFont="1" applyFill="1" applyBorder="1"/>
    <xf numFmtId="0" fontId="3" fillId="23" borderId="20" xfId="0" applyFont="1" applyFill="1" applyBorder="1"/>
    <xf numFmtId="2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0" xfId="0" applyNumberFormat="1"/>
    <xf numFmtId="2" fontId="0" fillId="15" borderId="0" xfId="0" applyNumberFormat="1" applyFill="1" applyBorder="1" applyAlignment="1">
      <alignment horizontal="center" vertical="center"/>
    </xf>
    <xf numFmtId="2" fontId="0" fillId="21" borderId="0" xfId="0" applyNumberFormat="1" applyFill="1" applyBorder="1" applyAlignment="1">
      <alignment horizontal="center" vertical="center"/>
    </xf>
    <xf numFmtId="2" fontId="0" fillId="19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0" fillId="4" borderId="1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 shrinkToFit="1"/>
    </xf>
    <xf numFmtId="0" fontId="0" fillId="26" borderId="5" xfId="0" applyFill="1" applyBorder="1" applyAlignment="1">
      <alignment horizontal="center" vertical="center"/>
    </xf>
    <xf numFmtId="2" fontId="0" fillId="26" borderId="1" xfId="0" applyNumberFormat="1" applyFill="1" applyBorder="1" applyAlignment="1">
      <alignment horizontal="center" vertical="center"/>
    </xf>
    <xf numFmtId="2" fontId="0" fillId="15" borderId="11" xfId="0" applyNumberFormat="1" applyFill="1" applyBorder="1" applyAlignment="1">
      <alignment horizontal="center" vertical="center"/>
    </xf>
    <xf numFmtId="2" fontId="0" fillId="15" borderId="22" xfId="0" applyNumberFormat="1" applyFill="1" applyBorder="1" applyAlignment="1">
      <alignment horizontal="center" vertical="center"/>
    </xf>
    <xf numFmtId="2" fontId="0" fillId="4" borderId="30" xfId="0" applyNumberFormat="1" applyFill="1" applyBorder="1" applyAlignment="1">
      <alignment horizontal="center" vertical="center"/>
    </xf>
    <xf numFmtId="2" fontId="0" fillId="4" borderId="22" xfId="0" applyNumberFormat="1" applyFill="1" applyBorder="1" applyAlignment="1">
      <alignment horizontal="center" vertical="center"/>
    </xf>
    <xf numFmtId="2" fontId="0" fillId="3" borderId="22" xfId="0" applyNumberFormat="1" applyFill="1" applyBorder="1" applyAlignment="1">
      <alignment horizontal="center" vertical="center"/>
    </xf>
    <xf numFmtId="2" fontId="0" fillId="12" borderId="11" xfId="0" applyNumberFormat="1" applyFill="1" applyBorder="1" applyAlignment="1">
      <alignment horizontal="center" vertical="center"/>
    </xf>
    <xf numFmtId="2" fontId="0" fillId="12" borderId="22" xfId="0" applyNumberFormat="1" applyFill="1" applyBorder="1" applyAlignment="1">
      <alignment horizontal="center" vertical="center"/>
    </xf>
    <xf numFmtId="2" fontId="0" fillId="12" borderId="30" xfId="0" applyNumberFormat="1" applyFill="1" applyBorder="1" applyAlignment="1">
      <alignment horizontal="center" vertical="center"/>
    </xf>
    <xf numFmtId="2" fontId="0" fillId="8" borderId="11" xfId="0" applyNumberFormat="1" applyFill="1" applyBorder="1" applyAlignment="1">
      <alignment horizontal="center" vertical="center"/>
    </xf>
    <xf numFmtId="2" fontId="0" fillId="8" borderId="22" xfId="0" applyNumberFormat="1" applyFill="1" applyBorder="1" applyAlignment="1">
      <alignment horizontal="center" vertical="center"/>
    </xf>
    <xf numFmtId="2" fontId="0" fillId="11" borderId="22" xfId="0" applyNumberFormat="1" applyFill="1" applyBorder="1" applyAlignment="1">
      <alignment horizontal="center" vertical="center"/>
    </xf>
    <xf numFmtId="2" fontId="0" fillId="11" borderId="0" xfId="0" applyNumberFormat="1" applyFill="1" applyBorder="1" applyAlignment="1">
      <alignment horizontal="center" vertical="center"/>
    </xf>
    <xf numFmtId="2" fontId="0" fillId="16" borderId="11" xfId="0" applyNumberFormat="1" applyFill="1" applyBorder="1" applyAlignment="1">
      <alignment horizontal="center" vertical="center"/>
    </xf>
    <xf numFmtId="2" fontId="0" fillId="16" borderId="0" xfId="0" applyNumberFormat="1" applyFill="1" applyBorder="1" applyAlignment="1">
      <alignment horizontal="center" vertical="center"/>
    </xf>
    <xf numFmtId="2" fontId="0" fillId="16" borderId="22" xfId="0" applyNumberFormat="1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5" borderId="22" xfId="0" applyNumberFormat="1" applyFill="1" applyBorder="1" applyAlignment="1">
      <alignment horizontal="center" vertical="center"/>
    </xf>
    <xf numFmtId="2" fontId="0" fillId="6" borderId="11" xfId="0" applyNumberFormat="1" applyFill="1" applyBorder="1" applyAlignment="1">
      <alignment horizontal="center" vertical="center"/>
    </xf>
    <xf numFmtId="2" fontId="0" fillId="6" borderId="22" xfId="0" applyNumberFormat="1" applyFill="1" applyBorder="1" applyAlignment="1">
      <alignment horizontal="center" vertical="center"/>
    </xf>
    <xf numFmtId="2" fontId="0" fillId="21" borderId="22" xfId="0" applyNumberFormat="1" applyFill="1" applyBorder="1" applyAlignment="1">
      <alignment horizontal="center" vertical="center"/>
    </xf>
    <xf numFmtId="2" fontId="0" fillId="21" borderId="30" xfId="0" applyNumberFormat="1" applyFill="1" applyBorder="1" applyAlignment="1">
      <alignment horizontal="center" vertical="center"/>
    </xf>
    <xf numFmtId="2" fontId="0" fillId="19" borderId="30" xfId="0" applyNumberFormat="1" applyFill="1" applyBorder="1" applyAlignment="1">
      <alignment horizontal="center" vertical="center"/>
    </xf>
    <xf numFmtId="2" fontId="0" fillId="19" borderId="22" xfId="0" applyNumberFormat="1" applyFill="1" applyBorder="1" applyAlignment="1">
      <alignment horizontal="center" vertical="center"/>
    </xf>
    <xf numFmtId="2" fontId="0" fillId="19" borderId="11" xfId="0" applyNumberFormat="1" applyFill="1" applyBorder="1" applyAlignment="1">
      <alignment horizontal="center" vertical="center"/>
    </xf>
    <xf numFmtId="2" fontId="0" fillId="6" borderId="30" xfId="0" applyNumberForma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2" fontId="0" fillId="11" borderId="11" xfId="0" applyNumberFormat="1" applyFill="1" applyBorder="1" applyAlignment="1">
      <alignment horizontal="center" vertical="center"/>
    </xf>
    <xf numFmtId="2" fontId="0" fillId="21" borderId="11" xfId="0" applyNumberFormat="1" applyFill="1" applyBorder="1" applyAlignment="1">
      <alignment horizontal="center" vertical="center"/>
    </xf>
    <xf numFmtId="2" fontId="0" fillId="0" borderId="0" xfId="0" applyNumberFormat="1"/>
    <xf numFmtId="2" fontId="3" fillId="0" borderId="13" xfId="0" applyNumberFormat="1" applyFont="1" applyBorder="1"/>
    <xf numFmtId="2" fontId="3" fillId="23" borderId="19" xfId="0" applyNumberFormat="1" applyFont="1" applyFill="1" applyBorder="1"/>
    <xf numFmtId="2" fontId="3" fillId="23" borderId="15" xfId="0" applyNumberFormat="1" applyFont="1" applyFill="1" applyBorder="1"/>
    <xf numFmtId="2" fontId="3" fillId="23" borderId="21" xfId="0" applyNumberFormat="1" applyFont="1" applyFill="1" applyBorder="1"/>
    <xf numFmtId="2" fontId="3" fillId="0" borderId="17" xfId="0" applyNumberFormat="1" applyFont="1" applyBorder="1"/>
    <xf numFmtId="2" fontId="0" fillId="5" borderId="30" xfId="0" applyNumberForma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15" borderId="10" xfId="0" applyNumberFormat="1" applyFill="1" applyBorder="1" applyAlignment="1">
      <alignment horizontal="center"/>
    </xf>
    <xf numFmtId="165" fontId="0" fillId="15" borderId="3" xfId="0" applyNumberForma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165" fontId="0" fillId="12" borderId="2" xfId="0" applyNumberFormat="1" applyFill="1" applyBorder="1" applyAlignment="1">
      <alignment horizontal="center"/>
    </xf>
    <xf numFmtId="165" fontId="0" fillId="12" borderId="10" xfId="0" applyNumberFormat="1" applyFill="1" applyBorder="1" applyAlignment="1">
      <alignment horizontal="center"/>
    </xf>
    <xf numFmtId="165" fontId="0" fillId="12" borderId="3" xfId="0" applyNumberFormat="1" applyFill="1" applyBorder="1" applyAlignment="1">
      <alignment horizontal="center"/>
    </xf>
    <xf numFmtId="165" fontId="0" fillId="8" borderId="2" xfId="0" applyNumberFormat="1" applyFill="1" applyBorder="1" applyAlignment="1">
      <alignment horizontal="center"/>
    </xf>
    <xf numFmtId="165" fontId="0" fillId="8" borderId="3" xfId="0" applyNumberFormat="1" applyFill="1" applyBorder="1" applyAlignment="1">
      <alignment horizontal="center"/>
    </xf>
    <xf numFmtId="165" fontId="0" fillId="11" borderId="2" xfId="0" applyNumberFormat="1" applyFill="1" applyBorder="1" applyAlignment="1">
      <alignment horizontal="center"/>
    </xf>
    <xf numFmtId="165" fontId="0" fillId="11" borderId="10" xfId="0" applyNumberFormat="1" applyFill="1" applyBorder="1" applyAlignment="1">
      <alignment horizontal="center"/>
    </xf>
    <xf numFmtId="165" fontId="0" fillId="11" borderId="3" xfId="0" applyNumberFormat="1" applyFill="1" applyBorder="1" applyAlignment="1">
      <alignment horizontal="center"/>
    </xf>
    <xf numFmtId="165" fontId="0" fillId="16" borderId="2" xfId="0" applyNumberFormat="1" applyFill="1" applyBorder="1" applyAlignment="1">
      <alignment horizontal="center"/>
    </xf>
    <xf numFmtId="165" fontId="0" fillId="16" borderId="10" xfId="0" applyNumberFormat="1" applyFill="1" applyBorder="1" applyAlignment="1">
      <alignment horizontal="center"/>
    </xf>
    <xf numFmtId="165" fontId="0" fillId="16" borderId="3" xfId="0" applyNumberForma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165" fontId="0" fillId="5" borderId="10" xfId="0" applyNumberFormat="1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5" fontId="0" fillId="6" borderId="10" xfId="0" applyNumberFormat="1" applyFill="1" applyBorder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165" fontId="0" fillId="15" borderId="2" xfId="0" applyNumberFormat="1" applyFill="1" applyBorder="1" applyAlignment="1">
      <alignment horizontal="center"/>
    </xf>
    <xf numFmtId="165" fontId="0" fillId="21" borderId="2" xfId="0" applyNumberFormat="1" applyFill="1" applyBorder="1" applyAlignment="1">
      <alignment horizontal="center"/>
    </xf>
    <xf numFmtId="165" fontId="0" fillId="21" borderId="10" xfId="0" applyNumberFormat="1" applyFill="1" applyBorder="1" applyAlignment="1">
      <alignment horizontal="center"/>
    </xf>
    <xf numFmtId="165" fontId="0" fillId="21" borderId="3" xfId="0" applyNumberFormat="1" applyFill="1" applyBorder="1" applyAlignment="1">
      <alignment horizontal="center"/>
    </xf>
    <xf numFmtId="165" fontId="0" fillId="19" borderId="2" xfId="0" applyNumberFormat="1" applyFill="1" applyBorder="1" applyAlignment="1">
      <alignment horizontal="center"/>
    </xf>
    <xf numFmtId="165" fontId="0" fillId="19" borderId="10" xfId="0" applyNumberFormat="1" applyFill="1" applyBorder="1" applyAlignment="1">
      <alignment horizontal="center"/>
    </xf>
    <xf numFmtId="165" fontId="0" fillId="19" borderId="3" xfId="0" applyNumberFormat="1" applyFill="1" applyBorder="1" applyAlignment="1">
      <alignment horizontal="center"/>
    </xf>
    <xf numFmtId="165" fontId="0" fillId="19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0" borderId="11" xfId="0" applyNumberFormat="1" applyBorder="1"/>
    <xf numFmtId="165" fontId="0" fillId="0" borderId="0" xfId="0" applyNumberFormat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 shrinkToFit="1"/>
    </xf>
    <xf numFmtId="0" fontId="0" fillId="0" borderId="0" xfId="0" pivotButton="1"/>
    <xf numFmtId="165" fontId="0" fillId="0" borderId="0" xfId="0" applyNumberFormat="1"/>
    <xf numFmtId="165" fontId="0" fillId="12" borderId="1" xfId="0" applyNumberForma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/>
    </xf>
    <xf numFmtId="165" fontId="0" fillId="21" borderId="1" xfId="0" applyNumberFormat="1" applyFill="1" applyBorder="1" applyAlignment="1">
      <alignment horizontal="center"/>
    </xf>
    <xf numFmtId="0" fontId="0" fillId="0" borderId="0" xfId="0" pivotButton="1" applyAlignment="1">
      <alignment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165" fontId="0" fillId="0" borderId="29" xfId="0" applyNumberFormat="1" applyFill="1" applyBorder="1" applyAlignment="1">
      <alignment horizontal="center" vertical="center" wrapText="1"/>
    </xf>
    <xf numFmtId="0" fontId="4" fillId="24" borderId="23" xfId="0" applyFont="1" applyFill="1" applyBorder="1" applyAlignment="1">
      <alignment horizontal="center"/>
    </xf>
    <xf numFmtId="0" fontId="4" fillId="24" borderId="24" xfId="0" applyFont="1" applyFill="1" applyBorder="1" applyAlignment="1">
      <alignment horizontal="center"/>
    </xf>
    <xf numFmtId="0" fontId="4" fillId="24" borderId="25" xfId="0" applyFont="1" applyFill="1" applyBorder="1" applyAlignment="1">
      <alignment horizontal="center"/>
    </xf>
    <xf numFmtId="164" fontId="4" fillId="25" borderId="26" xfId="0" applyNumberFormat="1" applyFont="1" applyFill="1" applyBorder="1" applyAlignment="1">
      <alignment horizontal="center"/>
    </xf>
    <xf numFmtId="0" fontId="4" fillId="24" borderId="27" xfId="0" applyFont="1" applyFill="1" applyBorder="1" applyAlignment="1">
      <alignment horizontal="center"/>
    </xf>
    <xf numFmtId="0" fontId="4" fillId="25" borderId="28" xfId="0" applyFont="1" applyFill="1" applyBorder="1" applyAlignment="1">
      <alignment horizontal="center"/>
    </xf>
    <xf numFmtId="167" fontId="0" fillId="0" borderId="0" xfId="0" applyNumberFormat="1"/>
  </cellXfs>
  <cellStyles count="1">
    <cellStyle name="Standaard" xfId="0" builtinId="0"/>
  </cellStyles>
  <dxfs count="62">
    <dxf>
      <border>
        <bottom style="thin">
          <color rgb="FFFF0000"/>
        </bottom>
        <vertical/>
        <horizontal/>
      </border>
    </dxf>
    <dxf>
      <font>
        <b/>
        <i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right style="thin">
          <color auto="1"/>
        </right>
        <vertical/>
        <horizontal/>
      </border>
    </dxf>
    <dxf>
      <fill>
        <patternFill patternType="none">
          <bgColor auto="1"/>
        </patternFill>
      </fill>
    </dxf>
    <dxf>
      <numFmt numFmtId="165" formatCode="ddd\ dd/mm/yy;"/>
      <fill>
        <patternFill patternType="solid">
          <fgColor indexed="64"/>
          <bgColor indexed="42"/>
        </patternFill>
      </fill>
      <border diagonalUp="0" diagonalDown="0" outline="0">
        <left/>
        <right style="thin">
          <color indexed="64"/>
        </right>
        <top/>
        <bottom/>
      </border>
    </dxf>
    <dxf>
      <numFmt numFmtId="2" formatCode="0.00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ill>
        <patternFill patternType="solid">
          <fgColor indexed="64"/>
          <bgColor indexed="42"/>
        </patternFill>
      </fill>
    </dxf>
    <dxf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165" formatCode="ddd\ dd/mm/yy;"/>
      <border diagonalUp="0" diagonalDown="0" outline="0">
        <left/>
        <right/>
        <top style="thin">
          <color auto="1"/>
        </top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7" formatCode="0.00&quot; hrs&quot;"/>
    </dxf>
    <dxf>
      <numFmt numFmtId="167" formatCode="0.00&quot; hrs&quot;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1" indent="0" justifyLastLine="0" shrinkToFit="0" readingOrder="0"/>
    </dxf>
    <dxf>
      <alignment wrapText="1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228602</xdr:colOff>
      <xdr:row>3</xdr:row>
      <xdr:rowOff>133351</xdr:rowOff>
    </xdr:from>
    <xdr:to>
      <xdr:col>5</xdr:col>
      <xdr:colOff>752475</xdr:colOff>
      <xdr:row>6</xdr:row>
      <xdr:rowOff>180975</xdr:rowOff>
    </xdr:to>
    <xdr:sp macro="Planning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AC9B995-4B6F-D7B9-7FE2-A69ED859F44D}"/>
            </a:ext>
          </a:extLst>
        </xdr:cNvPr>
        <xdr:cNvSpPr/>
      </xdr:nvSpPr>
      <xdr:spPr>
        <a:xfrm>
          <a:off x="2981327" y="1028701"/>
          <a:ext cx="1200148" cy="65722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 b="1"/>
            <a:t>Macr</a:t>
          </a:r>
          <a:r>
            <a:rPr lang="nl-BE" sz="2800" b="1"/>
            <a:t>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533.390330902781" createdVersion="8" refreshedVersion="8" minRefreshableVersion="3" recordCount="98" xr:uid="{46FF571B-19FD-4A39-90C4-67BC6297E92D}">
  <cacheSource type="worksheet">
    <worksheetSource name="Tbl_Semaine"/>
  </cacheSource>
  <cacheFields count="3">
    <cacheField name="Article" numFmtId="0">
      <sharedItems/>
    </cacheField>
    <cacheField name="TEMPS/UNITE" numFmtId="2">
      <sharedItems containsSemiMixedTypes="0" containsString="0" containsNumber="1" minValue="3.3306690738754696E-16" maxValue="5"/>
    </cacheField>
    <cacheField name="jour" numFmtId="165">
      <sharedItems containsSemiMixedTypes="0" containsNonDate="0" containsDate="1" containsString="0" minDate="2024-09-02T00:00:00" maxDate="2024-10-19T00:00:00" count="35">
        <d v="2024-09-02T00:00:00"/>
        <d v="2024-09-03T00:00:00"/>
        <d v="2024-09-04T00:00:00"/>
        <d v="2024-09-05T00:00:00"/>
        <d v="2024-09-06T00:00:00"/>
        <d v="2024-09-09T00:00:00"/>
        <d v="2024-09-10T00:00:00"/>
        <d v="2024-09-11T00:00:00"/>
        <d v="2024-09-12T00:00:00"/>
        <d v="2024-09-13T00:00:00"/>
        <d v="2024-09-16T00:00:00"/>
        <d v="2024-09-17T00:00:00"/>
        <d v="2024-09-18T00:00:00"/>
        <d v="2024-09-30T00:00:00" u="1"/>
        <d v="2024-10-01T00:00:00" u="1"/>
        <d v="2024-10-02T00:00:00" u="1"/>
        <d v="2024-10-03T00:00:00" u="1"/>
        <d v="2024-10-04T00:00:00" u="1"/>
        <d v="2024-10-07T00:00:00" u="1"/>
        <d v="2024-10-08T00:00:00" u="1"/>
        <d v="2024-10-09T00:00:00" u="1"/>
        <d v="2024-10-10T00:00:00" u="1"/>
        <d v="2024-10-11T00:00:00" u="1"/>
        <d v="2024-10-14T00:00:00" u="1"/>
        <d v="2024-10-15T00:00:00" u="1"/>
        <d v="2024-10-16T00:00:00" u="1"/>
        <d v="2024-10-17T00:00:00" u="1"/>
        <d v="2024-10-18T00:00:00" u="1"/>
        <d v="2024-09-19T00:00:00" u="1"/>
        <d v="2024-09-20T00:00:00" u="1"/>
        <d v="2024-09-23T00:00:00" u="1"/>
        <d v="2024-09-24T00:00:00" u="1"/>
        <d v="2024-09-25T00:00:00" u="1"/>
        <d v="2024-09-26T00:00:00" u="1"/>
        <d v="2024-09-27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">
  <r>
    <s v="Art-03***"/>
    <n v="4"/>
    <x v="0"/>
  </r>
  <r>
    <s v="Art-03***"/>
    <n v="4"/>
    <x v="0"/>
  </r>
  <r>
    <s v="Art-03***"/>
    <n v="1"/>
    <x v="1"/>
  </r>
  <r>
    <s v="Art-03"/>
    <n v="5"/>
    <x v="1"/>
  </r>
  <r>
    <s v="Art-03***"/>
    <n v="2"/>
    <x v="1"/>
  </r>
  <r>
    <s v="Art-03***"/>
    <n v="3"/>
    <x v="2"/>
  </r>
  <r>
    <s v="Art-02"/>
    <n v="0.8"/>
    <x v="2"/>
  </r>
  <r>
    <s v="Art-02"/>
    <n v="0.8"/>
    <x v="2"/>
  </r>
  <r>
    <s v="Art-02"/>
    <n v="0.8"/>
    <x v="2"/>
  </r>
  <r>
    <s v="Art-02"/>
    <n v="0.8"/>
    <x v="2"/>
  </r>
  <r>
    <s v="Art-02"/>
    <n v="0.8"/>
    <x v="2"/>
  </r>
  <r>
    <s v="Art-02"/>
    <n v="0.8"/>
    <x v="2"/>
  </r>
  <r>
    <s v="Art-02***"/>
    <n v="0.2000000000000004"/>
    <x v="2"/>
  </r>
  <r>
    <s v="Art-02***"/>
    <n v="0.59999999999999964"/>
    <x v="3"/>
  </r>
  <r>
    <s v="Art-02"/>
    <n v="0.8"/>
    <x v="3"/>
  </r>
  <r>
    <s v="Art-11"/>
    <n v="0.95"/>
    <x v="3"/>
  </r>
  <r>
    <s v="Art-11"/>
    <n v="0.95"/>
    <x v="3"/>
  </r>
  <r>
    <s v="Art-11"/>
    <n v="0.95"/>
    <x v="3"/>
  </r>
  <r>
    <s v="Art-11"/>
    <n v="0.95"/>
    <x v="3"/>
  </r>
  <r>
    <s v="Art-11"/>
    <n v="0.95"/>
    <x v="3"/>
  </r>
  <r>
    <s v="Art-11"/>
    <n v="0.95"/>
    <x v="3"/>
  </r>
  <r>
    <s v="Art-11***"/>
    <n v="0.89999999999999991"/>
    <x v="3"/>
  </r>
  <r>
    <s v="Art-11***"/>
    <n v="5.0000000000000044E-2"/>
    <x v="4"/>
  </r>
  <r>
    <s v="Art-11"/>
    <n v="0.95"/>
    <x v="4"/>
  </r>
  <r>
    <s v="Art-11"/>
    <n v="0.95"/>
    <x v="4"/>
  </r>
  <r>
    <s v="Art-07"/>
    <n v="0.8"/>
    <x v="4"/>
  </r>
  <r>
    <s v="Art-07"/>
    <n v="0.8"/>
    <x v="4"/>
  </r>
  <r>
    <s v="Art-10"/>
    <n v="0.45"/>
    <x v="4"/>
  </r>
  <r>
    <s v="Art-10"/>
    <n v="0.45"/>
    <x v="4"/>
  </r>
  <r>
    <s v="Art-10"/>
    <n v="0.45"/>
    <x v="4"/>
  </r>
  <r>
    <s v="Art-10"/>
    <n v="0.45"/>
    <x v="4"/>
  </r>
  <r>
    <s v="Art-10"/>
    <n v="0.45"/>
    <x v="4"/>
  </r>
  <r>
    <s v="Art-14"/>
    <n v="0.4"/>
    <x v="4"/>
  </r>
  <r>
    <s v="Art-14"/>
    <n v="0.4"/>
    <x v="4"/>
  </r>
  <r>
    <s v="Art-14***"/>
    <n v="0.39999999999999969"/>
    <x v="4"/>
  </r>
  <r>
    <s v="Art-14***"/>
    <n v="3.3306690738754696E-16"/>
    <x v="5"/>
  </r>
  <r>
    <s v="Art-14"/>
    <n v="0.4"/>
    <x v="5"/>
  </r>
  <r>
    <s v="Art-14"/>
    <n v="0.4"/>
    <x v="5"/>
  </r>
  <r>
    <s v="Art-14"/>
    <n v="0.4"/>
    <x v="5"/>
  </r>
  <r>
    <s v="Art-14"/>
    <n v="0.4"/>
    <x v="5"/>
  </r>
  <r>
    <s v="Art-14"/>
    <n v="0.4"/>
    <x v="5"/>
  </r>
  <r>
    <s v="Art-14"/>
    <n v="0.4"/>
    <x v="5"/>
  </r>
  <r>
    <s v="Art-04"/>
    <n v="0.7"/>
    <x v="5"/>
  </r>
  <r>
    <s v="Art-04"/>
    <n v="0.7"/>
    <x v="5"/>
  </r>
  <r>
    <s v="Art-04"/>
    <n v="0.7"/>
    <x v="5"/>
  </r>
  <r>
    <s v="Art-04"/>
    <n v="0.7"/>
    <x v="5"/>
  </r>
  <r>
    <s v="Art-04"/>
    <n v="0.7"/>
    <x v="5"/>
  </r>
  <r>
    <s v="Art-04"/>
    <n v="0.7"/>
    <x v="5"/>
  </r>
  <r>
    <s v="Art-04"/>
    <n v="0.7"/>
    <x v="5"/>
  </r>
  <r>
    <s v="Art-04***"/>
    <n v="0.69999999999999707"/>
    <x v="5"/>
  </r>
  <r>
    <s v="Art-04***"/>
    <n v="2.886579864025407E-15"/>
    <x v="6"/>
  </r>
  <r>
    <s v="Art-05"/>
    <n v="1.2"/>
    <x v="6"/>
  </r>
  <r>
    <s v="Art-05"/>
    <n v="1.2"/>
    <x v="6"/>
  </r>
  <r>
    <s v="Art-05"/>
    <n v="1.2"/>
    <x v="6"/>
  </r>
  <r>
    <s v="Art-05"/>
    <n v="1.2"/>
    <x v="6"/>
  </r>
  <r>
    <s v="Art-05"/>
    <n v="1.2"/>
    <x v="6"/>
  </r>
  <r>
    <s v="Art-05"/>
    <n v="1.2"/>
    <x v="6"/>
  </r>
  <r>
    <s v="Art-05***"/>
    <n v="0.79999999999999671"/>
    <x v="6"/>
  </r>
  <r>
    <s v="Art-05***"/>
    <n v="0.40000000000000324"/>
    <x v="7"/>
  </r>
  <r>
    <s v="Art-05"/>
    <n v="1.2"/>
    <x v="7"/>
  </r>
  <r>
    <s v="Art-13"/>
    <n v="0.7"/>
    <x v="7"/>
  </r>
  <r>
    <s v="Art-13"/>
    <n v="0.7"/>
    <x v="7"/>
  </r>
  <r>
    <s v="Art-13"/>
    <n v="0.7"/>
    <x v="7"/>
  </r>
  <r>
    <s v="Art-13"/>
    <n v="0.7"/>
    <x v="7"/>
  </r>
  <r>
    <s v="Art-19"/>
    <n v="1.3"/>
    <x v="7"/>
  </r>
  <r>
    <s v="Art-19"/>
    <n v="1.3"/>
    <x v="7"/>
  </r>
  <r>
    <s v="Art-19***"/>
    <n v="0.99999999999999623"/>
    <x v="7"/>
  </r>
  <r>
    <s v="Art-19***"/>
    <n v="0.30000000000000382"/>
    <x v="8"/>
  </r>
  <r>
    <s v="Art-13"/>
    <n v="0.7"/>
    <x v="8"/>
  </r>
  <r>
    <s v="Art-13"/>
    <n v="0.7"/>
    <x v="8"/>
  </r>
  <r>
    <s v="Art-13"/>
    <n v="0.7"/>
    <x v="8"/>
  </r>
  <r>
    <s v="Art-17"/>
    <n v="1.7"/>
    <x v="8"/>
  </r>
  <r>
    <s v="Art-17"/>
    <n v="1.7"/>
    <x v="8"/>
  </r>
  <r>
    <s v="Art-17"/>
    <n v="1.7"/>
    <x v="8"/>
  </r>
  <r>
    <s v="Art-17***"/>
    <n v="0.49999999999999489"/>
    <x v="8"/>
  </r>
  <r>
    <s v="Art-17***"/>
    <n v="1.2000000000000051"/>
    <x v="9"/>
  </r>
  <r>
    <s v="Art-17"/>
    <n v="1.7"/>
    <x v="9"/>
  </r>
  <r>
    <s v="Art-17"/>
    <n v="1.7"/>
    <x v="9"/>
  </r>
  <r>
    <s v="Art-17"/>
    <n v="1.7"/>
    <x v="9"/>
  </r>
  <r>
    <s v="Art-17***"/>
    <n v="0.69999999999999507"/>
    <x v="9"/>
  </r>
  <r>
    <s v="Art-17***"/>
    <n v="1.0000000000000049"/>
    <x v="10"/>
  </r>
  <r>
    <s v="Art-17"/>
    <n v="1.7"/>
    <x v="10"/>
  </r>
  <r>
    <s v="Art-11"/>
    <n v="0.95"/>
    <x v="10"/>
  </r>
  <r>
    <s v="Art-11"/>
    <n v="0.95"/>
    <x v="10"/>
  </r>
  <r>
    <s v="Art-11"/>
    <n v="0.95"/>
    <x v="10"/>
  </r>
  <r>
    <s v="Art-11"/>
    <n v="0.95"/>
    <x v="10"/>
  </r>
  <r>
    <s v="Art-17***"/>
    <n v="1.499999999999994"/>
    <x v="10"/>
  </r>
  <r>
    <s v="Art-17***"/>
    <n v="0.20000000000000595"/>
    <x v="11"/>
  </r>
  <r>
    <s v="Art-17"/>
    <n v="1.7"/>
    <x v="11"/>
  </r>
  <r>
    <s v="Art-11"/>
    <n v="0.95"/>
    <x v="11"/>
  </r>
  <r>
    <s v="Art-11"/>
    <n v="0.95"/>
    <x v="11"/>
  </r>
  <r>
    <s v="Art-11"/>
    <n v="0.95"/>
    <x v="11"/>
  </r>
  <r>
    <s v="Art-11"/>
    <n v="0.95"/>
    <x v="11"/>
  </r>
  <r>
    <s v="Art-11"/>
    <n v="0.95"/>
    <x v="11"/>
  </r>
  <r>
    <s v="Art-11"/>
    <n v="0.95"/>
    <x v="11"/>
  </r>
  <r>
    <s v="Art-11***"/>
    <n v="0.39999999999999281"/>
    <x v="11"/>
  </r>
  <r>
    <s v="Art-11***"/>
    <n v="0.55000000000000715"/>
    <x v="12"/>
  </r>
  <r>
    <s v="Art-05"/>
    <n v="1.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529465-A0FC-4D37-BA6D-4A1BDEE0D6D8}" name="Draaitabel1" cacheId="186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Z3:AA18" firstHeaderRow="2" firstDataRow="2" firstDataCol="1"/>
  <pivotFields count="3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2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ubtotalTop="0" showAll="0" insertBlankRow="1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28"/>
        <item m="1" x="29"/>
        <item m="1" x="30"/>
        <item m="1" x="31"/>
        <item m="1" x="32"/>
        <item m="1" x="33"/>
        <item m="1" x="34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emaine_x000a_suivante" fld="1" baseField="2" baseItem="0" numFmtId="167"/>
  </dataFields>
  <formats count="3">
    <format dxfId="39">
      <pivotArea type="origin" dataOnly="0" labelOnly="1" outline="0" fieldPosition="0"/>
    </format>
    <format dxfId="35">
      <pivotArea outline="0" collapsedLevelsAreSubtotals="1" fieldPosition="0"/>
    </format>
    <format dxfId="3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0E7C69-C137-458A-85F8-45E9B3966D46}" name="Tbl_Production" displayName="Tbl_Production" ref="A3:C21" totalsRowShown="0" headerRowDxfId="38" dataDxfId="60" headerRowBorderDxfId="61" tableBorderDxfId="59">
  <autoFilter ref="A3:C21" xr:uid="{AB0E7C69-C137-458A-85F8-45E9B3966D46}"/>
  <tableColumns count="3">
    <tableColumn id="1" xr3:uid="{1E82B391-7C4D-4361-9F53-29C4FE55A4F3}" name="ARTICLE" dataDxfId="58">
      <calculatedColumnFormula array="1">INDEX(Tbl_BDD[Article],RANDBETWEEN(1,20))</calculatedColumnFormula>
    </tableColumn>
    <tableColumn id="2" xr3:uid="{AB28F2C2-8382-4F04-A4C2-F75E97FB3471}" name="TEMPS_x000a_/UNITE" dataDxfId="57">
      <calculatedColumnFormula>VLOOKUP(Tbl_Production[[#This Row],[ARTICLE]],Tbl_BDD[],2,0)</calculatedColumnFormula>
    </tableColumn>
    <tableColumn id="3" xr3:uid="{9E7616E6-6C76-4CC9-A246-7F02C7EB779F}" name="QUANTITE_x000a_ A PRODUIRE" dataDxfId="56">
      <calculatedColumnFormula>RANDBETWEEN(1,20)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87E861-686A-4859-8A75-FED36F6E149A}" name="Tbl_Planning" displayName="Tbl_Planning" ref="H3:Q11" totalsRowCount="1" headerRowDxfId="37" dataDxfId="23" totalsRowDxfId="53" headerRowBorderDxfId="55" tableBorderDxfId="54">
  <autoFilter ref="H3:Q10" xr:uid="{8187E861-686A-4859-8A75-FED36F6E149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0C40F11-E7F3-47FC-B9EA-039692B7B9B1}" name="LUNDI (8h)" totalsRowFunction="count" dataDxfId="22" totalsRowDxfId="24"/>
    <tableColumn id="2" xr3:uid="{0EC91B94-6586-4C3B-BC36-D6A88465FE93}" name="Temps" totalsRowFunction="sum" dataDxfId="21" totalsRowDxfId="25"/>
    <tableColumn id="3" xr3:uid="{1A0680E3-89B8-4C6C-A70C-ADCFD78B691C}" name="MARDI (8h)" totalsRowFunction="count" dataDxfId="20" totalsRowDxfId="26"/>
    <tableColumn id="4" xr3:uid="{5B121CD4-10D7-4F42-8E4A-BF83DD08D987}" name="Temps2" totalsRowFunction="sum" dataDxfId="13" totalsRowDxfId="27"/>
    <tableColumn id="5" xr3:uid="{0AC9C005-3A92-4D95-A64D-EB40CCAA5155}" name="MERCREDI (8h)" totalsRowFunction="count" dataDxfId="12" totalsRowDxfId="28"/>
    <tableColumn id="6" xr3:uid="{6382C084-97BD-47F3-8901-A4F7E2354F42}" name="Temps3" totalsRowFunction="sum" dataDxfId="10" totalsRowDxfId="29"/>
    <tableColumn id="7" xr3:uid="{FBA1AFE1-9A1B-48EC-8E3A-61FA6E7B0384}" name="JEUDI (8h)" totalsRowFunction="count" dataDxfId="11" totalsRowDxfId="30"/>
    <tableColumn id="8" xr3:uid="{F5A6C8AF-6973-47C6-BBD7-33863C66309A}" name="Temps4" totalsRowFunction="sum" dataDxfId="19" totalsRowDxfId="31"/>
    <tableColumn id="9" xr3:uid="{E8022023-773B-40CC-90BB-C138709887A6}" name="VENDREDI (7h)" totalsRowFunction="count" dataDxfId="18" totalsRowDxfId="32"/>
    <tableColumn id="10" xr3:uid="{851D80D1-955A-437D-9502-7B29423939CD}" name="Temps5" totalsRowFunction="sum" dataDxfId="17" totalsRow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94DC25-DB46-4351-A208-8D140B3756DF}" name="Tbl_Semaine" displayName="Tbl_Semaine" ref="S3:U102" totalsRowCount="1" headerRowDxfId="36" dataDxfId="9" headerRowBorderDxfId="52" tableBorderDxfId="51" totalsRowBorderDxfId="50">
  <autoFilter ref="S3:U101" xr:uid="{5394DC25-DB46-4351-A208-8D140B3756DF}"/>
  <tableColumns count="3">
    <tableColumn id="1" xr3:uid="{D513E79C-2B61-41A6-85B5-CFFAB1182DF1}" name="Article" totalsRowFunction="count" dataDxfId="8" totalsRowDxfId="14"/>
    <tableColumn id="2" xr3:uid="{D957A2E7-9059-4F11-B043-F99AA00B2A7A}" name="TEMPS/UNITE" totalsRowFunction="sum" dataDxfId="7" totalsRowDxfId="15"/>
    <tableColumn id="3" xr3:uid="{134170C5-1677-4DD7-A210-F4961662FD0B}" name="jour" dataDxfId="6" totalsRow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7E8BC7-F52C-4277-948A-9D505970DEE2}" name="Tbl_BDD" displayName="Tbl_BDD" ref="A2:B23" totalsRowShown="0" headerRowDxfId="49" headerRowBorderDxfId="48" tableBorderDxfId="47">
  <autoFilter ref="A2:B23" xr:uid="{4F7E8BC7-F52C-4277-948A-9D505970DEE2}"/>
  <tableColumns count="2">
    <tableColumn id="1" xr3:uid="{F4EB3615-2338-4116-A84E-36BD0147ED86}" name="Article" dataDxfId="46"/>
    <tableColumn id="2" xr3:uid="{995077C3-8AAE-41F5-B60E-177BC13E710B}" name="Temps de Production" dataDxfId="4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928CFF5-0D7B-4E6A-9963-6A6A8977CFAF}" name="Tbl_Jours" displayName="Tbl_Jours" ref="D2:F7" totalsRowShown="0" headerRowDxfId="44" dataDxfId="43">
  <autoFilter ref="D2:F7" xr:uid="{C928CFF5-0D7B-4E6A-9963-6A6A8977CFAF}"/>
  <tableColumns count="3">
    <tableColumn id="1" xr3:uid="{FF180D0F-58C4-40DC-A2E2-2BD91C74E03D}" name="jour" dataDxfId="42"/>
    <tableColumn id="2" xr3:uid="{956C3DEB-D7A6-4C31-A26D-32F20E991C96}" name="heures" dataDxfId="41"/>
    <tableColumn id="3" xr3:uid="{E8E066B3-7D14-4A7C-9F11-69B41051F4CA}" name="nom" dataDxfId="4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9B64A-EA33-4C14-97E9-F00E31C5B368}">
  <sheetPr codeName="Blad1"/>
  <dimension ref="A1:AA102"/>
  <sheetViews>
    <sheetView tabSelected="1" zoomScale="90" zoomScaleNormal="90" workbookViewId="0">
      <selection activeCell="H25" sqref="H25"/>
    </sheetView>
  </sheetViews>
  <sheetFormatPr defaultColWidth="11.42578125" defaultRowHeight="15" x14ac:dyDescent="0.25"/>
  <cols>
    <col min="1" max="1" width="13" style="2" bestFit="1" customWidth="1"/>
    <col min="2" max="2" width="12.140625" style="52" bestFit="1" customWidth="1"/>
    <col min="3" max="3" width="17.140625" style="2" bestFit="1" customWidth="1"/>
    <col min="4" max="4" width="3.85546875" style="2" customWidth="1"/>
    <col min="5" max="5" width="9.42578125" style="2" customWidth="1"/>
    <col min="6" max="6" width="18.140625" style="2" bestFit="1" customWidth="1"/>
    <col min="7" max="7" width="5.42578125" customWidth="1"/>
    <col min="8" max="8" width="16.42578125" style="1" bestFit="1" customWidth="1"/>
    <col min="9" max="9" width="6.85546875" style="77" bestFit="1" customWidth="1"/>
    <col min="10" max="10" width="15" style="1" bestFit="1" customWidth="1"/>
    <col min="11" max="11" width="7.85546875" style="77" bestFit="1" customWidth="1"/>
    <col min="12" max="12" width="16.42578125" style="1" bestFit="1" customWidth="1"/>
    <col min="13" max="13" width="7.85546875" style="77" bestFit="1" customWidth="1"/>
    <col min="14" max="14" width="15.85546875" style="1" bestFit="1" customWidth="1"/>
    <col min="15" max="15" width="7.85546875" style="77" bestFit="1" customWidth="1"/>
    <col min="16" max="16" width="15.28515625" style="1" bestFit="1" customWidth="1"/>
    <col min="17" max="17" width="7.85546875" style="77" bestFit="1" customWidth="1"/>
    <col min="18" max="18" width="4.7109375" style="115" customWidth="1"/>
    <col min="19" max="19" width="11.85546875" style="1" bestFit="1" customWidth="1"/>
    <col min="20" max="20" width="18" style="52" bestFit="1" customWidth="1"/>
    <col min="21" max="21" width="13.42578125" style="199" bestFit="1" customWidth="1"/>
    <col min="22" max="22" width="4.7109375" style="2" customWidth="1"/>
    <col min="23" max="23" width="10.7109375" bestFit="1" customWidth="1"/>
    <col min="24" max="24" width="7.28515625" style="155" bestFit="1" customWidth="1"/>
    <col min="25" max="25" width="4.7109375" customWidth="1"/>
    <col min="26" max="26" width="12.5703125" bestFit="1" customWidth="1"/>
    <col min="27" max="27" width="9.140625" style="222" bestFit="1" customWidth="1"/>
  </cols>
  <sheetData>
    <row r="1" spans="1:27" ht="21.75" thickTop="1" x14ac:dyDescent="0.35">
      <c r="A1" s="103" t="s">
        <v>9</v>
      </c>
      <c r="B1" s="103"/>
      <c r="C1" s="103"/>
      <c r="D1" s="89"/>
      <c r="E1" s="216"/>
      <c r="F1" s="217" t="s">
        <v>57</v>
      </c>
      <c r="H1" s="100" t="s">
        <v>8</v>
      </c>
      <c r="I1" s="100"/>
      <c r="J1" s="100"/>
      <c r="K1" s="100"/>
      <c r="L1" s="100"/>
      <c r="M1" s="100"/>
      <c r="N1" s="100"/>
      <c r="O1" s="100"/>
      <c r="P1" s="100"/>
      <c r="Q1" s="100"/>
      <c r="R1" s="200"/>
      <c r="S1" s="101" t="s">
        <v>10</v>
      </c>
      <c r="T1" s="102"/>
      <c r="U1" s="162"/>
    </row>
    <row r="2" spans="1:27" ht="21.75" thickBot="1" x14ac:dyDescent="0.4">
      <c r="A2" s="89"/>
      <c r="B2" s="89"/>
      <c r="C2" s="89"/>
      <c r="D2" s="89"/>
      <c r="E2" s="218" t="s">
        <v>38</v>
      </c>
      <c r="F2" s="219">
        <v>45532</v>
      </c>
      <c r="G2" s="104"/>
      <c r="H2" s="122">
        <v>45530</v>
      </c>
      <c r="I2" s="122"/>
      <c r="J2" s="122">
        <v>45531</v>
      </c>
      <c r="K2" s="122"/>
      <c r="L2" s="122">
        <v>45532</v>
      </c>
      <c r="M2" s="122"/>
      <c r="N2" s="122">
        <v>45533</v>
      </c>
      <c r="O2" s="122"/>
      <c r="P2" s="122">
        <v>45534</v>
      </c>
      <c r="Q2" s="122"/>
      <c r="R2" s="201"/>
      <c r="S2" s="87"/>
      <c r="T2" s="88"/>
      <c r="U2" s="162"/>
    </row>
    <row r="3" spans="1:27" ht="33" thickTop="1" thickBot="1" x14ac:dyDescent="0.4">
      <c r="A3" s="209" t="s">
        <v>0</v>
      </c>
      <c r="B3" s="210" t="s">
        <v>68</v>
      </c>
      <c r="C3" s="211" t="s">
        <v>67</v>
      </c>
      <c r="E3" s="220" t="s">
        <v>62</v>
      </c>
      <c r="F3" s="221">
        <v>3.5</v>
      </c>
      <c r="H3" s="209" t="s">
        <v>2</v>
      </c>
      <c r="I3" s="212" t="s">
        <v>7</v>
      </c>
      <c r="J3" s="213" t="s">
        <v>3</v>
      </c>
      <c r="K3" s="214" t="s">
        <v>34</v>
      </c>
      <c r="L3" s="209" t="s">
        <v>4</v>
      </c>
      <c r="M3" s="212" t="s">
        <v>35</v>
      </c>
      <c r="N3" s="213" t="s">
        <v>5</v>
      </c>
      <c r="O3" s="214" t="s">
        <v>36</v>
      </c>
      <c r="P3" s="209" t="s">
        <v>6</v>
      </c>
      <c r="Q3" s="212" t="s">
        <v>37</v>
      </c>
      <c r="S3" s="209" t="s">
        <v>12</v>
      </c>
      <c r="T3" s="210" t="s">
        <v>1</v>
      </c>
      <c r="U3" s="215" t="s">
        <v>38</v>
      </c>
      <c r="W3" s="95" t="s">
        <v>49</v>
      </c>
      <c r="X3" s="156">
        <f>SUMPRODUCT(Tbl_Production[TEMPS
/UNITE],Tbl_Production[QUANTITE
 A PRODUIRE])</f>
        <v>115.25</v>
      </c>
      <c r="Z3" s="208" t="s">
        <v>69</v>
      </c>
    </row>
    <row r="4" spans="1:27" ht="16.5" thickTop="1" x14ac:dyDescent="0.25">
      <c r="A4" s="1" t="s">
        <v>26</v>
      </c>
      <c r="B4" s="52">
        <f>VLOOKUP(Tbl_Production[[#This Row],[ARTICLE]],Tbl_BDD[],2,0)</f>
        <v>0.7</v>
      </c>
      <c r="C4" s="2">
        <v>5</v>
      </c>
      <c r="H4" s="114"/>
      <c r="I4" s="115"/>
      <c r="J4" s="114"/>
      <c r="K4" s="115"/>
      <c r="L4" s="123" t="s">
        <v>59</v>
      </c>
      <c r="M4" s="124">
        <v>3.5</v>
      </c>
      <c r="N4" s="61" t="s">
        <v>47</v>
      </c>
      <c r="O4" s="119">
        <v>4</v>
      </c>
      <c r="P4" s="61" t="s">
        <v>47</v>
      </c>
      <c r="Q4" s="81">
        <v>1</v>
      </c>
      <c r="R4" s="111"/>
      <c r="S4" s="61" t="s">
        <v>47</v>
      </c>
      <c r="T4" s="151">
        <v>4</v>
      </c>
      <c r="U4" s="205">
        <v>45537</v>
      </c>
      <c r="W4" s="98" t="s">
        <v>50</v>
      </c>
      <c r="X4" s="157">
        <f>+Tbl_Planning[[#Totals],[Temps]]</f>
        <v>0</v>
      </c>
      <c r="Z4" s="202" t="s">
        <v>38</v>
      </c>
      <c r="AA4" t="s">
        <v>63</v>
      </c>
    </row>
    <row r="5" spans="1:27" ht="15.75" x14ac:dyDescent="0.25">
      <c r="A5" s="1" t="s">
        <v>16</v>
      </c>
      <c r="B5" s="52">
        <f>VLOOKUP(Tbl_Production[[#This Row],[ARTICLE]],Tbl_BDD[],2,0)</f>
        <v>5</v>
      </c>
      <c r="C5" s="2">
        <v>7</v>
      </c>
      <c r="H5" s="112"/>
      <c r="I5" s="113"/>
      <c r="J5" s="112"/>
      <c r="K5" s="111"/>
      <c r="L5" s="58" t="s">
        <v>26</v>
      </c>
      <c r="M5" s="78">
        <v>0.7</v>
      </c>
      <c r="N5" s="45" t="s">
        <v>47</v>
      </c>
      <c r="O5" s="120">
        <v>4</v>
      </c>
      <c r="P5" s="60" t="s">
        <v>16</v>
      </c>
      <c r="Q5" s="82">
        <v>5</v>
      </c>
      <c r="R5" s="111"/>
      <c r="S5" s="45" t="s">
        <v>47</v>
      </c>
      <c r="T5" s="128">
        <v>4</v>
      </c>
      <c r="U5" s="166">
        <v>45537</v>
      </c>
      <c r="W5" s="97" t="s">
        <v>51</v>
      </c>
      <c r="X5" s="158">
        <f>+Tbl_Planning[[#Totals],[Temps2]]</f>
        <v>0</v>
      </c>
      <c r="Z5" s="203">
        <v>45537</v>
      </c>
      <c r="AA5" s="222">
        <v>8</v>
      </c>
    </row>
    <row r="6" spans="1:27" ht="15.75" x14ac:dyDescent="0.25">
      <c r="A6" s="1" t="s">
        <v>15</v>
      </c>
      <c r="B6" s="52">
        <f>VLOOKUP(Tbl_Production[[#This Row],[ARTICLE]],Tbl_BDD[],2,0)</f>
        <v>0.8</v>
      </c>
      <c r="C6" s="2">
        <v>8</v>
      </c>
      <c r="H6" s="112"/>
      <c r="I6" s="113"/>
      <c r="J6" s="112"/>
      <c r="K6" s="111"/>
      <c r="L6" s="57" t="s">
        <v>26</v>
      </c>
      <c r="M6" s="79">
        <v>0.7</v>
      </c>
      <c r="N6" s="110"/>
      <c r="O6" s="116"/>
      <c r="P6" s="45" t="s">
        <v>47</v>
      </c>
      <c r="Q6" s="83">
        <v>1</v>
      </c>
      <c r="S6" s="61" t="s">
        <v>47</v>
      </c>
      <c r="T6" s="151">
        <v>1</v>
      </c>
      <c r="U6" s="165">
        <v>45538</v>
      </c>
      <c r="W6" s="97" t="s">
        <v>52</v>
      </c>
      <c r="X6" s="158">
        <f>+Tbl_Planning[[#Totals],[Temps3]]</f>
        <v>8</v>
      </c>
      <c r="Z6" s="203">
        <v>45538</v>
      </c>
      <c r="AA6" s="222">
        <v>8</v>
      </c>
    </row>
    <row r="7" spans="1:27" ht="15.75" x14ac:dyDescent="0.25">
      <c r="A7" s="1" t="s">
        <v>24</v>
      </c>
      <c r="B7" s="52">
        <f>VLOOKUP(Tbl_Production[[#This Row],[ARTICLE]],Tbl_BDD[],2,0)</f>
        <v>0.95</v>
      </c>
      <c r="C7" s="2">
        <v>3</v>
      </c>
      <c r="H7" s="112"/>
      <c r="I7" s="113"/>
      <c r="J7" s="112"/>
      <c r="K7" s="111"/>
      <c r="L7" s="57" t="s">
        <v>26</v>
      </c>
      <c r="M7" s="79">
        <v>0.7</v>
      </c>
      <c r="N7" s="110"/>
      <c r="O7" s="116"/>
      <c r="P7" s="112"/>
      <c r="Q7" s="113"/>
      <c r="S7" s="60" t="s">
        <v>16</v>
      </c>
      <c r="T7" s="118">
        <v>5</v>
      </c>
      <c r="U7" s="167">
        <v>45538</v>
      </c>
      <c r="W7" s="97" t="s">
        <v>53</v>
      </c>
      <c r="X7" s="158">
        <f>+Tbl_Planning[[#Totals],[Temps4]]</f>
        <v>8</v>
      </c>
      <c r="Z7" s="203">
        <v>45539</v>
      </c>
      <c r="AA7" s="222">
        <v>7.9999999999999991</v>
      </c>
    </row>
    <row r="8" spans="1:27" ht="15.75" x14ac:dyDescent="0.25">
      <c r="A8" s="1" t="s">
        <v>24</v>
      </c>
      <c r="B8" s="52">
        <f>VLOOKUP(Tbl_Production[[#This Row],[ARTICLE]],Tbl_BDD[],2,0)</f>
        <v>0.95</v>
      </c>
      <c r="C8" s="2">
        <v>6</v>
      </c>
      <c r="H8" s="112"/>
      <c r="I8" s="113"/>
      <c r="J8" s="112"/>
      <c r="K8" s="111"/>
      <c r="L8" s="57" t="s">
        <v>26</v>
      </c>
      <c r="M8" s="79">
        <v>0.7</v>
      </c>
      <c r="N8" s="110"/>
      <c r="O8" s="116"/>
      <c r="P8" s="112"/>
      <c r="Q8" s="113"/>
      <c r="S8" s="45" t="s">
        <v>47</v>
      </c>
      <c r="T8" s="128">
        <v>2</v>
      </c>
      <c r="U8" s="166">
        <v>45538</v>
      </c>
      <c r="W8" s="97" t="s">
        <v>54</v>
      </c>
      <c r="X8" s="158">
        <f>+Tbl_Planning[[#Totals],[Temps5]]</f>
        <v>7</v>
      </c>
      <c r="Z8" s="203">
        <v>45540</v>
      </c>
      <c r="AA8" s="222">
        <v>8</v>
      </c>
    </row>
    <row r="9" spans="1:27" ht="16.5" thickBot="1" x14ac:dyDescent="0.3">
      <c r="A9" s="1" t="s">
        <v>20</v>
      </c>
      <c r="B9" s="52">
        <f>VLOOKUP(Tbl_Production[[#This Row],[ARTICLE]],Tbl_BDD[],2,0)</f>
        <v>0.8</v>
      </c>
      <c r="C9" s="2">
        <v>2</v>
      </c>
      <c r="H9" s="112"/>
      <c r="I9" s="113"/>
      <c r="J9" s="112"/>
      <c r="K9" s="111"/>
      <c r="L9" s="59" t="s">
        <v>26</v>
      </c>
      <c r="M9" s="80">
        <v>0.7</v>
      </c>
      <c r="N9" s="110"/>
      <c r="O9" s="116"/>
      <c r="P9" s="112"/>
      <c r="Q9" s="113"/>
      <c r="S9" s="10" t="s">
        <v>47</v>
      </c>
      <c r="T9" s="127">
        <v>3</v>
      </c>
      <c r="U9" s="168">
        <v>45539</v>
      </c>
      <c r="W9" s="99" t="s">
        <v>55</v>
      </c>
      <c r="X9" s="159">
        <f>+Tbl_Semaine[[#Totals],[TEMPS/UNITE]]</f>
        <v>95.750000000000099</v>
      </c>
      <c r="Z9" s="203">
        <v>45541</v>
      </c>
      <c r="AA9" s="222">
        <v>7.0000000000000009</v>
      </c>
    </row>
    <row r="10" spans="1:27" ht="16.5" thickBot="1" x14ac:dyDescent="0.3">
      <c r="A10" s="1" t="s">
        <v>23</v>
      </c>
      <c r="B10" s="52">
        <f>VLOOKUP(Tbl_Production[[#This Row],[ARTICLE]],Tbl_BDD[],2,0)</f>
        <v>0.45</v>
      </c>
      <c r="C10" s="2">
        <v>5</v>
      </c>
      <c r="H10" s="112"/>
      <c r="I10" s="113"/>
      <c r="J10" s="112"/>
      <c r="K10" s="111"/>
      <c r="L10" s="10" t="s">
        <v>47</v>
      </c>
      <c r="M10" s="117">
        <v>0.99999999999999956</v>
      </c>
      <c r="N10" s="110"/>
      <c r="O10" s="116"/>
      <c r="P10" s="112"/>
      <c r="Q10" s="113"/>
      <c r="S10" s="63" t="s">
        <v>15</v>
      </c>
      <c r="T10" s="152">
        <v>0.8</v>
      </c>
      <c r="U10" s="169">
        <v>45539</v>
      </c>
      <c r="W10" s="96" t="s">
        <v>62</v>
      </c>
      <c r="X10" s="160">
        <f>+debut_heure</f>
        <v>3.5</v>
      </c>
      <c r="Z10" s="203">
        <v>45544</v>
      </c>
      <c r="AA10" s="222">
        <v>7.9999999999999982</v>
      </c>
    </row>
    <row r="11" spans="1:27" ht="17.25" thickTop="1" thickBot="1" x14ac:dyDescent="0.3">
      <c r="A11" s="1" t="s">
        <v>27</v>
      </c>
      <c r="B11" s="52">
        <f>VLOOKUP(Tbl_Production[[#This Row],[ARTICLE]],Tbl_BDD[],2,0)</f>
        <v>0.4</v>
      </c>
      <c r="C11" s="2">
        <v>9</v>
      </c>
      <c r="H11" s="1">
        <f>SUBTOTAL(103,Tbl_Planning[LUNDI (8h)])</f>
        <v>0</v>
      </c>
      <c r="I11" s="77">
        <f>SUBTOTAL(109,Tbl_Planning[Temps])</f>
        <v>0</v>
      </c>
      <c r="J11" s="6">
        <f>SUBTOTAL(103,Tbl_Planning[MARDI (8h)])</f>
        <v>0</v>
      </c>
      <c r="K11" s="84">
        <f>SUBTOTAL(109,Tbl_Planning[Temps2])</f>
        <v>0</v>
      </c>
      <c r="L11" s="1">
        <f>SUBTOTAL(103,Tbl_Planning[MERCREDI (8h)])</f>
        <v>7</v>
      </c>
      <c r="M11" s="77">
        <f>SUBTOTAL(109,Tbl_Planning[Temps3])</f>
        <v>8</v>
      </c>
      <c r="N11" s="6">
        <f>SUBTOTAL(103,Tbl_Planning[JEUDI (8h)])</f>
        <v>2</v>
      </c>
      <c r="O11" s="85">
        <f>SUBTOTAL(109,Tbl_Planning[Temps4])</f>
        <v>8</v>
      </c>
      <c r="P11" s="1">
        <f>SUBTOTAL(103,Tbl_Planning[VENDREDI (7h)])</f>
        <v>3</v>
      </c>
      <c r="Q11" s="77">
        <f>SUBTOTAL(109,Tbl_Planning[Temps5])</f>
        <v>7</v>
      </c>
      <c r="S11" s="62" t="s">
        <v>15</v>
      </c>
      <c r="T11" s="121">
        <v>0.8</v>
      </c>
      <c r="U11" s="170">
        <v>45539</v>
      </c>
      <c r="W11" s="96" t="s">
        <v>56</v>
      </c>
      <c r="X11" s="160">
        <f>+X3-SUM(X4:X9)+X10</f>
        <v>-9.9475983006414026E-14</v>
      </c>
      <c r="Z11" s="203">
        <v>45545</v>
      </c>
      <c r="AA11" s="222">
        <v>8</v>
      </c>
    </row>
    <row r="12" spans="1:27" ht="15.75" thickTop="1" x14ac:dyDescent="0.25">
      <c r="A12" s="1" t="s">
        <v>17</v>
      </c>
      <c r="B12" s="52">
        <f>VLOOKUP(Tbl_Production[[#This Row],[ARTICLE]],Tbl_BDD[],2,0)</f>
        <v>0.7</v>
      </c>
      <c r="C12" s="2">
        <v>8</v>
      </c>
      <c r="S12" s="62" t="s">
        <v>15</v>
      </c>
      <c r="T12" s="121">
        <v>0.8</v>
      </c>
      <c r="U12" s="170">
        <v>45539</v>
      </c>
      <c r="Z12" s="203">
        <v>45546</v>
      </c>
      <c r="AA12" s="222">
        <v>8</v>
      </c>
    </row>
    <row r="13" spans="1:27" x14ac:dyDescent="0.25">
      <c r="A13" s="1" t="s">
        <v>18</v>
      </c>
      <c r="B13" s="52">
        <f>VLOOKUP(Tbl_Production[[#This Row],[ARTICLE]],Tbl_BDD[],2,0)</f>
        <v>1.2</v>
      </c>
      <c r="C13" s="2">
        <v>8</v>
      </c>
      <c r="S13" s="62" t="s">
        <v>15</v>
      </c>
      <c r="T13" s="121">
        <v>0.8</v>
      </c>
      <c r="U13" s="170">
        <v>45539</v>
      </c>
      <c r="Z13" s="203">
        <v>45547</v>
      </c>
      <c r="AA13" s="222">
        <v>7.9999999999999991</v>
      </c>
    </row>
    <row r="14" spans="1:27" x14ac:dyDescent="0.25">
      <c r="A14" s="1" t="s">
        <v>26</v>
      </c>
      <c r="B14" s="52">
        <f>VLOOKUP(Tbl_Production[[#This Row],[ARTICLE]],Tbl_BDD[],2,0)</f>
        <v>0.7</v>
      </c>
      <c r="C14" s="2">
        <v>4</v>
      </c>
      <c r="S14" s="62" t="s">
        <v>15</v>
      </c>
      <c r="T14" s="121">
        <v>0.8</v>
      </c>
      <c r="U14" s="170">
        <v>45539</v>
      </c>
      <c r="Z14" s="203">
        <v>45548</v>
      </c>
      <c r="AA14" s="222">
        <v>7</v>
      </c>
    </row>
    <row r="15" spans="1:27" x14ac:dyDescent="0.25">
      <c r="A15" s="1" t="s">
        <v>32</v>
      </c>
      <c r="B15" s="52">
        <f>VLOOKUP(Tbl_Production[[#This Row],[ARTICLE]],Tbl_BDD[],2,0)</f>
        <v>1.3</v>
      </c>
      <c r="C15" s="2">
        <v>3</v>
      </c>
      <c r="S15" s="62" t="s">
        <v>15</v>
      </c>
      <c r="T15" s="121">
        <v>0.8</v>
      </c>
      <c r="U15" s="170">
        <v>45539</v>
      </c>
      <c r="Z15" s="203">
        <v>45551</v>
      </c>
      <c r="AA15" s="222">
        <v>7.9999999999999991</v>
      </c>
    </row>
    <row r="16" spans="1:27" x14ac:dyDescent="0.25">
      <c r="A16" s="1" t="s">
        <v>26</v>
      </c>
      <c r="B16" s="52">
        <f>VLOOKUP(Tbl_Production[[#This Row],[ARTICLE]],Tbl_BDD[],2,0)</f>
        <v>0.7</v>
      </c>
      <c r="C16" s="2">
        <v>3</v>
      </c>
      <c r="S16" s="46" t="s">
        <v>58</v>
      </c>
      <c r="T16" s="129">
        <v>0.2000000000000004</v>
      </c>
      <c r="U16" s="171">
        <v>45539</v>
      </c>
      <c r="Z16" s="203">
        <v>45552</v>
      </c>
      <c r="AA16" s="222">
        <v>8</v>
      </c>
    </row>
    <row r="17" spans="1:27" x14ac:dyDescent="0.25">
      <c r="A17" s="1" t="s">
        <v>30</v>
      </c>
      <c r="B17" s="52">
        <f>VLOOKUP(Tbl_Production[[#This Row],[ARTICLE]],Tbl_BDD[],2,0)</f>
        <v>1.7</v>
      </c>
      <c r="C17" s="2">
        <v>9</v>
      </c>
      <c r="S17" s="63" t="s">
        <v>58</v>
      </c>
      <c r="T17" s="152">
        <v>0.59999999999999964</v>
      </c>
      <c r="U17" s="169">
        <v>45540</v>
      </c>
      <c r="Z17" s="203">
        <v>45553</v>
      </c>
      <c r="AA17" s="222">
        <v>1.7500000000000071</v>
      </c>
    </row>
    <row r="18" spans="1:27" x14ac:dyDescent="0.25">
      <c r="A18" s="1" t="s">
        <v>24</v>
      </c>
      <c r="B18" s="52">
        <f>VLOOKUP(Tbl_Production[[#This Row],[ARTICLE]],Tbl_BDD[],2,0)</f>
        <v>0.95</v>
      </c>
      <c r="C18" s="2">
        <v>4</v>
      </c>
      <c r="S18" s="46" t="s">
        <v>15</v>
      </c>
      <c r="T18" s="129">
        <v>0.8</v>
      </c>
      <c r="U18" s="171">
        <v>45540</v>
      </c>
      <c r="Z18" s="203" t="s">
        <v>66</v>
      </c>
      <c r="AA18" s="222">
        <v>95.75</v>
      </c>
    </row>
    <row r="19" spans="1:27" x14ac:dyDescent="0.25">
      <c r="A19" s="1" t="s">
        <v>30</v>
      </c>
      <c r="B19" s="52">
        <f>VLOOKUP(Tbl_Production[[#This Row],[ARTICLE]],Tbl_BDD[],2,0)</f>
        <v>1.7</v>
      </c>
      <c r="C19" s="2">
        <v>2</v>
      </c>
      <c r="S19" s="64" t="s">
        <v>24</v>
      </c>
      <c r="T19" s="130">
        <v>0.95</v>
      </c>
      <c r="U19" s="172">
        <v>45540</v>
      </c>
    </row>
    <row r="20" spans="1:27" x14ac:dyDescent="0.25">
      <c r="A20" s="1" t="s">
        <v>24</v>
      </c>
      <c r="B20" s="52">
        <f>VLOOKUP(Tbl_Production[[#This Row],[ARTICLE]],Tbl_BDD[],2,0)</f>
        <v>0.95</v>
      </c>
      <c r="C20" s="2">
        <v>7</v>
      </c>
      <c r="S20" s="53" t="s">
        <v>24</v>
      </c>
      <c r="T20" s="108">
        <v>0.95</v>
      </c>
      <c r="U20" s="173">
        <v>45540</v>
      </c>
    </row>
    <row r="21" spans="1:27" x14ac:dyDescent="0.25">
      <c r="A21" s="1" t="s">
        <v>18</v>
      </c>
      <c r="B21" s="52">
        <f>VLOOKUP(Tbl_Production[[#This Row],[ARTICLE]],Tbl_BDD[],2,0)</f>
        <v>1.2</v>
      </c>
      <c r="C21" s="2">
        <v>1</v>
      </c>
      <c r="S21" s="65" t="s">
        <v>24</v>
      </c>
      <c r="T21" s="131">
        <v>0.95</v>
      </c>
      <c r="U21" s="174">
        <v>45540</v>
      </c>
    </row>
    <row r="22" spans="1:27" x14ac:dyDescent="0.25">
      <c r="S22" s="64" t="s">
        <v>24</v>
      </c>
      <c r="T22" s="130">
        <v>0.95</v>
      </c>
      <c r="U22" s="172">
        <v>45540</v>
      </c>
    </row>
    <row r="23" spans="1:27" x14ac:dyDescent="0.25">
      <c r="S23" s="53" t="s">
        <v>24</v>
      </c>
      <c r="T23" s="108">
        <v>0.95</v>
      </c>
      <c r="U23" s="173">
        <v>45540</v>
      </c>
    </row>
    <row r="24" spans="1:27" x14ac:dyDescent="0.25">
      <c r="S24" s="53" t="s">
        <v>24</v>
      </c>
      <c r="T24" s="108">
        <v>0.95</v>
      </c>
      <c r="U24" s="173">
        <v>45540</v>
      </c>
    </row>
    <row r="25" spans="1:27" x14ac:dyDescent="0.25">
      <c r="S25" s="65" t="s">
        <v>46</v>
      </c>
      <c r="T25" s="131">
        <v>0.89999999999999991</v>
      </c>
      <c r="U25" s="174">
        <v>45540</v>
      </c>
    </row>
    <row r="26" spans="1:27" x14ac:dyDescent="0.25">
      <c r="S26" s="64" t="s">
        <v>46</v>
      </c>
      <c r="T26" s="130">
        <v>5.0000000000000044E-2</v>
      </c>
      <c r="U26" s="172">
        <v>45541</v>
      </c>
    </row>
    <row r="27" spans="1:27" x14ac:dyDescent="0.25">
      <c r="S27" s="53" t="s">
        <v>24</v>
      </c>
      <c r="T27" s="108">
        <v>0.95</v>
      </c>
      <c r="U27" s="173">
        <v>45541</v>
      </c>
    </row>
    <row r="28" spans="1:27" x14ac:dyDescent="0.25">
      <c r="S28" s="65" t="s">
        <v>24</v>
      </c>
      <c r="T28" s="131">
        <v>0.95</v>
      </c>
      <c r="U28" s="174">
        <v>45541</v>
      </c>
    </row>
    <row r="29" spans="1:27" x14ac:dyDescent="0.25">
      <c r="S29" s="93" t="s">
        <v>20</v>
      </c>
      <c r="T29" s="133">
        <v>0.8</v>
      </c>
      <c r="U29" s="175">
        <v>45541</v>
      </c>
    </row>
    <row r="30" spans="1:27" x14ac:dyDescent="0.25">
      <c r="S30" s="94" t="s">
        <v>20</v>
      </c>
      <c r="T30" s="134">
        <v>0.8</v>
      </c>
      <c r="U30" s="176">
        <v>45541</v>
      </c>
    </row>
    <row r="31" spans="1:27" x14ac:dyDescent="0.25">
      <c r="S31" s="66" t="s">
        <v>23</v>
      </c>
      <c r="T31" s="153">
        <v>0.45</v>
      </c>
      <c r="U31" s="177">
        <v>45541</v>
      </c>
    </row>
    <row r="32" spans="1:27" x14ac:dyDescent="0.25">
      <c r="S32" s="54" t="s">
        <v>23</v>
      </c>
      <c r="T32" s="136">
        <v>0.45</v>
      </c>
      <c r="U32" s="178">
        <v>45541</v>
      </c>
    </row>
    <row r="33" spans="19:21" x14ac:dyDescent="0.25">
      <c r="S33" s="54" t="s">
        <v>23</v>
      </c>
      <c r="T33" s="136">
        <v>0.45</v>
      </c>
      <c r="U33" s="178">
        <v>45541</v>
      </c>
    </row>
    <row r="34" spans="19:21" x14ac:dyDescent="0.25">
      <c r="S34" s="54" t="s">
        <v>23</v>
      </c>
      <c r="T34" s="136">
        <v>0.45</v>
      </c>
      <c r="U34" s="178">
        <v>45541</v>
      </c>
    </row>
    <row r="35" spans="19:21" x14ac:dyDescent="0.25">
      <c r="S35" s="67" t="s">
        <v>23</v>
      </c>
      <c r="T35" s="135">
        <v>0.45</v>
      </c>
      <c r="U35" s="179">
        <v>45541</v>
      </c>
    </row>
    <row r="36" spans="19:21" x14ac:dyDescent="0.25">
      <c r="S36" s="68" t="s">
        <v>27</v>
      </c>
      <c r="T36" s="137">
        <v>0.4</v>
      </c>
      <c r="U36" s="180">
        <v>45541</v>
      </c>
    </row>
    <row r="37" spans="19:21" x14ac:dyDescent="0.25">
      <c r="S37" s="55" t="s">
        <v>27</v>
      </c>
      <c r="T37" s="138">
        <v>0.4</v>
      </c>
      <c r="U37" s="181">
        <v>45541</v>
      </c>
    </row>
    <row r="38" spans="19:21" x14ac:dyDescent="0.25">
      <c r="S38" s="69" t="s">
        <v>64</v>
      </c>
      <c r="T38" s="139">
        <v>0.39999999999999969</v>
      </c>
      <c r="U38" s="182">
        <v>45541</v>
      </c>
    </row>
    <row r="39" spans="19:21" x14ac:dyDescent="0.25">
      <c r="S39" s="68" t="s">
        <v>64</v>
      </c>
      <c r="T39" s="137">
        <v>3.3306690738754696E-16</v>
      </c>
      <c r="U39" s="180">
        <v>45544</v>
      </c>
    </row>
    <row r="40" spans="19:21" x14ac:dyDescent="0.25">
      <c r="S40" s="55" t="s">
        <v>27</v>
      </c>
      <c r="T40" s="138">
        <v>0.4</v>
      </c>
      <c r="U40" s="181">
        <v>45544</v>
      </c>
    </row>
    <row r="41" spans="19:21" x14ac:dyDescent="0.25">
      <c r="S41" s="55" t="s">
        <v>27</v>
      </c>
      <c r="T41" s="138">
        <v>0.4</v>
      </c>
      <c r="U41" s="181">
        <v>45544</v>
      </c>
    </row>
    <row r="42" spans="19:21" x14ac:dyDescent="0.25">
      <c r="S42" s="55" t="s">
        <v>27</v>
      </c>
      <c r="T42" s="138">
        <v>0.4</v>
      </c>
      <c r="U42" s="181">
        <v>45544</v>
      </c>
    </row>
    <row r="43" spans="19:21" x14ac:dyDescent="0.25">
      <c r="S43" s="55" t="s">
        <v>27</v>
      </c>
      <c r="T43" s="138">
        <v>0.4</v>
      </c>
      <c r="U43" s="181">
        <v>45544</v>
      </c>
    </row>
    <row r="44" spans="19:21" x14ac:dyDescent="0.25">
      <c r="S44" s="55" t="s">
        <v>27</v>
      </c>
      <c r="T44" s="138">
        <v>0.4</v>
      </c>
      <c r="U44" s="181">
        <v>45544</v>
      </c>
    </row>
    <row r="45" spans="19:21" x14ac:dyDescent="0.25">
      <c r="S45" s="69" t="s">
        <v>27</v>
      </c>
      <c r="T45" s="139">
        <v>0.4</v>
      </c>
      <c r="U45" s="182">
        <v>45544</v>
      </c>
    </row>
    <row r="46" spans="19:21" x14ac:dyDescent="0.25">
      <c r="S46" s="70" t="s">
        <v>17</v>
      </c>
      <c r="T46" s="140">
        <v>0.7</v>
      </c>
      <c r="U46" s="183">
        <v>45544</v>
      </c>
    </row>
    <row r="47" spans="19:21" x14ac:dyDescent="0.25">
      <c r="S47" s="56" t="s">
        <v>17</v>
      </c>
      <c r="T47" s="141">
        <v>0.7</v>
      </c>
      <c r="U47" s="184">
        <v>45544</v>
      </c>
    </row>
    <row r="48" spans="19:21" x14ac:dyDescent="0.25">
      <c r="S48" s="56" t="s">
        <v>17</v>
      </c>
      <c r="T48" s="141">
        <v>0.7</v>
      </c>
      <c r="U48" s="184">
        <v>45544</v>
      </c>
    </row>
    <row r="49" spans="19:21" x14ac:dyDescent="0.25">
      <c r="S49" s="56" t="s">
        <v>17</v>
      </c>
      <c r="T49" s="141">
        <v>0.7</v>
      </c>
      <c r="U49" s="184">
        <v>45544</v>
      </c>
    </row>
    <row r="50" spans="19:21" x14ac:dyDescent="0.25">
      <c r="S50" s="56" t="s">
        <v>17</v>
      </c>
      <c r="T50" s="141">
        <v>0.7</v>
      </c>
      <c r="U50" s="184">
        <v>45544</v>
      </c>
    </row>
    <row r="51" spans="19:21" x14ac:dyDescent="0.25">
      <c r="S51" s="56" t="s">
        <v>17</v>
      </c>
      <c r="T51" s="141">
        <v>0.7</v>
      </c>
      <c r="U51" s="184">
        <v>45544</v>
      </c>
    </row>
    <row r="52" spans="19:21" x14ac:dyDescent="0.25">
      <c r="S52" s="56" t="s">
        <v>17</v>
      </c>
      <c r="T52" s="141">
        <v>0.7</v>
      </c>
      <c r="U52" s="184">
        <v>45544</v>
      </c>
    </row>
    <row r="53" spans="19:21" x14ac:dyDescent="0.25">
      <c r="S53" s="71" t="s">
        <v>48</v>
      </c>
      <c r="T53" s="142">
        <v>0.69999999999999707</v>
      </c>
      <c r="U53" s="185">
        <v>45544</v>
      </c>
    </row>
    <row r="54" spans="19:21" x14ac:dyDescent="0.25">
      <c r="S54" s="12" t="s">
        <v>48</v>
      </c>
      <c r="T54" s="161">
        <v>2.886579864025407E-15</v>
      </c>
      <c r="U54" s="206">
        <v>45545</v>
      </c>
    </row>
    <row r="55" spans="19:21" x14ac:dyDescent="0.25">
      <c r="S55" s="91" t="s">
        <v>18</v>
      </c>
      <c r="T55" s="143">
        <v>1.2</v>
      </c>
      <c r="U55" s="186">
        <v>45545</v>
      </c>
    </row>
    <row r="56" spans="19:21" x14ac:dyDescent="0.25">
      <c r="S56" s="90" t="s">
        <v>18</v>
      </c>
      <c r="T56" s="109">
        <v>1.2</v>
      </c>
      <c r="U56" s="187">
        <v>45545</v>
      </c>
    </row>
    <row r="57" spans="19:21" x14ac:dyDescent="0.25">
      <c r="S57" s="90" t="s">
        <v>18</v>
      </c>
      <c r="T57" s="109">
        <v>1.2</v>
      </c>
      <c r="U57" s="187">
        <v>45545</v>
      </c>
    </row>
    <row r="58" spans="19:21" x14ac:dyDescent="0.25">
      <c r="S58" s="90" t="s">
        <v>18</v>
      </c>
      <c r="T58" s="109">
        <v>1.2</v>
      </c>
      <c r="U58" s="187">
        <v>45545</v>
      </c>
    </row>
    <row r="59" spans="19:21" x14ac:dyDescent="0.25">
      <c r="S59" s="90" t="s">
        <v>18</v>
      </c>
      <c r="T59" s="109">
        <v>1.2</v>
      </c>
      <c r="U59" s="187">
        <v>45545</v>
      </c>
    </row>
    <row r="60" spans="19:21" x14ac:dyDescent="0.25">
      <c r="S60" s="90" t="s">
        <v>18</v>
      </c>
      <c r="T60" s="109">
        <v>1.2</v>
      </c>
      <c r="U60" s="187">
        <v>45545</v>
      </c>
    </row>
    <row r="61" spans="19:21" x14ac:dyDescent="0.25">
      <c r="S61" s="92" t="s">
        <v>60</v>
      </c>
      <c r="T61" s="144">
        <v>0.79999999999999671</v>
      </c>
      <c r="U61" s="188">
        <v>45545</v>
      </c>
    </row>
    <row r="62" spans="19:21" x14ac:dyDescent="0.25">
      <c r="S62" s="91" t="s">
        <v>60</v>
      </c>
      <c r="T62" s="143">
        <v>0.40000000000000324</v>
      </c>
      <c r="U62" s="186">
        <v>45546</v>
      </c>
    </row>
    <row r="63" spans="19:21" x14ac:dyDescent="0.25">
      <c r="S63" s="92" t="s">
        <v>18</v>
      </c>
      <c r="T63" s="144">
        <v>1.2</v>
      </c>
      <c r="U63" s="188">
        <v>45546</v>
      </c>
    </row>
    <row r="64" spans="19:21" x14ac:dyDescent="0.25">
      <c r="S64" s="58" t="s">
        <v>26</v>
      </c>
      <c r="T64" s="125">
        <v>0.7</v>
      </c>
      <c r="U64" s="189">
        <v>45546</v>
      </c>
    </row>
    <row r="65" spans="19:21" x14ac:dyDescent="0.25">
      <c r="S65" s="57" t="s">
        <v>26</v>
      </c>
      <c r="T65" s="105">
        <v>0.7</v>
      </c>
      <c r="U65" s="163">
        <v>45546</v>
      </c>
    </row>
    <row r="66" spans="19:21" x14ac:dyDescent="0.25">
      <c r="S66" s="57" t="s">
        <v>26</v>
      </c>
      <c r="T66" s="105">
        <v>0.7</v>
      </c>
      <c r="U66" s="163">
        <v>45546</v>
      </c>
    </row>
    <row r="67" spans="19:21" x14ac:dyDescent="0.25">
      <c r="S67" s="59" t="s">
        <v>26</v>
      </c>
      <c r="T67" s="126">
        <v>0.7</v>
      </c>
      <c r="U67" s="164">
        <v>45546</v>
      </c>
    </row>
    <row r="68" spans="19:21" x14ac:dyDescent="0.25">
      <c r="S68" s="51" t="s">
        <v>32</v>
      </c>
      <c r="T68" s="154">
        <v>1.3</v>
      </c>
      <c r="U68" s="190">
        <v>45546</v>
      </c>
    </row>
    <row r="69" spans="19:21" x14ac:dyDescent="0.25">
      <c r="S69" s="72" t="s">
        <v>32</v>
      </c>
      <c r="T69" s="106">
        <v>1.3</v>
      </c>
      <c r="U69" s="191">
        <v>45546</v>
      </c>
    </row>
    <row r="70" spans="19:21" x14ac:dyDescent="0.25">
      <c r="S70" s="73" t="s">
        <v>65</v>
      </c>
      <c r="T70" s="145">
        <v>0.99999999999999623</v>
      </c>
      <c r="U70" s="192">
        <v>45546</v>
      </c>
    </row>
    <row r="71" spans="19:21" x14ac:dyDescent="0.25">
      <c r="S71" s="44" t="s">
        <v>65</v>
      </c>
      <c r="T71" s="146">
        <v>0.30000000000000382</v>
      </c>
      <c r="U71" s="207">
        <v>45547</v>
      </c>
    </row>
    <row r="72" spans="19:21" x14ac:dyDescent="0.25">
      <c r="S72" s="58" t="s">
        <v>26</v>
      </c>
      <c r="T72" s="125">
        <v>0.7</v>
      </c>
      <c r="U72" s="189">
        <v>45547</v>
      </c>
    </row>
    <row r="73" spans="19:21" x14ac:dyDescent="0.25">
      <c r="S73" s="57" t="s">
        <v>26</v>
      </c>
      <c r="T73" s="105">
        <v>0.7</v>
      </c>
      <c r="U73" s="163">
        <v>45547</v>
      </c>
    </row>
    <row r="74" spans="19:21" x14ac:dyDescent="0.25">
      <c r="S74" s="59" t="s">
        <v>26</v>
      </c>
      <c r="T74" s="126">
        <v>0.7</v>
      </c>
      <c r="U74" s="164">
        <v>45547</v>
      </c>
    </row>
    <row r="75" spans="19:21" x14ac:dyDescent="0.25">
      <c r="S75" s="75" t="s">
        <v>30</v>
      </c>
      <c r="T75" s="149">
        <v>1.7</v>
      </c>
      <c r="U75" s="193">
        <v>45547</v>
      </c>
    </row>
    <row r="76" spans="19:21" x14ac:dyDescent="0.25">
      <c r="S76" s="74" t="s">
        <v>30</v>
      </c>
      <c r="T76" s="107">
        <v>1.7</v>
      </c>
      <c r="U76" s="194">
        <v>45547</v>
      </c>
    </row>
    <row r="77" spans="19:21" x14ac:dyDescent="0.25">
      <c r="S77" s="74" t="s">
        <v>30</v>
      </c>
      <c r="T77" s="107">
        <v>1.7</v>
      </c>
      <c r="U77" s="194">
        <v>45547</v>
      </c>
    </row>
    <row r="78" spans="19:21" x14ac:dyDescent="0.25">
      <c r="S78" s="76" t="s">
        <v>61</v>
      </c>
      <c r="T78" s="148">
        <v>0.49999999999999489</v>
      </c>
      <c r="U78" s="195">
        <v>45547</v>
      </c>
    </row>
    <row r="79" spans="19:21" x14ac:dyDescent="0.25">
      <c r="S79" s="75" t="s">
        <v>61</v>
      </c>
      <c r="T79" s="149">
        <v>1.2000000000000051</v>
      </c>
      <c r="U79" s="193">
        <v>45548</v>
      </c>
    </row>
    <row r="80" spans="19:21" x14ac:dyDescent="0.25">
      <c r="S80" s="74" t="s">
        <v>30</v>
      </c>
      <c r="T80" s="107">
        <v>1.7</v>
      </c>
      <c r="U80" s="194">
        <v>45548</v>
      </c>
    </row>
    <row r="81" spans="19:21" x14ac:dyDescent="0.25">
      <c r="S81" s="74" t="s">
        <v>30</v>
      </c>
      <c r="T81" s="107">
        <v>1.7</v>
      </c>
      <c r="U81" s="194">
        <v>45548</v>
      </c>
    </row>
    <row r="82" spans="19:21" x14ac:dyDescent="0.25">
      <c r="S82" s="74" t="s">
        <v>30</v>
      </c>
      <c r="T82" s="107">
        <v>1.7</v>
      </c>
      <c r="U82" s="194">
        <v>45548</v>
      </c>
    </row>
    <row r="83" spans="19:21" x14ac:dyDescent="0.25">
      <c r="S83" s="76" t="s">
        <v>61</v>
      </c>
      <c r="T83" s="148">
        <v>0.69999999999999507</v>
      </c>
      <c r="U83" s="195">
        <v>45548</v>
      </c>
    </row>
    <row r="84" spans="19:21" x14ac:dyDescent="0.25">
      <c r="S84" s="75" t="s">
        <v>61</v>
      </c>
      <c r="T84" s="149">
        <v>1.0000000000000049</v>
      </c>
      <c r="U84" s="193">
        <v>45551</v>
      </c>
    </row>
    <row r="85" spans="19:21" x14ac:dyDescent="0.25">
      <c r="S85" s="76" t="s">
        <v>30</v>
      </c>
      <c r="T85" s="148">
        <v>1.7</v>
      </c>
      <c r="U85" s="195">
        <v>45551</v>
      </c>
    </row>
    <row r="86" spans="19:21" x14ac:dyDescent="0.25">
      <c r="S86" s="64" t="s">
        <v>24</v>
      </c>
      <c r="T86" s="130">
        <v>0.95</v>
      </c>
      <c r="U86" s="172">
        <v>45551</v>
      </c>
    </row>
    <row r="87" spans="19:21" x14ac:dyDescent="0.25">
      <c r="S87" s="53" t="s">
        <v>24</v>
      </c>
      <c r="T87" s="108">
        <v>0.95</v>
      </c>
      <c r="U87" s="173">
        <v>45551</v>
      </c>
    </row>
    <row r="88" spans="19:21" x14ac:dyDescent="0.25">
      <c r="S88" s="53" t="s">
        <v>24</v>
      </c>
      <c r="T88" s="108">
        <v>0.95</v>
      </c>
      <c r="U88" s="173">
        <v>45551</v>
      </c>
    </row>
    <row r="89" spans="19:21" x14ac:dyDescent="0.25">
      <c r="S89" s="65" t="s">
        <v>24</v>
      </c>
      <c r="T89" s="131">
        <v>0.95</v>
      </c>
      <c r="U89" s="174">
        <v>45551</v>
      </c>
    </row>
    <row r="90" spans="19:21" x14ac:dyDescent="0.25">
      <c r="S90" s="40" t="s">
        <v>61</v>
      </c>
      <c r="T90" s="147">
        <v>1.499999999999994</v>
      </c>
      <c r="U90" s="196">
        <v>45551</v>
      </c>
    </row>
    <row r="91" spans="19:21" x14ac:dyDescent="0.25">
      <c r="S91" s="75" t="s">
        <v>61</v>
      </c>
      <c r="T91" s="149">
        <v>0.20000000000000595</v>
      </c>
      <c r="U91" s="193">
        <v>45552</v>
      </c>
    </row>
    <row r="92" spans="19:21" x14ac:dyDescent="0.25">
      <c r="S92" s="76" t="s">
        <v>30</v>
      </c>
      <c r="T92" s="148">
        <v>1.7</v>
      </c>
      <c r="U92" s="195">
        <v>45552</v>
      </c>
    </row>
    <row r="93" spans="19:21" x14ac:dyDescent="0.25">
      <c r="S93" s="64" t="s">
        <v>24</v>
      </c>
      <c r="T93" s="130">
        <v>0.95</v>
      </c>
      <c r="U93" s="172">
        <v>45552</v>
      </c>
    </row>
    <row r="94" spans="19:21" x14ac:dyDescent="0.25">
      <c r="S94" s="53" t="s">
        <v>24</v>
      </c>
      <c r="T94" s="108">
        <v>0.95</v>
      </c>
      <c r="U94" s="173">
        <v>45552</v>
      </c>
    </row>
    <row r="95" spans="19:21" x14ac:dyDescent="0.25">
      <c r="S95" s="53" t="s">
        <v>24</v>
      </c>
      <c r="T95" s="108">
        <v>0.95</v>
      </c>
      <c r="U95" s="173">
        <v>45552</v>
      </c>
    </row>
    <row r="96" spans="19:21" x14ac:dyDescent="0.25">
      <c r="S96" s="53" t="s">
        <v>24</v>
      </c>
      <c r="T96" s="108">
        <v>0.95</v>
      </c>
      <c r="U96" s="173">
        <v>45552</v>
      </c>
    </row>
    <row r="97" spans="19:21" x14ac:dyDescent="0.25">
      <c r="S97" s="53" t="s">
        <v>24</v>
      </c>
      <c r="T97" s="108">
        <v>0.95</v>
      </c>
      <c r="U97" s="173">
        <v>45552</v>
      </c>
    </row>
    <row r="98" spans="19:21" x14ac:dyDescent="0.25">
      <c r="S98" s="53" t="s">
        <v>24</v>
      </c>
      <c r="T98" s="108">
        <v>0.95</v>
      </c>
      <c r="U98" s="173">
        <v>45552</v>
      </c>
    </row>
    <row r="99" spans="19:21" x14ac:dyDescent="0.25">
      <c r="S99" s="65" t="s">
        <v>46</v>
      </c>
      <c r="T99" s="131">
        <v>0.39999999999999281</v>
      </c>
      <c r="U99" s="174">
        <v>45552</v>
      </c>
    </row>
    <row r="100" spans="19:21" x14ac:dyDescent="0.25">
      <c r="S100" s="26" t="s">
        <v>46</v>
      </c>
      <c r="T100" s="132">
        <v>0.55000000000000715</v>
      </c>
      <c r="U100" s="204">
        <v>45553</v>
      </c>
    </row>
    <row r="101" spans="19:21" x14ac:dyDescent="0.25">
      <c r="S101" s="14" t="s">
        <v>18</v>
      </c>
      <c r="T101" s="150">
        <v>1.2</v>
      </c>
      <c r="U101" s="197">
        <v>45553</v>
      </c>
    </row>
    <row r="102" spans="19:21" x14ac:dyDescent="0.25">
      <c r="S102" s="5">
        <f>SUBTOTAL(103,Tbl_Semaine[Article])</f>
        <v>98</v>
      </c>
      <c r="T102" s="86">
        <f>SUBTOTAL(109,Tbl_Semaine[TEMPS/UNITE])</f>
        <v>95.750000000000099</v>
      </c>
      <c r="U102" s="198"/>
    </row>
  </sheetData>
  <mergeCells count="3">
    <mergeCell ref="H1:Q1"/>
    <mergeCell ref="S1:T1"/>
    <mergeCell ref="A1:C1"/>
  </mergeCells>
  <conditionalFormatting sqref="H3:Q10">
    <cfRule type="expression" dxfId="5" priority="5">
      <formula>H3=""</formula>
    </cfRule>
    <cfRule type="expression" dxfId="4" priority="6">
      <formula>LEFT(H$3,5)="Temps"</formula>
    </cfRule>
  </conditionalFormatting>
  <conditionalFormatting sqref="B4">
    <cfRule type="expression" dxfId="3" priority="4">
      <formula>B4&lt;&gt;I4</formula>
    </cfRule>
  </conditionalFormatting>
  <conditionalFormatting sqref="B5:B21">
    <cfRule type="expression" dxfId="2" priority="8">
      <formula>B5&lt;&gt;#REF!</formula>
    </cfRule>
  </conditionalFormatting>
  <conditionalFormatting sqref="S3:U101">
    <cfRule type="expression" dxfId="1" priority="3">
      <formula>MOD($U3,2)</formula>
    </cfRule>
  </conditionalFormatting>
  <conditionalFormatting sqref="S3:U101">
    <cfRule type="expression" dxfId="0" priority="1">
      <formula>$U3&lt;&gt;OFFSET($U3,1,)</formula>
    </cfRule>
  </conditionalFormatting>
  <dataValidations count="3">
    <dataValidation type="list" allowBlank="1" showInputMessage="1" showErrorMessage="1" sqref="C4:C21" xr:uid="{728F184C-F16A-493A-BF9E-07D242144C42}">
      <formula1>"1,2,3,4,5,6,7,8,9,10"</formula1>
    </dataValidation>
    <dataValidation type="decimal" allowBlank="1" showInputMessage="1" showErrorMessage="1" sqref="F3" xr:uid="{71A912C0-F6E8-4188-9F81-776765445938}">
      <formula1>0</formula1>
      <formula2>8</formula2>
    </dataValidation>
    <dataValidation type="date" allowBlank="1" showInputMessage="1" showErrorMessage="1" sqref="F2" xr:uid="{E74AFBA1-FC23-4905-BD15-0E20A308C640}">
      <formula1>45292</formula1>
      <formula2>47848</formula2>
    </dataValidation>
  </dataValidations>
  <pageMargins left="0.7" right="0.7" top="0.75" bottom="0.75" header="0.3" footer="0.3"/>
  <drawing r:id="rId2"/>
  <tableParts count="3"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60C2A3-DC64-41E5-9098-DA7B05401DAA}">
          <x14:formula1>
            <xm:f>'Base de Données'!$A$3:$A$23</xm:f>
          </x14:formula1>
          <xm:sqref>A4:A21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D50D-7B71-484C-9F62-212644F0E0A8}">
  <sheetPr codeName="Blad2"/>
  <dimension ref="A1:F23"/>
  <sheetViews>
    <sheetView workbookViewId="0">
      <selection activeCell="G27" sqref="G27"/>
    </sheetView>
  </sheetViews>
  <sheetFormatPr defaultColWidth="11.42578125" defaultRowHeight="15" x14ac:dyDescent="0.25"/>
  <cols>
    <col min="1" max="1" width="11.42578125" style="1"/>
    <col min="2" max="2" width="24" style="1" customWidth="1"/>
    <col min="9" max="9" width="11.85546875" bestFit="1" customWidth="1"/>
  </cols>
  <sheetData>
    <row r="1" spans="1:6" ht="18.75" x14ac:dyDescent="0.25">
      <c r="A1" s="103" t="s">
        <v>11</v>
      </c>
      <c r="B1" s="103"/>
    </row>
    <row r="2" spans="1:6" ht="16.5" thickBot="1" x14ac:dyDescent="0.3">
      <c r="A2" s="3" t="s">
        <v>12</v>
      </c>
      <c r="B2" s="4" t="s">
        <v>13</v>
      </c>
      <c r="D2" s="2" t="s">
        <v>38</v>
      </c>
      <c r="E2" s="2" t="s">
        <v>39</v>
      </c>
      <c r="F2" s="2" t="s">
        <v>40</v>
      </c>
    </row>
    <row r="3" spans="1:6" x14ac:dyDescent="0.25">
      <c r="A3" s="47" t="s">
        <v>14</v>
      </c>
      <c r="B3" s="48">
        <v>0.5</v>
      </c>
      <c r="D3" s="2">
        <v>1</v>
      </c>
      <c r="E3" s="2">
        <v>8</v>
      </c>
      <c r="F3" s="2" t="s">
        <v>41</v>
      </c>
    </row>
    <row r="4" spans="1:6" x14ac:dyDescent="0.25">
      <c r="A4" s="7" t="s">
        <v>15</v>
      </c>
      <c r="B4" s="8">
        <v>0.8</v>
      </c>
      <c r="D4" s="2">
        <v>2</v>
      </c>
      <c r="E4" s="2">
        <v>8</v>
      </c>
      <c r="F4" s="2" t="s">
        <v>42</v>
      </c>
    </row>
    <row r="5" spans="1:6" x14ac:dyDescent="0.25">
      <c r="A5" s="9" t="s">
        <v>16</v>
      </c>
      <c r="B5" s="10">
        <v>5</v>
      </c>
      <c r="D5" s="2">
        <v>3</v>
      </c>
      <c r="E5" s="2">
        <v>8</v>
      </c>
      <c r="F5" s="2" t="s">
        <v>43</v>
      </c>
    </row>
    <row r="6" spans="1:6" x14ac:dyDescent="0.25">
      <c r="A6" s="11" t="s">
        <v>17</v>
      </c>
      <c r="B6" s="12">
        <v>0.7</v>
      </c>
      <c r="D6" s="2">
        <v>4</v>
      </c>
      <c r="E6" s="2">
        <v>8</v>
      </c>
      <c r="F6" s="2" t="s">
        <v>44</v>
      </c>
    </row>
    <row r="7" spans="1:6" x14ac:dyDescent="0.25">
      <c r="A7" s="13" t="s">
        <v>18</v>
      </c>
      <c r="B7" s="14">
        <v>1.2</v>
      </c>
      <c r="D7" s="2">
        <v>5</v>
      </c>
      <c r="E7" s="2">
        <v>7</v>
      </c>
      <c r="F7" s="2" t="s">
        <v>45</v>
      </c>
    </row>
    <row r="8" spans="1:6" x14ac:dyDescent="0.25">
      <c r="A8" s="15" t="s">
        <v>19</v>
      </c>
      <c r="B8" s="16">
        <v>0.1</v>
      </c>
    </row>
    <row r="9" spans="1:6" x14ac:dyDescent="0.25">
      <c r="A9" s="17" t="s">
        <v>20</v>
      </c>
      <c r="B9" s="18">
        <v>0.8</v>
      </c>
    </row>
    <row r="10" spans="1:6" x14ac:dyDescent="0.25">
      <c r="A10" s="19" t="s">
        <v>21</v>
      </c>
      <c r="B10" s="20">
        <v>1.4</v>
      </c>
    </row>
    <row r="11" spans="1:6" x14ac:dyDescent="0.25">
      <c r="A11" s="21" t="s">
        <v>22</v>
      </c>
      <c r="B11" s="22">
        <v>0.35</v>
      </c>
    </row>
    <row r="12" spans="1:6" x14ac:dyDescent="0.25">
      <c r="A12" s="23" t="s">
        <v>23</v>
      </c>
      <c r="B12" s="24">
        <v>0.45</v>
      </c>
    </row>
    <row r="13" spans="1:6" x14ac:dyDescent="0.25">
      <c r="A13" s="25" t="s">
        <v>24</v>
      </c>
      <c r="B13" s="26">
        <v>0.95</v>
      </c>
    </row>
    <row r="14" spans="1:6" x14ac:dyDescent="0.25">
      <c r="A14" s="27" t="s">
        <v>24</v>
      </c>
      <c r="B14" s="28">
        <v>1.8</v>
      </c>
    </row>
    <row r="15" spans="1:6" x14ac:dyDescent="0.25">
      <c r="A15" s="29" t="s">
        <v>25</v>
      </c>
      <c r="B15" s="30">
        <v>0.75</v>
      </c>
    </row>
    <row r="16" spans="1:6" x14ac:dyDescent="0.25">
      <c r="A16" s="31" t="s">
        <v>26</v>
      </c>
      <c r="B16" s="32">
        <v>0.7</v>
      </c>
    </row>
    <row r="17" spans="1:2" x14ac:dyDescent="0.25">
      <c r="A17" s="33" t="s">
        <v>27</v>
      </c>
      <c r="B17" s="34">
        <v>0.4</v>
      </c>
    </row>
    <row r="18" spans="1:2" x14ac:dyDescent="0.25">
      <c r="A18" s="35" t="s">
        <v>28</v>
      </c>
      <c r="B18" s="36">
        <v>0.2</v>
      </c>
    </row>
    <row r="19" spans="1:2" x14ac:dyDescent="0.25">
      <c r="A19" s="37" t="s">
        <v>29</v>
      </c>
      <c r="B19" s="38">
        <v>1.1499999999999999</v>
      </c>
    </row>
    <row r="20" spans="1:2" x14ac:dyDescent="0.25">
      <c r="A20" s="39" t="s">
        <v>30</v>
      </c>
      <c r="B20" s="40">
        <v>1.7</v>
      </c>
    </row>
    <row r="21" spans="1:2" x14ac:dyDescent="0.25">
      <c r="A21" s="41" t="s">
        <v>31</v>
      </c>
      <c r="B21" s="42">
        <v>2.1</v>
      </c>
    </row>
    <row r="22" spans="1:2" x14ac:dyDescent="0.25">
      <c r="A22" s="43" t="s">
        <v>32</v>
      </c>
      <c r="B22" s="44">
        <v>1.3</v>
      </c>
    </row>
    <row r="23" spans="1:2" x14ac:dyDescent="0.25">
      <c r="A23" s="49" t="s">
        <v>33</v>
      </c>
      <c r="B23" s="50">
        <v>1</v>
      </c>
    </row>
  </sheetData>
  <mergeCells count="1">
    <mergeCell ref="A1:B1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Planning Final</vt:lpstr>
      <vt:lpstr>Base de Données</vt:lpstr>
      <vt:lpstr>debut_heure</vt:lpstr>
      <vt:lpstr>debut_jour</vt:lpstr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Chéron</dc:creator>
  <cp:lastModifiedBy>Bart Strubbe</cp:lastModifiedBy>
  <dcterms:created xsi:type="dcterms:W3CDTF">2024-08-22T17:43:26Z</dcterms:created>
  <dcterms:modified xsi:type="dcterms:W3CDTF">2024-08-29T07:24:33Z</dcterms:modified>
</cp:coreProperties>
</file>