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B74A3D4-BF70-4142-9634-8DDCA1ACA974}" xr6:coauthVersionLast="47" xr6:coauthVersionMax="47" xr10:uidLastSave="{00000000-0000-0000-0000-000000000000}"/>
  <bookViews>
    <workbookView xWindow="-120" yWindow="-120" windowWidth="29040" windowHeight="15990" xr2:uid="{2BACF624-7EA2-457C-8028-5545B449C759}"/>
  </bookViews>
  <sheets>
    <sheet name="Planning Final" sheetId="1" r:id="rId1"/>
    <sheet name="Base de 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4" i="1" l="1"/>
  <c r="Q34" i="1"/>
  <c r="E30" i="1"/>
  <c r="F30" i="1"/>
  <c r="T6" i="1" s="1"/>
  <c r="G30" i="1"/>
  <c r="H30" i="1"/>
  <c r="I30" i="1"/>
  <c r="J30" i="1"/>
  <c r="T8" i="1" s="1"/>
  <c r="K30" i="1"/>
  <c r="L30" i="1"/>
  <c r="M30" i="1"/>
  <c r="N30" i="1"/>
  <c r="T10" i="1" s="1"/>
  <c r="T9" i="1"/>
  <c r="T7" i="1"/>
  <c r="T11" i="1"/>
  <c r="B20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T5" i="1" l="1"/>
  <c r="T12" i="1" s="1"/>
</calcChain>
</file>

<file path=xl/sharedStrings.xml><?xml version="1.0" encoding="utf-8"?>
<sst xmlns="http://schemas.openxmlformats.org/spreadsheetml/2006/main" count="175" uniqueCount="59">
  <si>
    <t>ARTICLE</t>
  </si>
  <si>
    <t>TEMPS/UNITE</t>
  </si>
  <si>
    <t>QUANTITE A PRODUIRE</t>
  </si>
  <si>
    <t>LUNDI (8h)</t>
  </si>
  <si>
    <t>MARDI (8h)</t>
  </si>
  <si>
    <t>MERCREDI (8h)</t>
  </si>
  <si>
    <t>JEUDI (8h)</t>
  </si>
  <si>
    <t>VENDREDI (7h)</t>
  </si>
  <si>
    <t>Temps</t>
  </si>
  <si>
    <t>PLANNING SEMAINE</t>
  </si>
  <si>
    <t>PRODUCTION SEMAINE</t>
  </si>
  <si>
    <t>Solde Semaine +1</t>
  </si>
  <si>
    <t>Base de Données</t>
  </si>
  <si>
    <t>Article</t>
  </si>
  <si>
    <t>Temps de Production</t>
  </si>
  <si>
    <t>Art-01</t>
  </si>
  <si>
    <t>Art-02</t>
  </si>
  <si>
    <t>Art-03</t>
  </si>
  <si>
    <t>Art-04</t>
  </si>
  <si>
    <t>Art-05</t>
  </si>
  <si>
    <t>Art-06</t>
  </si>
  <si>
    <t>Art-07</t>
  </si>
  <si>
    <t>Art-08</t>
  </si>
  <si>
    <t>Art-09</t>
  </si>
  <si>
    <t>Art-10</t>
  </si>
  <si>
    <t>Art-11</t>
  </si>
  <si>
    <t>Art-12</t>
  </si>
  <si>
    <t>Art-13</t>
  </si>
  <si>
    <t>Art-14</t>
  </si>
  <si>
    <t>Art-15</t>
  </si>
  <si>
    <t>Art-16</t>
  </si>
  <si>
    <t>Art-17</t>
  </si>
  <si>
    <t>Art-18</t>
  </si>
  <si>
    <t>Art-19</t>
  </si>
  <si>
    <t>Art-20</t>
  </si>
  <si>
    <t>Temps2</t>
  </si>
  <si>
    <t>Temps3</t>
  </si>
  <si>
    <t>Temps4</t>
  </si>
  <si>
    <t>Temps5</t>
  </si>
  <si>
    <t>jour</t>
  </si>
  <si>
    <t>heures</t>
  </si>
  <si>
    <t>nom</t>
  </si>
  <si>
    <t>lun</t>
  </si>
  <si>
    <t>mar</t>
  </si>
  <si>
    <t>mer</t>
  </si>
  <si>
    <t>jeu</t>
  </si>
  <si>
    <t>ven</t>
  </si>
  <si>
    <t>Art-11***</t>
  </si>
  <si>
    <t>Art-13***</t>
  </si>
  <si>
    <t>Art-03***</t>
  </si>
  <si>
    <t>Art-04***</t>
  </si>
  <si>
    <t>total</t>
  </si>
  <si>
    <t>lundi</t>
  </si>
  <si>
    <t>mardi</t>
  </si>
  <si>
    <t>mercredi</t>
  </si>
  <si>
    <t>jeudi</t>
  </si>
  <si>
    <t>vendredi</t>
  </si>
  <si>
    <t>sem. Suiv.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</si>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</sst>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medium">
        <color rgb="FFFF0000"/>
      </top>
      <bottom/>
      <diagonal/>
    </border>
    <border>
      <left/>
      <right style="thick">
        <color rgb="FFFF0000"/>
      </right>
      <top style="medium">
        <color rgb="FFFF0000"/>
      </top>
      <bottom/>
      <diagonal/>
    </border>
    <border>
      <left style="thick">
        <color rgb="FFFF0000"/>
      </left>
      <right/>
      <top/>
      <bottom style="medium">
        <color rgb="FFFF0000"/>
      </bottom>
      <diagonal/>
    </border>
    <border>
      <left/>
      <right style="thick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2" borderId="8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12" borderId="9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/>
    </xf>
    <xf numFmtId="0" fontId="0" fillId="15" borderId="8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6" borderId="8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21" borderId="9" xfId="0" applyFill="1" applyBorder="1" applyAlignment="1">
      <alignment horizontal="center" vertical="center"/>
    </xf>
    <xf numFmtId="0" fontId="0" fillId="21" borderId="4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0" fillId="19" borderId="8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15" borderId="2" xfId="0" applyNumberFormat="1" applyFill="1" applyBorder="1" applyAlignment="1">
      <alignment horizontal="center" vertical="center"/>
    </xf>
    <xf numFmtId="2" fontId="0" fillId="15" borderId="10" xfId="0" applyNumberFormat="1" applyFill="1" applyBorder="1" applyAlignment="1">
      <alignment horizontal="center" vertical="center"/>
    </xf>
    <xf numFmtId="2" fontId="0" fillId="15" borderId="3" xfId="0" applyNumberFormat="1" applyFill="1" applyBorder="1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0" fillId="3" borderId="10" xfId="0" applyNumberFormat="1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12" borderId="2" xfId="0" applyNumberFormat="1" applyFill="1" applyBorder="1" applyAlignment="1">
      <alignment horizontal="center" vertical="center"/>
    </xf>
    <xf numFmtId="2" fontId="0" fillId="12" borderId="10" xfId="0" applyNumberFormat="1" applyFill="1" applyBorder="1" applyAlignment="1">
      <alignment horizontal="center" vertical="center"/>
    </xf>
    <xf numFmtId="2" fontId="0" fillId="12" borderId="3" xfId="0" applyNumberFormat="1" applyFill="1" applyBorder="1" applyAlignment="1">
      <alignment horizontal="center" vertical="center"/>
    </xf>
    <xf numFmtId="2" fontId="0" fillId="11" borderId="2" xfId="0" applyNumberFormat="1" applyFill="1" applyBorder="1" applyAlignment="1">
      <alignment horizontal="center"/>
    </xf>
    <xf numFmtId="2" fontId="0" fillId="11" borderId="10" xfId="0" applyNumberFormat="1" applyFill="1" applyBorder="1" applyAlignment="1">
      <alignment horizontal="center"/>
    </xf>
    <xf numFmtId="2" fontId="0" fillId="11" borderId="3" xfId="0" applyNumberFormat="1" applyFill="1" applyBorder="1" applyAlignment="1">
      <alignment horizontal="center"/>
    </xf>
    <xf numFmtId="2" fontId="0" fillId="16" borderId="2" xfId="0" applyNumberFormat="1" applyFill="1" applyBorder="1" applyAlignment="1">
      <alignment horizontal="center"/>
    </xf>
    <xf numFmtId="2" fontId="0" fillId="16" borderId="10" xfId="0" applyNumberFormat="1" applyFill="1" applyBorder="1" applyAlignment="1">
      <alignment horizontal="center"/>
    </xf>
    <xf numFmtId="2" fontId="0" fillId="16" borderId="3" xfId="0" applyNumberFormat="1" applyFill="1" applyBorder="1" applyAlignment="1">
      <alignment horizontal="center"/>
    </xf>
    <xf numFmtId="2" fontId="0" fillId="5" borderId="2" xfId="0" applyNumberFormat="1" applyFill="1" applyBorder="1" applyAlignment="1">
      <alignment horizontal="center"/>
    </xf>
    <xf numFmtId="2" fontId="0" fillId="5" borderId="10" xfId="0" applyNumberFormat="1" applyFill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21" borderId="2" xfId="0" applyNumberFormat="1" applyFill="1" applyBorder="1" applyAlignment="1">
      <alignment horizontal="center" vertical="center"/>
    </xf>
    <xf numFmtId="2" fontId="0" fillId="21" borderId="10" xfId="0" applyNumberFormat="1" applyFill="1" applyBorder="1" applyAlignment="1">
      <alignment horizontal="center" vertical="center"/>
    </xf>
    <xf numFmtId="2" fontId="0" fillId="21" borderId="3" xfId="0" applyNumberFormat="1" applyFill="1" applyBorder="1" applyAlignment="1">
      <alignment horizontal="center" vertical="center"/>
    </xf>
    <xf numFmtId="2" fontId="0" fillId="19" borderId="2" xfId="0" applyNumberFormat="1" applyFill="1" applyBorder="1" applyAlignment="1">
      <alignment horizontal="center" vertical="center"/>
    </xf>
    <xf numFmtId="2" fontId="0" fillId="19" borderId="10" xfId="0" applyNumberFormat="1" applyFill="1" applyBorder="1" applyAlignment="1">
      <alignment horizontal="center" vertical="center"/>
    </xf>
    <xf numFmtId="2" fontId="0" fillId="19" borderId="3" xfId="0" applyNumberFormat="1" applyFill="1" applyBorder="1" applyAlignment="1">
      <alignment horizontal="center" vertical="center"/>
    </xf>
    <xf numFmtId="2" fontId="0" fillId="12" borderId="1" xfId="0" applyNumberFormat="1" applyFill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2" fontId="0" fillId="6" borderId="10" xfId="0" applyNumberForma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2" fontId="0" fillId="6" borderId="2" xfId="0" applyNumberForma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3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2" fontId="0" fillId="12" borderId="2" xfId="0" applyNumberFormat="1" applyFill="1" applyBorder="1" applyAlignment="1">
      <alignment horizontal="center"/>
    </xf>
    <xf numFmtId="2" fontId="0" fillId="12" borderId="10" xfId="0" applyNumberFormat="1" applyFill="1" applyBorder="1" applyAlignment="1">
      <alignment horizontal="center"/>
    </xf>
    <xf numFmtId="2" fontId="0" fillId="12" borderId="3" xfId="0" applyNumberFormat="1" applyFill="1" applyBorder="1" applyAlignment="1">
      <alignment horizontal="center"/>
    </xf>
    <xf numFmtId="0" fontId="0" fillId="8" borderId="8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3" fillId="0" borderId="12" xfId="0" applyFont="1" applyBorder="1"/>
    <xf numFmtId="0" fontId="3" fillId="0" borderId="13" xfId="0" applyFont="1" applyBorder="1"/>
    <xf numFmtId="0" fontId="3" fillId="0" borderId="16" xfId="0" applyFont="1" applyBorder="1"/>
    <xf numFmtId="0" fontId="3" fillId="0" borderId="17" xfId="0" applyFont="1" applyBorder="1"/>
    <xf numFmtId="0" fontId="3" fillId="23" borderId="14" xfId="0" applyFont="1" applyFill="1" applyBorder="1"/>
    <xf numFmtId="0" fontId="3" fillId="23" borderId="15" xfId="0" applyFont="1" applyFill="1" applyBorder="1"/>
    <xf numFmtId="2" fontId="0" fillId="8" borderId="2" xfId="0" applyNumberFormat="1" applyFill="1" applyBorder="1" applyAlignment="1">
      <alignment horizontal="center"/>
    </xf>
    <xf numFmtId="2" fontId="0" fillId="8" borderId="3" xfId="0" applyNumberFormat="1" applyFill="1" applyBorder="1" applyAlignment="1">
      <alignment horizontal="center"/>
    </xf>
    <xf numFmtId="0" fontId="3" fillId="23" borderId="18" xfId="0" applyFont="1" applyFill="1" applyBorder="1"/>
    <xf numFmtId="0" fontId="3" fillId="23" borderId="19" xfId="0" applyFont="1" applyFill="1" applyBorder="1"/>
    <xf numFmtId="0" fontId="3" fillId="23" borderId="20" xfId="0" applyFont="1" applyFill="1" applyBorder="1"/>
    <xf numFmtId="0" fontId="3" fillId="23" borderId="21" xfId="0" applyFont="1" applyFill="1" applyBorder="1"/>
  </cellXfs>
  <cellStyles count="1">
    <cellStyle name="Standaard" xfId="0" builtinId="0"/>
  </cellStyles>
  <dxfs count="55"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right style="thin">
          <color auto="1"/>
        </right>
        <vertical/>
        <horizontal/>
      </border>
    </dxf>
    <dxf>
      <fill>
        <patternFill patternType="none">
          <bgColor auto="1"/>
        </patternFill>
      </fill>
    </dxf>
    <dxf>
      <numFmt numFmtId="2" formatCode="0.00"/>
      <fill>
        <patternFill patternType="solid">
          <fgColor indexed="64"/>
          <bgColor indexed="5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solid">
          <fgColor indexed="64"/>
          <bgColor indexed="5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ill>
        <patternFill patternType="solid">
          <fgColor indexed="64"/>
          <bgColor indexed="53"/>
        </patternFill>
      </fill>
    </dxf>
    <dxf>
      <numFmt numFmtId="2" formatCode="0.00"/>
      <fill>
        <patternFill patternType="solid">
          <fgColor indexed="64"/>
          <bgColor indexed="5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</border>
    </dxf>
    <dxf>
      <fill>
        <patternFill patternType="solid">
          <fgColor indexed="64"/>
          <bgColor indexed="5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top style="thin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auto="1"/>
        </patternFill>
      </fill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medium">
          <color auto="1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571500</xdr:colOff>
      <xdr:row>0</xdr:row>
      <xdr:rowOff>104775</xdr:rowOff>
    </xdr:from>
    <xdr:to>
      <xdr:col>18</xdr:col>
      <xdr:colOff>523875</xdr:colOff>
      <xdr:row>3</xdr:row>
      <xdr:rowOff>9525</xdr:rowOff>
    </xdr:to>
    <xdr:sp macro="Planning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BAC9B995-4B6F-D7B9-7FE2-A69ED859F44D}"/>
            </a:ext>
          </a:extLst>
        </xdr:cNvPr>
        <xdr:cNvSpPr/>
      </xdr:nvSpPr>
      <xdr:spPr>
        <a:xfrm>
          <a:off x="15259050" y="104775"/>
          <a:ext cx="1476375" cy="5238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 b="1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0E7C69-C137-458A-85F8-45E9B3966D46}" name="Tbl_Production" displayName="Tbl_Production" ref="A2:C20" totalsRowShown="0" headerRowDxfId="54" dataDxfId="52" headerRowBorderDxfId="53" tableBorderDxfId="51">
  <autoFilter ref="A2:C20" xr:uid="{AB0E7C69-C137-458A-85F8-45E9B3966D46}"/>
  <tableColumns count="3">
    <tableColumn id="1" xr3:uid="{1E82B391-7C4D-4361-9F53-29C4FE55A4F3}" name="ARTICLE" dataDxfId="50">
      <calculatedColumnFormula array="1">INDEX(Tbl_BDD[Article],RANDBETWEEN(1,20))</calculatedColumnFormula>
    </tableColumn>
    <tableColumn id="2" xr3:uid="{AB28F2C2-8382-4F04-A4C2-F75E97FB3471}" name="TEMPS/UNITE" dataDxfId="30">
      <calculatedColumnFormula>VLOOKUP(Tbl_Production[[#This Row],[ARTICLE]],Tbl_BDD[],2,0)</calculatedColumnFormula>
    </tableColumn>
    <tableColumn id="3" xr3:uid="{9E7616E6-6C76-4CC9-A246-7F02C7EB779F}" name="QUANTITE A PRODUIRE" dataDxfId="49">
      <calculatedColumnFormula>RANDBETWEEN(1,20)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187E861-686A-4859-8A75-FED36F6E149A}" name="Tbl_Planning" displayName="Tbl_Planning" ref="E2:N30" totalsRowCount="1" headerRowDxfId="48" dataDxfId="19" totalsRowDxfId="45" headerRowBorderDxfId="47" tableBorderDxfId="46">
  <autoFilter ref="E2:N29" xr:uid="{8187E861-686A-4859-8A75-FED36F6E149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10C40F11-E7F3-47FC-B9EA-039692B7B9B1}" name="LUNDI (8h)" totalsRowFunction="count" dataDxfId="9" totalsRowDxfId="20"/>
    <tableColumn id="2" xr3:uid="{0EC91B94-6586-4C3B-BC36-D6A88465FE93}" name="Temps" totalsRowFunction="sum" dataDxfId="7" totalsRowDxfId="21"/>
    <tableColumn id="3" xr3:uid="{1A0680E3-89B8-4C6C-A70C-ADCFD78B691C}" name="MARDI (8h)" totalsRowFunction="count" dataDxfId="8" totalsRowDxfId="22"/>
    <tableColumn id="4" xr3:uid="{5B121CD4-10D7-4F42-8E4A-BF83DD08D987}" name="Temps2" totalsRowFunction="sum" dataDxfId="18" totalsRowDxfId="23"/>
    <tableColumn id="5" xr3:uid="{0AC9C005-3A92-4D95-A64D-EB40CCAA5155}" name="MERCREDI (8h)" totalsRowFunction="count" dataDxfId="17" totalsRowDxfId="24"/>
    <tableColumn id="6" xr3:uid="{6382C084-97BD-47F3-8901-A4F7E2354F42}" name="Temps3" totalsRowFunction="sum" dataDxfId="16" totalsRowDxfId="25"/>
    <tableColumn id="7" xr3:uid="{FBA1AFE1-9A1B-48EC-8E3A-61FA6E7B0384}" name="JEUDI (8h)" totalsRowFunction="count" dataDxfId="15" totalsRowDxfId="26"/>
    <tableColumn id="8" xr3:uid="{F5A6C8AF-6973-47C6-BBD7-33863C66309A}" name="Temps4" totalsRowFunction="sum" dataDxfId="14" totalsRowDxfId="27"/>
    <tableColumn id="9" xr3:uid="{E8022023-773B-40CC-90BB-C138709887A6}" name="VENDREDI (7h)" totalsRowFunction="count" dataDxfId="13" totalsRowDxfId="28"/>
    <tableColumn id="10" xr3:uid="{851D80D1-955A-437D-9502-7B29423939CD}" name="Temps5" totalsRowFunction="sum" dataDxfId="12" totalsRowDxfId="2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94DC25-DB46-4351-A208-8D140B3756DF}" name="Tbl_Semaine" displayName="Tbl_Semaine" ref="P2:Q34" totalsRowCount="1" headerRowDxfId="44" dataDxfId="6" headerRowBorderDxfId="43" tableBorderDxfId="42" totalsRowBorderDxfId="41">
  <autoFilter ref="P2:Q33" xr:uid="{5394DC25-DB46-4351-A208-8D140B3756DF}"/>
  <tableColumns count="2">
    <tableColumn id="1" xr3:uid="{D513E79C-2B61-41A6-85B5-CFFAB1182DF1}" name="Article" totalsRowFunction="count" dataDxfId="5" totalsRowDxfId="10"/>
    <tableColumn id="2" xr3:uid="{D957A2E7-9059-4F11-B043-F99AA00B2A7A}" name="TEMPS/UNITE" totalsRowFunction="sum" dataDxfId="4" totalsRow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7E8BC7-F52C-4277-948A-9D505970DEE2}" name="Tbl_BDD" displayName="Tbl_BDD" ref="A2:B23" totalsRowShown="0" headerRowDxfId="40" headerRowBorderDxfId="39" tableBorderDxfId="38">
  <autoFilter ref="A2:B23" xr:uid="{4F7E8BC7-F52C-4277-948A-9D505970DEE2}"/>
  <tableColumns count="2">
    <tableColumn id="1" xr3:uid="{F4EB3615-2338-4116-A84E-36BD0147ED86}" name="Article" dataDxfId="37"/>
    <tableColumn id="2" xr3:uid="{995077C3-8AAE-41F5-B60E-177BC13E710B}" name="Temps de Production" dataDxfId="3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928CFF5-0D7B-4E6A-9963-6A6A8977CFAF}" name="Tbl_Jours" displayName="Tbl_Jours" ref="D2:F7" totalsRowShown="0" headerRowDxfId="35" dataDxfId="34">
  <autoFilter ref="D2:F7" xr:uid="{C928CFF5-0D7B-4E6A-9963-6A6A8977CFAF}"/>
  <tableColumns count="3">
    <tableColumn id="1" xr3:uid="{FF180D0F-58C4-40DC-A2E2-2BD91C74E03D}" name="jour" dataDxfId="33"/>
    <tableColumn id="2" xr3:uid="{956C3DEB-D7A6-4C31-A26D-32F20E991C96}" name="heures" dataDxfId="32"/>
    <tableColumn id="3" xr3:uid="{E8E066B3-7D14-4A7C-9F11-69B41051F4CA}" name="nom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9B64A-EA33-4C14-97E9-F00E31C5B368}">
  <sheetPr codeName="Blad1"/>
  <dimension ref="A1:T34"/>
  <sheetViews>
    <sheetView tabSelected="1" workbookViewId="0">
      <selection activeCell="B11" sqref="B11"/>
    </sheetView>
  </sheetViews>
  <sheetFormatPr defaultColWidth="11.42578125" defaultRowHeight="15" x14ac:dyDescent="0.25"/>
  <cols>
    <col min="1" max="1" width="11.42578125" style="2"/>
    <col min="2" max="2" width="15.42578125" style="52" customWidth="1"/>
    <col min="3" max="3" width="23.5703125" style="2" customWidth="1"/>
    <col min="5" max="5" width="12.7109375" style="1" customWidth="1"/>
    <col min="6" max="6" width="9" style="77" customWidth="1"/>
    <col min="7" max="7" width="13.28515625" style="1" customWidth="1"/>
    <col min="8" max="8" width="10" style="77" customWidth="1"/>
    <col min="9" max="9" width="16.28515625" style="1" customWidth="1"/>
    <col min="10" max="10" width="10" style="77" customWidth="1"/>
    <col min="11" max="11" width="12.140625" style="1" customWidth="1"/>
    <col min="12" max="12" width="10" style="77" customWidth="1"/>
    <col min="13" max="13" width="16.140625" style="1" customWidth="1"/>
    <col min="14" max="14" width="10" style="77" customWidth="1"/>
    <col min="15" max="15" width="13.5703125" style="1" customWidth="1"/>
    <col min="16" max="16" width="11.42578125" style="1"/>
    <col min="17" max="17" width="13.85546875" style="52" customWidth="1"/>
    <col min="18" max="18" width="22.85546875" style="2" customWidth="1"/>
  </cols>
  <sheetData>
    <row r="1" spans="1:20" ht="18.75" x14ac:dyDescent="0.25">
      <c r="A1" s="112" t="s">
        <v>10</v>
      </c>
      <c r="B1" s="112"/>
      <c r="C1" s="112"/>
      <c r="E1" s="109" t="s">
        <v>9</v>
      </c>
      <c r="F1" s="109"/>
      <c r="G1" s="109"/>
      <c r="H1" s="109"/>
      <c r="I1" s="109"/>
      <c r="J1" s="109"/>
      <c r="K1" s="109"/>
      <c r="L1" s="109"/>
      <c r="M1" s="109"/>
      <c r="N1" s="109"/>
      <c r="P1" s="110" t="s">
        <v>11</v>
      </c>
      <c r="Q1" s="111"/>
    </row>
    <row r="2" spans="1:20" x14ac:dyDescent="0.25">
      <c r="A2" s="1" t="s">
        <v>0</v>
      </c>
      <c r="B2" s="52" t="s">
        <v>1</v>
      </c>
      <c r="C2" s="2" t="s">
        <v>2</v>
      </c>
      <c r="E2" s="1" t="s">
        <v>3</v>
      </c>
      <c r="F2" s="77" t="s">
        <v>8</v>
      </c>
      <c r="G2" s="6" t="s">
        <v>4</v>
      </c>
      <c r="H2" s="87" t="s">
        <v>35</v>
      </c>
      <c r="I2" s="1" t="s">
        <v>5</v>
      </c>
      <c r="J2" s="77" t="s">
        <v>36</v>
      </c>
      <c r="K2" s="6" t="s">
        <v>6</v>
      </c>
      <c r="L2" s="87" t="s">
        <v>37</v>
      </c>
      <c r="M2" s="1" t="s">
        <v>7</v>
      </c>
      <c r="N2" s="77" t="s">
        <v>38</v>
      </c>
      <c r="P2" s="1" t="s">
        <v>13</v>
      </c>
      <c r="Q2" s="52" t="s">
        <v>1</v>
      </c>
    </row>
    <row r="3" spans="1:20" x14ac:dyDescent="0.25">
      <c r="A3" s="1" t="s">
        <v>27</v>
      </c>
      <c r="B3" s="52">
        <f>VLOOKUP(Tbl_Production[[#This Row],[ARTICLE]],Tbl_BDD[],2,0)</f>
        <v>3.5</v>
      </c>
      <c r="C3" s="2">
        <v>5</v>
      </c>
      <c r="E3" s="58" t="s">
        <v>27</v>
      </c>
      <c r="F3" s="78">
        <v>3.5</v>
      </c>
      <c r="G3" s="61" t="s">
        <v>49</v>
      </c>
      <c r="H3" s="81">
        <v>12.5</v>
      </c>
      <c r="I3" s="61" t="s">
        <v>49</v>
      </c>
      <c r="J3" s="81">
        <v>7.5</v>
      </c>
      <c r="K3" s="64" t="s">
        <v>47</v>
      </c>
      <c r="L3" s="126">
        <v>3.5</v>
      </c>
      <c r="M3" s="70" t="s">
        <v>50</v>
      </c>
      <c r="N3" s="123">
        <v>2</v>
      </c>
      <c r="P3" s="58" t="s">
        <v>48</v>
      </c>
      <c r="Q3" s="78">
        <v>1</v>
      </c>
    </row>
    <row r="4" spans="1:20" ht="15.75" thickBot="1" x14ac:dyDescent="0.3">
      <c r="A4" s="1" t="s">
        <v>17</v>
      </c>
      <c r="B4" s="52">
        <f>VLOOKUP(Tbl_Production[[#This Row],[ARTICLE]],Tbl_BDD[],2,0)</f>
        <v>25</v>
      </c>
      <c r="C4" s="2">
        <v>7</v>
      </c>
      <c r="E4" s="57" t="s">
        <v>27</v>
      </c>
      <c r="F4" s="79">
        <v>3.5</v>
      </c>
      <c r="G4" s="60" t="s">
        <v>17</v>
      </c>
      <c r="H4" s="82">
        <v>25</v>
      </c>
      <c r="I4" s="45" t="s">
        <v>17</v>
      </c>
      <c r="J4" s="83">
        <v>25</v>
      </c>
      <c r="K4" s="53" t="s">
        <v>25</v>
      </c>
      <c r="L4" s="127">
        <v>4.75</v>
      </c>
      <c r="M4" s="56" t="s">
        <v>18</v>
      </c>
      <c r="N4" s="122">
        <v>3.5</v>
      </c>
      <c r="P4" s="59" t="s">
        <v>27</v>
      </c>
      <c r="Q4" s="80">
        <v>3.5</v>
      </c>
    </row>
    <row r="5" spans="1:20" ht="17.25" thickTop="1" thickBot="1" x14ac:dyDescent="0.3">
      <c r="A5" s="1" t="s">
        <v>16</v>
      </c>
      <c r="B5" s="52">
        <f>VLOOKUP(Tbl_Production[[#This Row],[ARTICLE]],Tbl_BDD[],2,0)</f>
        <v>4</v>
      </c>
      <c r="C5" s="2">
        <v>8</v>
      </c>
      <c r="E5" s="57" t="s">
        <v>27</v>
      </c>
      <c r="F5" s="79">
        <v>3.5</v>
      </c>
      <c r="G5" s="60" t="s">
        <v>17</v>
      </c>
      <c r="H5" s="82">
        <v>25</v>
      </c>
      <c r="I5" s="63" t="s">
        <v>16</v>
      </c>
      <c r="J5" s="84">
        <v>4</v>
      </c>
      <c r="K5" s="53" t="s">
        <v>25</v>
      </c>
      <c r="L5" s="127">
        <v>4.75</v>
      </c>
      <c r="M5" s="56" t="s">
        <v>18</v>
      </c>
      <c r="N5" s="122">
        <v>3.5</v>
      </c>
      <c r="P5" s="51" t="s">
        <v>33</v>
      </c>
      <c r="Q5" s="101">
        <v>6.5</v>
      </c>
      <c r="S5" s="131" t="s">
        <v>51</v>
      </c>
      <c r="T5" s="132">
        <f>SUMPRODUCT(Tbl_Production[TEMPS/UNITE],Tbl_Production[QUANTITE A PRODUIRE])</f>
        <v>576.25</v>
      </c>
    </row>
    <row r="6" spans="1:20" ht="15.75" x14ac:dyDescent="0.25">
      <c r="A6" s="1" t="s">
        <v>25</v>
      </c>
      <c r="B6" s="52">
        <f>VLOOKUP(Tbl_Production[[#This Row],[ARTICLE]],Tbl_BDD[],2,0)</f>
        <v>4.75</v>
      </c>
      <c r="C6" s="2">
        <v>3</v>
      </c>
      <c r="E6" s="57" t="s">
        <v>27</v>
      </c>
      <c r="F6" s="79">
        <v>3.5</v>
      </c>
      <c r="G6" s="45" t="s">
        <v>49</v>
      </c>
      <c r="H6" s="83">
        <v>17.5</v>
      </c>
      <c r="I6" s="62" t="s">
        <v>16</v>
      </c>
      <c r="J6" s="85">
        <v>4</v>
      </c>
      <c r="K6" s="53" t="s">
        <v>25</v>
      </c>
      <c r="L6" s="127">
        <v>4.75</v>
      </c>
      <c r="M6" s="71" t="s">
        <v>18</v>
      </c>
      <c r="N6" s="124">
        <v>3.5</v>
      </c>
      <c r="P6" s="72" t="s">
        <v>33</v>
      </c>
      <c r="Q6" s="102">
        <v>6.5</v>
      </c>
      <c r="S6" s="139" t="s">
        <v>52</v>
      </c>
      <c r="T6" s="140">
        <f>+Tbl_Planning[[#Totals],[Temps]]</f>
        <v>80</v>
      </c>
    </row>
    <row r="7" spans="1:20" ht="15.75" x14ac:dyDescent="0.25">
      <c r="A7" s="1" t="s">
        <v>25</v>
      </c>
      <c r="B7" s="52">
        <f>VLOOKUP(Tbl_Production[[#This Row],[ARTICLE]],Tbl_BDD[],2,0)</f>
        <v>4.75</v>
      </c>
      <c r="C7" s="2">
        <v>6</v>
      </c>
      <c r="E7" s="59" t="s">
        <v>27</v>
      </c>
      <c r="F7" s="80">
        <v>3.5</v>
      </c>
      <c r="G7" s="115"/>
      <c r="H7" s="114"/>
      <c r="I7" s="62" t="s">
        <v>16</v>
      </c>
      <c r="J7" s="85">
        <v>4</v>
      </c>
      <c r="K7" s="53" t="s">
        <v>25</v>
      </c>
      <c r="L7" s="127">
        <v>4.75</v>
      </c>
      <c r="M7" s="118" t="s">
        <v>19</v>
      </c>
      <c r="N7" s="119">
        <v>6</v>
      </c>
      <c r="P7" s="73" t="s">
        <v>33</v>
      </c>
      <c r="Q7" s="103">
        <v>6.5</v>
      </c>
      <c r="S7" s="135" t="s">
        <v>53</v>
      </c>
      <c r="T7" s="136">
        <f>+Tbl_Planning[[#Totals],[Temps2]]</f>
        <v>80</v>
      </c>
    </row>
    <row r="8" spans="1:20" ht="15.75" x14ac:dyDescent="0.25">
      <c r="A8" s="1" t="s">
        <v>21</v>
      </c>
      <c r="B8" s="52">
        <f>VLOOKUP(Tbl_Production[[#This Row],[ARTICLE]],Tbl_BDD[],2,0)</f>
        <v>4</v>
      </c>
      <c r="C8" s="2">
        <v>2</v>
      </c>
      <c r="E8" s="61" t="s">
        <v>17</v>
      </c>
      <c r="F8" s="81">
        <v>25</v>
      </c>
      <c r="G8" s="113"/>
      <c r="H8" s="114"/>
      <c r="I8" s="62" t="s">
        <v>16</v>
      </c>
      <c r="J8" s="85">
        <v>4</v>
      </c>
      <c r="K8" s="65" t="s">
        <v>25</v>
      </c>
      <c r="L8" s="128">
        <v>4.75</v>
      </c>
      <c r="M8" s="116" t="s">
        <v>19</v>
      </c>
      <c r="N8" s="117">
        <v>6</v>
      </c>
      <c r="P8" s="58" t="s">
        <v>27</v>
      </c>
      <c r="Q8" s="78">
        <v>3.5</v>
      </c>
      <c r="S8" s="135" t="s">
        <v>54</v>
      </c>
      <c r="T8" s="136">
        <f>+Tbl_Planning[[#Totals],[Temps3]]</f>
        <v>80</v>
      </c>
    </row>
    <row r="9" spans="1:20" ht="15.75" x14ac:dyDescent="0.25">
      <c r="A9" s="1" t="s">
        <v>24</v>
      </c>
      <c r="B9" s="52">
        <f>VLOOKUP(Tbl_Production[[#This Row],[ARTICLE]],Tbl_BDD[],2,0)</f>
        <v>2.25</v>
      </c>
      <c r="C9" s="2">
        <v>5</v>
      </c>
      <c r="E9" s="60" t="s">
        <v>17</v>
      </c>
      <c r="F9" s="82">
        <v>25</v>
      </c>
      <c r="G9" s="113"/>
      <c r="H9" s="114"/>
      <c r="I9" s="62" t="s">
        <v>16</v>
      </c>
      <c r="J9" s="85">
        <v>4</v>
      </c>
      <c r="K9" s="129" t="s">
        <v>21</v>
      </c>
      <c r="L9" s="137">
        <v>4</v>
      </c>
      <c r="M9" s="116" t="s">
        <v>19</v>
      </c>
      <c r="N9" s="117">
        <v>6</v>
      </c>
      <c r="P9" s="57" t="s">
        <v>27</v>
      </c>
      <c r="Q9" s="79">
        <v>3.5</v>
      </c>
      <c r="S9" s="135" t="s">
        <v>55</v>
      </c>
      <c r="T9" s="136">
        <f>+Tbl_Planning[[#Totals],[Temps4]]</f>
        <v>80</v>
      </c>
    </row>
    <row r="10" spans="1:20" ht="15.75" x14ac:dyDescent="0.25">
      <c r="A10" s="1" t="s">
        <v>28</v>
      </c>
      <c r="B10" s="52">
        <f>VLOOKUP(Tbl_Production[[#This Row],[ARTICLE]],Tbl_BDD[],2,0)</f>
        <v>2</v>
      </c>
      <c r="C10" s="2">
        <v>9</v>
      </c>
      <c r="E10" s="45" t="s">
        <v>49</v>
      </c>
      <c r="F10" s="83">
        <v>12.5</v>
      </c>
      <c r="G10" s="113"/>
      <c r="H10" s="114"/>
      <c r="I10" s="62" t="s">
        <v>16</v>
      </c>
      <c r="J10" s="85">
        <v>4</v>
      </c>
      <c r="K10" s="130" t="s">
        <v>21</v>
      </c>
      <c r="L10" s="138">
        <v>4</v>
      </c>
      <c r="M10" s="116" t="s">
        <v>19</v>
      </c>
      <c r="N10" s="117">
        <v>6</v>
      </c>
      <c r="P10" s="59" t="s">
        <v>27</v>
      </c>
      <c r="Q10" s="80">
        <v>3.5</v>
      </c>
      <c r="S10" s="135" t="s">
        <v>56</v>
      </c>
      <c r="T10" s="136">
        <f>+Tbl_Planning[[#Totals],[Temps5]]</f>
        <v>70</v>
      </c>
    </row>
    <row r="11" spans="1:20" ht="16.5" thickBot="1" x14ac:dyDescent="0.3">
      <c r="A11" s="1" t="s">
        <v>18</v>
      </c>
      <c r="B11" s="52">
        <f>VLOOKUP(Tbl_Production[[#This Row],[ARTICLE]],Tbl_BDD[],2,0)</f>
        <v>3.5</v>
      </c>
      <c r="C11" s="2">
        <v>8</v>
      </c>
      <c r="E11" s="57"/>
      <c r="F11" s="79"/>
      <c r="G11" s="113"/>
      <c r="H11" s="114"/>
      <c r="I11" s="62" t="s">
        <v>16</v>
      </c>
      <c r="J11" s="85">
        <v>4</v>
      </c>
      <c r="K11" s="66" t="s">
        <v>24</v>
      </c>
      <c r="L11" s="91">
        <v>2.25</v>
      </c>
      <c r="M11" s="116" t="s">
        <v>19</v>
      </c>
      <c r="N11" s="117">
        <v>6</v>
      </c>
      <c r="P11" s="75" t="s">
        <v>31</v>
      </c>
      <c r="Q11" s="104">
        <v>8.5</v>
      </c>
      <c r="S11" s="141" t="s">
        <v>57</v>
      </c>
      <c r="T11" s="142">
        <f>+Tbl_Semaine[[#Totals],[TEMPS/UNITE]]</f>
        <v>186.25</v>
      </c>
    </row>
    <row r="12" spans="1:20" ht="16.5" thickBot="1" x14ac:dyDescent="0.3">
      <c r="A12" s="1" t="s">
        <v>19</v>
      </c>
      <c r="B12" s="52">
        <f>VLOOKUP(Tbl_Production[[#This Row],[ARTICLE]],Tbl_BDD[],2,0)</f>
        <v>6</v>
      </c>
      <c r="C12" s="2">
        <v>8</v>
      </c>
      <c r="E12" s="57"/>
      <c r="F12" s="79"/>
      <c r="G12" s="113"/>
      <c r="H12" s="114"/>
      <c r="I12" s="46" t="s">
        <v>16</v>
      </c>
      <c r="J12" s="86">
        <v>4</v>
      </c>
      <c r="K12" s="54" t="s">
        <v>24</v>
      </c>
      <c r="L12" s="92">
        <v>2.25</v>
      </c>
      <c r="M12" s="116" t="s">
        <v>19</v>
      </c>
      <c r="N12" s="117">
        <v>6</v>
      </c>
      <c r="P12" s="74" t="s">
        <v>31</v>
      </c>
      <c r="Q12" s="105">
        <v>8.5</v>
      </c>
      <c r="S12" s="133" t="s">
        <v>58</v>
      </c>
      <c r="T12" s="134">
        <f>+T5-SUM(T6:T11)</f>
        <v>0</v>
      </c>
    </row>
    <row r="13" spans="1:20" ht="15.75" thickTop="1" x14ac:dyDescent="0.25">
      <c r="A13" s="1" t="s">
        <v>27</v>
      </c>
      <c r="B13" s="52">
        <f>VLOOKUP(Tbl_Production[[#This Row],[ARTICLE]],Tbl_BDD[],2,0)</f>
        <v>3.5</v>
      </c>
      <c r="C13" s="2">
        <v>4</v>
      </c>
      <c r="E13" s="57"/>
      <c r="F13" s="79"/>
      <c r="G13" s="113"/>
      <c r="H13" s="114"/>
      <c r="I13" s="64" t="s">
        <v>25</v>
      </c>
      <c r="J13" s="88">
        <v>4.75</v>
      </c>
      <c r="K13" s="54" t="s">
        <v>24</v>
      </c>
      <c r="L13" s="92">
        <v>2.25</v>
      </c>
      <c r="M13" s="116" t="s">
        <v>19</v>
      </c>
      <c r="N13" s="117">
        <v>6</v>
      </c>
      <c r="P13" s="74" t="s">
        <v>31</v>
      </c>
      <c r="Q13" s="105">
        <v>8.5</v>
      </c>
    </row>
    <row r="14" spans="1:20" x14ac:dyDescent="0.25">
      <c r="A14" s="1" t="s">
        <v>33</v>
      </c>
      <c r="B14" s="52">
        <f>VLOOKUP(Tbl_Production[[#This Row],[ARTICLE]],Tbl_BDD[],2,0)</f>
        <v>6.5</v>
      </c>
      <c r="C14" s="2">
        <v>3</v>
      </c>
      <c r="E14" s="57"/>
      <c r="F14" s="79"/>
      <c r="G14" s="113"/>
      <c r="H14" s="114"/>
      <c r="I14" s="53" t="s">
        <v>25</v>
      </c>
      <c r="J14" s="89">
        <v>4.75</v>
      </c>
      <c r="K14" s="54" t="s">
        <v>24</v>
      </c>
      <c r="L14" s="92">
        <v>2.25</v>
      </c>
      <c r="M14" s="120" t="s">
        <v>19</v>
      </c>
      <c r="N14" s="121">
        <v>6</v>
      </c>
      <c r="P14" s="74" t="s">
        <v>31</v>
      </c>
      <c r="Q14" s="105">
        <v>8.5</v>
      </c>
    </row>
    <row r="15" spans="1:20" x14ac:dyDescent="0.25">
      <c r="A15" s="1" t="s">
        <v>27</v>
      </c>
      <c r="B15" s="52">
        <f>VLOOKUP(Tbl_Production[[#This Row],[ARTICLE]],Tbl_BDD[],2,0)</f>
        <v>3.5</v>
      </c>
      <c r="C15" s="2">
        <v>3</v>
      </c>
      <c r="E15" s="57"/>
      <c r="F15" s="79"/>
      <c r="G15" s="113"/>
      <c r="H15" s="114"/>
      <c r="I15" s="65" t="s">
        <v>25</v>
      </c>
      <c r="J15" s="90">
        <v>4.75</v>
      </c>
      <c r="K15" s="67" t="s">
        <v>24</v>
      </c>
      <c r="L15" s="93">
        <v>2.25</v>
      </c>
      <c r="M15" s="58" t="s">
        <v>27</v>
      </c>
      <c r="N15" s="78">
        <v>3.5</v>
      </c>
      <c r="P15" s="74" t="s">
        <v>31</v>
      </c>
      <c r="Q15" s="105">
        <v>8.5</v>
      </c>
    </row>
    <row r="16" spans="1:20" x14ac:dyDescent="0.25">
      <c r="A16" s="1" t="s">
        <v>31</v>
      </c>
      <c r="B16" s="52">
        <f>VLOOKUP(Tbl_Production[[#This Row],[ARTICLE]],Tbl_BDD[],2,0)</f>
        <v>8.5</v>
      </c>
      <c r="C16" s="2">
        <v>9</v>
      </c>
      <c r="E16" s="57"/>
      <c r="F16" s="79"/>
      <c r="G16" s="113"/>
      <c r="H16" s="114"/>
      <c r="I16" s="26" t="s">
        <v>47</v>
      </c>
      <c r="J16" s="107">
        <v>1.25</v>
      </c>
      <c r="K16" s="68" t="s">
        <v>28</v>
      </c>
      <c r="L16" s="94">
        <v>2</v>
      </c>
      <c r="M16" s="57" t="s">
        <v>27</v>
      </c>
      <c r="N16" s="79">
        <v>3.5</v>
      </c>
      <c r="P16" s="74" t="s">
        <v>31</v>
      </c>
      <c r="Q16" s="105">
        <v>8.5</v>
      </c>
    </row>
    <row r="17" spans="1:17" x14ac:dyDescent="0.25">
      <c r="A17" s="1" t="s">
        <v>25</v>
      </c>
      <c r="B17" s="52">
        <f>VLOOKUP(Tbl_Production[[#This Row],[ARTICLE]],Tbl_BDD[],2,0)</f>
        <v>4.75</v>
      </c>
      <c r="C17" s="2">
        <v>4</v>
      </c>
      <c r="E17" s="57"/>
      <c r="F17" s="79"/>
      <c r="G17" s="113"/>
      <c r="H17" s="114"/>
      <c r="I17" s="115"/>
      <c r="J17" s="114"/>
      <c r="K17" s="55" t="s">
        <v>28</v>
      </c>
      <c r="L17" s="95">
        <v>2</v>
      </c>
      <c r="M17" s="59" t="s">
        <v>48</v>
      </c>
      <c r="N17" s="80">
        <v>2.5</v>
      </c>
      <c r="P17" s="74" t="s">
        <v>31</v>
      </c>
      <c r="Q17" s="105">
        <v>8.5</v>
      </c>
    </row>
    <row r="18" spans="1:17" x14ac:dyDescent="0.25">
      <c r="A18" s="1" t="s">
        <v>31</v>
      </c>
      <c r="B18" s="52">
        <f>VLOOKUP(Tbl_Production[[#This Row],[ARTICLE]],Tbl_BDD[],2,0)</f>
        <v>8.5</v>
      </c>
      <c r="C18" s="2">
        <v>2</v>
      </c>
      <c r="E18" s="57"/>
      <c r="F18" s="79"/>
      <c r="G18" s="113"/>
      <c r="H18" s="114"/>
      <c r="I18" s="115"/>
      <c r="J18" s="114"/>
      <c r="K18" s="55" t="s">
        <v>28</v>
      </c>
      <c r="L18" s="95">
        <v>2</v>
      </c>
      <c r="M18" s="115"/>
      <c r="N18" s="114"/>
      <c r="P18" s="74" t="s">
        <v>31</v>
      </c>
      <c r="Q18" s="105">
        <v>8.5</v>
      </c>
    </row>
    <row r="19" spans="1:17" x14ac:dyDescent="0.25">
      <c r="A19" s="1" t="s">
        <v>25</v>
      </c>
      <c r="B19" s="52">
        <f>VLOOKUP(Tbl_Production[[#This Row],[ARTICLE]],Tbl_BDD[],2,0)</f>
        <v>4.75</v>
      </c>
      <c r="C19" s="2">
        <v>7</v>
      </c>
      <c r="E19" s="57"/>
      <c r="F19" s="79"/>
      <c r="G19" s="113"/>
      <c r="H19" s="114"/>
      <c r="I19" s="115"/>
      <c r="J19" s="114"/>
      <c r="K19" s="55" t="s">
        <v>28</v>
      </c>
      <c r="L19" s="95">
        <v>2</v>
      </c>
      <c r="M19" s="115"/>
      <c r="N19" s="114"/>
      <c r="P19" s="76" t="s">
        <v>31</v>
      </c>
      <c r="Q19" s="106">
        <v>8.5</v>
      </c>
    </row>
    <row r="20" spans="1:17" x14ac:dyDescent="0.25">
      <c r="A20" s="1" t="s">
        <v>19</v>
      </c>
      <c r="B20" s="52">
        <f>VLOOKUP(Tbl_Production[[#This Row],[ARTICLE]],Tbl_BDD[],2,0)</f>
        <v>6</v>
      </c>
      <c r="C20" s="2">
        <v>1</v>
      </c>
      <c r="E20" s="57"/>
      <c r="F20" s="79"/>
      <c r="G20" s="113"/>
      <c r="H20" s="114"/>
      <c r="I20" s="115"/>
      <c r="J20" s="114"/>
      <c r="K20" s="55" t="s">
        <v>28</v>
      </c>
      <c r="L20" s="95">
        <v>2</v>
      </c>
      <c r="M20" s="115"/>
      <c r="N20" s="114"/>
      <c r="P20" s="64" t="s">
        <v>25</v>
      </c>
      <c r="Q20" s="88">
        <v>4.75</v>
      </c>
    </row>
    <row r="21" spans="1:17" x14ac:dyDescent="0.25">
      <c r="E21" s="57"/>
      <c r="F21" s="79"/>
      <c r="G21" s="113"/>
      <c r="H21" s="114"/>
      <c r="I21" s="115"/>
      <c r="J21" s="114"/>
      <c r="K21" s="55" t="s">
        <v>28</v>
      </c>
      <c r="L21" s="95">
        <v>2</v>
      </c>
      <c r="M21" s="115"/>
      <c r="N21" s="114"/>
      <c r="P21" s="53" t="s">
        <v>25</v>
      </c>
      <c r="Q21" s="89">
        <v>4.75</v>
      </c>
    </row>
    <row r="22" spans="1:17" x14ac:dyDescent="0.25">
      <c r="E22" s="57"/>
      <c r="F22" s="79"/>
      <c r="G22" s="113"/>
      <c r="H22" s="114"/>
      <c r="I22" s="115"/>
      <c r="J22" s="114"/>
      <c r="K22" s="55" t="s">
        <v>28</v>
      </c>
      <c r="L22" s="95">
        <v>2</v>
      </c>
      <c r="M22" s="115"/>
      <c r="N22" s="114"/>
      <c r="P22" s="53" t="s">
        <v>25</v>
      </c>
      <c r="Q22" s="89">
        <v>4.75</v>
      </c>
    </row>
    <row r="23" spans="1:17" x14ac:dyDescent="0.25">
      <c r="E23" s="57"/>
      <c r="F23" s="79"/>
      <c r="G23" s="113"/>
      <c r="H23" s="114"/>
      <c r="I23" s="115"/>
      <c r="J23" s="114"/>
      <c r="K23" s="55" t="s">
        <v>28</v>
      </c>
      <c r="L23" s="95">
        <v>2</v>
      </c>
      <c r="M23" s="115"/>
      <c r="N23" s="114"/>
      <c r="P23" s="65" t="s">
        <v>25</v>
      </c>
      <c r="Q23" s="90">
        <v>4.75</v>
      </c>
    </row>
    <row r="24" spans="1:17" x14ac:dyDescent="0.25">
      <c r="E24" s="57"/>
      <c r="F24" s="79"/>
      <c r="G24" s="113"/>
      <c r="H24" s="114"/>
      <c r="I24" s="115"/>
      <c r="J24" s="114"/>
      <c r="K24" s="69" t="s">
        <v>28</v>
      </c>
      <c r="L24" s="96">
        <v>2</v>
      </c>
      <c r="M24" s="115"/>
      <c r="N24" s="114"/>
      <c r="P24" s="75" t="s">
        <v>31</v>
      </c>
      <c r="Q24" s="104">
        <v>8.5</v>
      </c>
    </row>
    <row r="25" spans="1:17" x14ac:dyDescent="0.25">
      <c r="E25" s="57"/>
      <c r="F25" s="79"/>
      <c r="G25" s="113"/>
      <c r="H25" s="114"/>
      <c r="I25" s="115"/>
      <c r="J25" s="114"/>
      <c r="K25" s="70" t="s">
        <v>18</v>
      </c>
      <c r="L25" s="97">
        <v>3.5</v>
      </c>
      <c r="M25" s="115"/>
      <c r="N25" s="114"/>
      <c r="P25" s="76" t="s">
        <v>31</v>
      </c>
      <c r="Q25" s="106">
        <v>8.5</v>
      </c>
    </row>
    <row r="26" spans="1:17" x14ac:dyDescent="0.25">
      <c r="E26" s="57"/>
      <c r="F26" s="79"/>
      <c r="G26" s="113"/>
      <c r="H26" s="114"/>
      <c r="I26" s="115"/>
      <c r="J26" s="114"/>
      <c r="K26" s="56" t="s">
        <v>18</v>
      </c>
      <c r="L26" s="98">
        <v>3.5</v>
      </c>
      <c r="M26" s="115"/>
      <c r="N26" s="114"/>
      <c r="P26" s="64" t="s">
        <v>25</v>
      </c>
      <c r="Q26" s="88">
        <v>4.75</v>
      </c>
    </row>
    <row r="27" spans="1:17" x14ac:dyDescent="0.25">
      <c r="E27" s="57"/>
      <c r="F27" s="79"/>
      <c r="G27" s="113"/>
      <c r="H27" s="114"/>
      <c r="I27" s="115"/>
      <c r="J27" s="114"/>
      <c r="K27" s="56" t="s">
        <v>18</v>
      </c>
      <c r="L27" s="98">
        <v>3.5</v>
      </c>
      <c r="M27" s="115"/>
      <c r="N27" s="114"/>
      <c r="P27" s="53" t="s">
        <v>25</v>
      </c>
      <c r="Q27" s="89">
        <v>4.75</v>
      </c>
    </row>
    <row r="28" spans="1:17" x14ac:dyDescent="0.25">
      <c r="E28" s="57"/>
      <c r="F28" s="79"/>
      <c r="G28" s="113"/>
      <c r="H28" s="114"/>
      <c r="I28" s="115"/>
      <c r="J28" s="114"/>
      <c r="K28" s="56" t="s">
        <v>18</v>
      </c>
      <c r="L28" s="98">
        <v>3.5</v>
      </c>
      <c r="M28" s="115"/>
      <c r="N28" s="114"/>
      <c r="P28" s="53" t="s">
        <v>25</v>
      </c>
      <c r="Q28" s="89">
        <v>4.75</v>
      </c>
    </row>
    <row r="29" spans="1:17" x14ac:dyDescent="0.25">
      <c r="E29" s="57"/>
      <c r="F29" s="79"/>
      <c r="G29" s="113"/>
      <c r="H29" s="114"/>
      <c r="I29" s="115"/>
      <c r="J29" s="114"/>
      <c r="K29" s="71" t="s">
        <v>50</v>
      </c>
      <c r="L29" s="99">
        <v>1.5</v>
      </c>
      <c r="M29" s="115"/>
      <c r="N29" s="114"/>
      <c r="P29" s="53" t="s">
        <v>25</v>
      </c>
      <c r="Q29" s="89">
        <v>4.75</v>
      </c>
    </row>
    <row r="30" spans="1:17" x14ac:dyDescent="0.25">
      <c r="E30" s="1">
        <f>SUBTOTAL(103,Tbl_Planning[LUNDI (8h)])</f>
        <v>8</v>
      </c>
      <c r="F30" s="77">
        <f>SUBTOTAL(109,Tbl_Planning[Temps])</f>
        <v>80</v>
      </c>
      <c r="G30" s="6">
        <f>SUBTOTAL(103,Tbl_Planning[MARDI (8h)])</f>
        <v>4</v>
      </c>
      <c r="H30" s="87">
        <f>SUBTOTAL(109,Tbl_Planning[Temps2])</f>
        <v>80</v>
      </c>
      <c r="I30" s="1">
        <f>SUBTOTAL(103,Tbl_Planning[MERCREDI (8h)])</f>
        <v>14</v>
      </c>
      <c r="J30" s="77">
        <f>SUBTOTAL(109,Tbl_Planning[Temps3])</f>
        <v>80</v>
      </c>
      <c r="K30" s="6">
        <f>SUBTOTAL(103,Tbl_Planning[JEUDI (8h)])</f>
        <v>27</v>
      </c>
      <c r="L30" s="100">
        <f>SUBTOTAL(109,Tbl_Planning[Temps4])</f>
        <v>80</v>
      </c>
      <c r="M30" s="1">
        <f>SUBTOTAL(103,Tbl_Planning[VENDREDI (7h)])</f>
        <v>15</v>
      </c>
      <c r="N30" s="77">
        <f>SUBTOTAL(109,Tbl_Planning[Temps5])</f>
        <v>70</v>
      </c>
      <c r="P30" s="53" t="s">
        <v>25</v>
      </c>
      <c r="Q30" s="89">
        <v>4.75</v>
      </c>
    </row>
    <row r="31" spans="1:17" x14ac:dyDescent="0.25">
      <c r="P31" s="53" t="s">
        <v>25</v>
      </c>
      <c r="Q31" s="89">
        <v>4.75</v>
      </c>
    </row>
    <row r="32" spans="1:17" x14ac:dyDescent="0.25">
      <c r="P32" s="65" t="s">
        <v>25</v>
      </c>
      <c r="Q32" s="90">
        <v>4.75</v>
      </c>
    </row>
    <row r="33" spans="16:17" x14ac:dyDescent="0.25">
      <c r="P33" s="14" t="s">
        <v>19</v>
      </c>
      <c r="Q33" s="125">
        <v>6</v>
      </c>
    </row>
    <row r="34" spans="16:17" x14ac:dyDescent="0.25">
      <c r="P34" s="5">
        <f>SUBTOTAL(103,Tbl_Semaine[Article])</f>
        <v>31</v>
      </c>
      <c r="Q34" s="108">
        <f>SUBTOTAL(109,Tbl_Semaine[TEMPS/UNITE])</f>
        <v>186.25</v>
      </c>
    </row>
  </sheetData>
  <mergeCells count="3">
    <mergeCell ref="E1:N1"/>
    <mergeCell ref="P1:Q1"/>
    <mergeCell ref="A1:C1"/>
  </mergeCells>
  <conditionalFormatting sqref="E2:N29">
    <cfRule type="expression" dxfId="3" priority="2">
      <formula>E2=""</formula>
    </cfRule>
  </conditionalFormatting>
  <conditionalFormatting sqref="E2:N29">
    <cfRule type="expression" dxfId="2" priority="3">
      <formula>LEFT(E$2,5)="Temps"</formula>
    </cfRule>
  </conditionalFormatting>
  <conditionalFormatting sqref="B3">
    <cfRule type="expression" dxfId="1" priority="1">
      <formula>B3&lt;&gt;F3</formula>
    </cfRule>
  </conditionalFormatting>
  <conditionalFormatting sqref="B4:B20">
    <cfRule type="expression" dxfId="0" priority="5">
      <formula>B4&lt;&gt;#REF!</formula>
    </cfRule>
  </conditionalFormatting>
  <dataValidations count="1">
    <dataValidation type="list" allowBlank="1" showInputMessage="1" showErrorMessage="1" sqref="C3:C20" xr:uid="{728F184C-F16A-493A-BF9E-07D242144C42}">
      <formula1>"1,2,3,4,5,6,7,8,9,10"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60C2A3-DC64-41E5-9098-DA7B05401DAA}">
          <x14:formula1>
            <xm:f>'Base de Données'!$A$3:$A$23</xm:f>
          </x14:formula1>
          <xm:sqref>A3:A20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8D50D-7B71-484C-9F62-212644F0E0A8}">
  <sheetPr codeName="Blad2"/>
  <dimension ref="A1:F23"/>
  <sheetViews>
    <sheetView workbookViewId="0">
      <selection activeCell="F7" sqref="F7"/>
    </sheetView>
  </sheetViews>
  <sheetFormatPr defaultColWidth="11.42578125" defaultRowHeight="15" x14ac:dyDescent="0.25"/>
  <cols>
    <col min="1" max="1" width="11.42578125" style="1"/>
    <col min="2" max="2" width="24" style="1" customWidth="1"/>
  </cols>
  <sheetData>
    <row r="1" spans="1:6" ht="18.75" x14ac:dyDescent="0.25">
      <c r="A1" s="112" t="s">
        <v>12</v>
      </c>
      <c r="B1" s="112"/>
    </row>
    <row r="2" spans="1:6" ht="16.5" thickBot="1" x14ac:dyDescent="0.3">
      <c r="A2" s="3" t="s">
        <v>13</v>
      </c>
      <c r="B2" s="4" t="s">
        <v>14</v>
      </c>
      <c r="D2" s="2" t="s">
        <v>39</v>
      </c>
      <c r="E2" s="2" t="s">
        <v>40</v>
      </c>
      <c r="F2" s="2" t="s">
        <v>41</v>
      </c>
    </row>
    <row r="3" spans="1:6" x14ac:dyDescent="0.25">
      <c r="A3" s="47" t="s">
        <v>15</v>
      </c>
      <c r="B3" s="48">
        <v>2.5</v>
      </c>
      <c r="D3" s="2">
        <v>1</v>
      </c>
      <c r="E3" s="2">
        <v>80</v>
      </c>
      <c r="F3" s="2" t="s">
        <v>42</v>
      </c>
    </row>
    <row r="4" spans="1:6" x14ac:dyDescent="0.25">
      <c r="A4" s="7" t="s">
        <v>16</v>
      </c>
      <c r="B4" s="8">
        <v>4</v>
      </c>
      <c r="D4" s="2">
        <v>2</v>
      </c>
      <c r="E4" s="2">
        <v>80</v>
      </c>
      <c r="F4" s="2" t="s">
        <v>43</v>
      </c>
    </row>
    <row r="5" spans="1:6" x14ac:dyDescent="0.25">
      <c r="A5" s="9" t="s">
        <v>17</v>
      </c>
      <c r="B5" s="10">
        <v>25</v>
      </c>
      <c r="D5" s="2">
        <v>3</v>
      </c>
      <c r="E5" s="2">
        <v>80</v>
      </c>
      <c r="F5" s="2" t="s">
        <v>44</v>
      </c>
    </row>
    <row r="6" spans="1:6" x14ac:dyDescent="0.25">
      <c r="A6" s="11" t="s">
        <v>18</v>
      </c>
      <c r="B6" s="12">
        <v>3.5</v>
      </c>
      <c r="D6" s="2">
        <v>4</v>
      </c>
      <c r="E6" s="2">
        <v>80</v>
      </c>
      <c r="F6" s="2" t="s">
        <v>45</v>
      </c>
    </row>
    <row r="7" spans="1:6" x14ac:dyDescent="0.25">
      <c r="A7" s="13" t="s">
        <v>19</v>
      </c>
      <c r="B7" s="14">
        <v>6</v>
      </c>
      <c r="D7" s="2">
        <v>5</v>
      </c>
      <c r="E7" s="2">
        <v>70</v>
      </c>
      <c r="F7" s="2" t="s">
        <v>46</v>
      </c>
    </row>
    <row r="8" spans="1:6" x14ac:dyDescent="0.25">
      <c r="A8" s="15" t="s">
        <v>20</v>
      </c>
      <c r="B8" s="16">
        <v>0.5</v>
      </c>
    </row>
    <row r="9" spans="1:6" x14ac:dyDescent="0.25">
      <c r="A9" s="17" t="s">
        <v>21</v>
      </c>
      <c r="B9" s="18">
        <v>4</v>
      </c>
    </row>
    <row r="10" spans="1:6" x14ac:dyDescent="0.25">
      <c r="A10" s="19" t="s">
        <v>22</v>
      </c>
      <c r="B10" s="20">
        <v>7</v>
      </c>
    </row>
    <row r="11" spans="1:6" x14ac:dyDescent="0.25">
      <c r="A11" s="21" t="s">
        <v>23</v>
      </c>
      <c r="B11" s="22">
        <v>1.75</v>
      </c>
    </row>
    <row r="12" spans="1:6" x14ac:dyDescent="0.25">
      <c r="A12" s="23" t="s">
        <v>24</v>
      </c>
      <c r="B12" s="24">
        <v>2.25</v>
      </c>
    </row>
    <row r="13" spans="1:6" x14ac:dyDescent="0.25">
      <c r="A13" s="25" t="s">
        <v>25</v>
      </c>
      <c r="B13" s="26">
        <v>4.75</v>
      </c>
    </row>
    <row r="14" spans="1:6" x14ac:dyDescent="0.25">
      <c r="A14" s="27" t="s">
        <v>25</v>
      </c>
      <c r="B14" s="28">
        <v>9</v>
      </c>
    </row>
    <row r="15" spans="1:6" x14ac:dyDescent="0.25">
      <c r="A15" s="29" t="s">
        <v>26</v>
      </c>
      <c r="B15" s="30">
        <v>3.75</v>
      </c>
    </row>
    <row r="16" spans="1:6" x14ac:dyDescent="0.25">
      <c r="A16" s="31" t="s">
        <v>27</v>
      </c>
      <c r="B16" s="32">
        <v>3.5</v>
      </c>
    </row>
    <row r="17" spans="1:2" x14ac:dyDescent="0.25">
      <c r="A17" s="33" t="s">
        <v>28</v>
      </c>
      <c r="B17" s="34">
        <v>2</v>
      </c>
    </row>
    <row r="18" spans="1:2" x14ac:dyDescent="0.25">
      <c r="A18" s="35" t="s">
        <v>29</v>
      </c>
      <c r="B18" s="36">
        <v>1</v>
      </c>
    </row>
    <row r="19" spans="1:2" x14ac:dyDescent="0.25">
      <c r="A19" s="37" t="s">
        <v>30</v>
      </c>
      <c r="B19" s="38">
        <v>5.75</v>
      </c>
    </row>
    <row r="20" spans="1:2" x14ac:dyDescent="0.25">
      <c r="A20" s="39" t="s">
        <v>31</v>
      </c>
      <c r="B20" s="40">
        <v>8.5</v>
      </c>
    </row>
    <row r="21" spans="1:2" x14ac:dyDescent="0.25">
      <c r="A21" s="41" t="s">
        <v>32</v>
      </c>
      <c r="B21" s="42">
        <v>10.5</v>
      </c>
    </row>
    <row r="22" spans="1:2" x14ac:dyDescent="0.25">
      <c r="A22" s="43" t="s">
        <v>33</v>
      </c>
      <c r="B22" s="44">
        <v>6.5</v>
      </c>
    </row>
    <row r="23" spans="1:2" x14ac:dyDescent="0.25">
      <c r="A23" s="49" t="s">
        <v>34</v>
      </c>
      <c r="B23" s="50">
        <v>5</v>
      </c>
    </row>
  </sheetData>
  <mergeCells count="1">
    <mergeCell ref="A1:B1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Planning Final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Chéron</dc:creator>
  <cp:lastModifiedBy>Bart Strubbe</cp:lastModifiedBy>
  <dcterms:created xsi:type="dcterms:W3CDTF">2024-08-22T17:43:26Z</dcterms:created>
  <dcterms:modified xsi:type="dcterms:W3CDTF">2024-08-25T18:18:48Z</dcterms:modified>
</cp:coreProperties>
</file>