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2C57BDF-A04F-429D-9CCE-97988DF0E799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Détails" sheetId="17" r:id="rId1"/>
    <sheet name="Synthèse" sheetId="13" r:id="rId2"/>
    <sheet name="Janvier" sheetId="14" r:id="rId3"/>
    <sheet name="Février" sheetId="2" r:id="rId4"/>
    <sheet name="Mars" sheetId="3" r:id="rId5"/>
    <sheet name="Avril" sheetId="4" r:id="rId6"/>
    <sheet name="Mai" sheetId="5" r:id="rId7"/>
    <sheet name="Juin" sheetId="6" r:id="rId8"/>
    <sheet name="Juillet" sheetId="7" r:id="rId9"/>
    <sheet name="Août" sheetId="8" r:id="rId10"/>
    <sheet name="Septembre" sheetId="9" r:id="rId11"/>
    <sheet name="Octobre" sheetId="10" r:id="rId12"/>
    <sheet name="Novembre" sheetId="11" r:id="rId13"/>
    <sheet name="Décembre" sheetId="12" r:id="rId14"/>
  </sheets>
  <externalReferences>
    <externalReference r:id="rId15"/>
  </externalReferences>
  <definedNames>
    <definedName name="d">Janvier!$O$1</definedName>
    <definedName name="f">Janvier!#REF!</definedName>
    <definedName name="Fériés">[1]Détails!$B$2:$L$16</definedName>
    <definedName name="MesFeries">Détails!$K$2:$K$16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4" l="1" a="1"/>
  <c r="L3" i="14" s="1"/>
  <c r="L4" i="14" a="1"/>
  <c r="L4" i="14"/>
  <c r="L5" i="14" a="1"/>
  <c r="L5" i="14" s="1"/>
  <c r="L6" i="14" a="1"/>
  <c r="L6" i="14"/>
  <c r="L7" i="14" a="1"/>
  <c r="L7" i="14" s="1"/>
  <c r="L8" i="14" a="1"/>
  <c r="L8" i="14"/>
  <c r="L9" i="14" a="1"/>
  <c r="L9" i="14" s="1"/>
  <c r="L10" i="14" a="1"/>
  <c r="L10" i="14"/>
  <c r="L11" i="14" a="1"/>
  <c r="L11" i="14" s="1"/>
  <c r="L12" i="14" a="1"/>
  <c r="L12" i="14"/>
  <c r="L13" i="14" a="1"/>
  <c r="L13" i="14" s="1"/>
  <c r="L14" i="14" a="1"/>
  <c r="L14" i="14"/>
  <c r="L15" i="14" a="1"/>
  <c r="L15" i="14" s="1"/>
  <c r="L16" i="14" a="1"/>
  <c r="L16" i="14"/>
  <c r="L17" i="14" a="1"/>
  <c r="L17" i="14" s="1"/>
  <c r="L18" i="14" a="1"/>
  <c r="L18" i="14"/>
  <c r="L19" i="14" a="1"/>
  <c r="L19" i="14" s="1"/>
  <c r="L20" i="14" a="1"/>
  <c r="L20" i="14"/>
  <c r="L21" i="14" a="1"/>
  <c r="L21" i="14" s="1"/>
  <c r="L22" i="14" a="1"/>
  <c r="L22" i="14"/>
  <c r="L23" i="14" a="1"/>
  <c r="L23" i="14" s="1"/>
  <c r="L24" i="14" a="1"/>
  <c r="L24" i="14"/>
  <c r="L25" i="14" a="1"/>
  <c r="L25" i="14" s="1"/>
  <c r="L26" i="14" a="1"/>
  <c r="L26" i="14"/>
  <c r="L27" i="14" a="1"/>
  <c r="L27" i="14" s="1"/>
  <c r="L28" i="14" a="1"/>
  <c r="L28" i="14"/>
  <c r="L29" i="14" a="1"/>
  <c r="L29" i="14" s="1"/>
  <c r="L30" i="14" a="1"/>
  <c r="L30" i="14"/>
  <c r="L31" i="14" a="1"/>
  <c r="L31" i="14" s="1"/>
  <c r="L32" i="14" a="1"/>
  <c r="L32" i="14"/>
  <c r="L33" i="14" a="1"/>
  <c r="L33" i="14" s="1"/>
  <c r="P7" i="14"/>
  <c r="D1" i="14"/>
  <c r="F1" i="14"/>
  <c r="E1" i="14"/>
  <c r="V13" i="17" l="1"/>
  <c r="U13" i="17"/>
  <c r="T13" i="17"/>
  <c r="S13" i="17"/>
  <c r="R13" i="17"/>
  <c r="V12" i="17"/>
  <c r="U12" i="17"/>
  <c r="T12" i="17"/>
  <c r="S12" i="17"/>
  <c r="R12" i="17"/>
  <c r="V11" i="17"/>
  <c r="U11" i="17"/>
  <c r="T11" i="17"/>
  <c r="S11" i="17"/>
  <c r="R11" i="17"/>
  <c r="V10" i="17"/>
  <c r="U10" i="17"/>
  <c r="T10" i="17"/>
  <c r="S10" i="17"/>
  <c r="R10" i="17"/>
  <c r="V9" i="17"/>
  <c r="U9" i="17"/>
  <c r="T9" i="17"/>
  <c r="S9" i="17"/>
  <c r="R9" i="17"/>
  <c r="V8" i="17"/>
  <c r="U8" i="17"/>
  <c r="T8" i="17"/>
  <c r="S8" i="17"/>
  <c r="R8" i="17"/>
  <c r="V7" i="17"/>
  <c r="U7" i="17"/>
  <c r="T7" i="17"/>
  <c r="S7" i="17"/>
  <c r="R7" i="17"/>
  <c r="V6" i="17"/>
  <c r="U6" i="17"/>
  <c r="T6" i="17"/>
  <c r="S6" i="17"/>
  <c r="R6" i="17"/>
  <c r="V5" i="17"/>
  <c r="U5" i="17"/>
  <c r="T5" i="17"/>
  <c r="S5" i="17"/>
  <c r="R5" i="17"/>
  <c r="V4" i="17"/>
  <c r="U4" i="17"/>
  <c r="T4" i="17"/>
  <c r="S4" i="17"/>
  <c r="V3" i="17"/>
  <c r="U3" i="17"/>
  <c r="T3" i="17"/>
  <c r="S3" i="17"/>
  <c r="R4" i="17"/>
  <c r="R3" i="17"/>
  <c r="Q13" i="17"/>
  <c r="Q12" i="17"/>
  <c r="Q11" i="17"/>
  <c r="Q10" i="17"/>
  <c r="Q9" i="17"/>
  <c r="Q8" i="17"/>
  <c r="Q7" i="17"/>
  <c r="Q6" i="17"/>
  <c r="Q5" i="17"/>
  <c r="Q4" i="17"/>
  <c r="Q3" i="17"/>
  <c r="P13" i="17"/>
  <c r="P12" i="17"/>
  <c r="P11" i="17"/>
  <c r="P10" i="17"/>
  <c r="P9" i="17"/>
  <c r="P8" i="17"/>
  <c r="P7" i="17"/>
  <c r="P6" i="17"/>
  <c r="P5" i="17"/>
  <c r="P4" i="17"/>
  <c r="P3" i="17"/>
  <c r="B13" i="17"/>
  <c r="B15" i="17" l="1"/>
  <c r="B3" i="17"/>
  <c r="B2" i="17"/>
  <c r="B4" i="17" l="1"/>
  <c r="B6" i="17"/>
  <c r="E5" i="17"/>
  <c r="B3" i="14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4" i="14"/>
  <c r="I3" i="14"/>
  <c r="H4" i="14"/>
  <c r="H5" i="14"/>
  <c r="H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" i="14"/>
  <c r="M3" i="14" l="1"/>
  <c r="V2" i="17"/>
  <c r="T2" i="17"/>
  <c r="R2" i="17"/>
  <c r="S2" i="17"/>
  <c r="P2" i="17"/>
  <c r="Q2" i="17"/>
  <c r="U2" i="17"/>
  <c r="H1" i="14"/>
  <c r="I1" i="14"/>
  <c r="B4" i="14"/>
  <c r="A3" i="14"/>
  <c r="M4" i="14" l="1"/>
  <c r="B5" i="14"/>
  <c r="K15" i="17"/>
  <c r="K14" i="17"/>
  <c r="K13" i="17"/>
  <c r="K11" i="17"/>
  <c r="K7" i="17"/>
  <c r="K6" i="17"/>
  <c r="K4" i="17"/>
  <c r="K2" i="17"/>
  <c r="G1" i="14"/>
  <c r="M5" i="14" l="1"/>
  <c r="B6" i="14"/>
  <c r="A4" i="14"/>
  <c r="K6" i="14" l="1"/>
  <c r="M6" i="14"/>
  <c r="B7" i="14"/>
  <c r="M7" i="14" s="1"/>
  <c r="A5" i="14"/>
  <c r="B8" i="14" l="1"/>
  <c r="A6" i="14"/>
  <c r="K8" i="14" l="1"/>
  <c r="M8" i="14"/>
  <c r="B9" i="14"/>
  <c r="A7" i="14"/>
  <c r="B10" i="14" l="1"/>
  <c r="A8" i="14"/>
  <c r="K12" i="17"/>
  <c r="A35" i="17"/>
  <c r="A36" i="17" s="1"/>
  <c r="A37" i="17" s="1"/>
  <c r="A38" i="17" s="1"/>
  <c r="M10" i="14" l="1"/>
  <c r="B11" i="14"/>
  <c r="A9" i="14"/>
  <c r="E2" i="17"/>
  <c r="M11" i="14" l="1"/>
  <c r="B12" i="14"/>
  <c r="A10" i="14"/>
  <c r="C2" i="13"/>
  <c r="C3" i="13"/>
  <c r="B2" i="13"/>
  <c r="B3" i="13"/>
  <c r="K8" i="17"/>
  <c r="K16" i="17"/>
  <c r="M12" i="14" l="1"/>
  <c r="B13" i="14"/>
  <c r="A11" i="14"/>
  <c r="K9" i="17"/>
  <c r="K10" i="17" s="1"/>
  <c r="K5" i="17"/>
  <c r="K3" i="17"/>
  <c r="G2" i="13"/>
  <c r="F2" i="13"/>
  <c r="D2" i="13"/>
  <c r="E2" i="13"/>
  <c r="G13" i="13"/>
  <c r="F13" i="13"/>
  <c r="E13" i="13"/>
  <c r="D13" i="13"/>
  <c r="C13" i="13"/>
  <c r="B13" i="13"/>
  <c r="G12" i="13"/>
  <c r="F12" i="13"/>
  <c r="E12" i="13"/>
  <c r="D12" i="13"/>
  <c r="C12" i="13"/>
  <c r="B12" i="13"/>
  <c r="G11" i="13"/>
  <c r="F11" i="13"/>
  <c r="E11" i="13"/>
  <c r="D11" i="13"/>
  <c r="C11" i="13"/>
  <c r="B11" i="13"/>
  <c r="G10" i="13"/>
  <c r="F10" i="13"/>
  <c r="E10" i="13"/>
  <c r="D10" i="13"/>
  <c r="C10" i="13"/>
  <c r="B10" i="13"/>
  <c r="G9" i="13"/>
  <c r="F9" i="13"/>
  <c r="E9" i="13"/>
  <c r="D9" i="13"/>
  <c r="C9" i="13"/>
  <c r="B9" i="13"/>
  <c r="G8" i="13"/>
  <c r="F8" i="13"/>
  <c r="E8" i="13"/>
  <c r="D8" i="13"/>
  <c r="C8" i="13"/>
  <c r="B8" i="13"/>
  <c r="G7" i="13"/>
  <c r="F7" i="13"/>
  <c r="E7" i="13"/>
  <c r="D7" i="13"/>
  <c r="C7" i="13"/>
  <c r="B7" i="13"/>
  <c r="G6" i="13"/>
  <c r="F6" i="13"/>
  <c r="E6" i="13"/>
  <c r="D6" i="13"/>
  <c r="C6" i="13"/>
  <c r="B6" i="13"/>
  <c r="G5" i="13"/>
  <c r="F5" i="13"/>
  <c r="E5" i="13"/>
  <c r="D5" i="13"/>
  <c r="C5" i="13"/>
  <c r="B5" i="13"/>
  <c r="G4" i="13"/>
  <c r="F4" i="13"/>
  <c r="E4" i="13"/>
  <c r="D4" i="13"/>
  <c r="C4" i="13"/>
  <c r="B4" i="13"/>
  <c r="G3" i="13"/>
  <c r="F3" i="13"/>
  <c r="E3" i="13"/>
  <c r="D3" i="13"/>
  <c r="K13" i="14" l="1"/>
  <c r="M13" i="14"/>
  <c r="B14" i="17"/>
  <c r="B16" i="17"/>
  <c r="B17" i="17"/>
  <c r="B5" i="17"/>
  <c r="B7" i="17"/>
  <c r="E8" i="17" s="1"/>
  <c r="B8" i="17"/>
  <c r="I3" i="17"/>
  <c r="I11" i="17"/>
  <c r="I4" i="17"/>
  <c r="I5" i="17"/>
  <c r="I6" i="17"/>
  <c r="I10" i="17"/>
  <c r="I7" i="17"/>
  <c r="I8" i="17"/>
  <c r="I9" i="17"/>
  <c r="I2" i="17"/>
  <c r="B14" i="14"/>
  <c r="A12" i="14"/>
  <c r="E14" i="13"/>
  <c r="F14" i="13"/>
  <c r="D14" i="13"/>
  <c r="G14" i="13"/>
  <c r="C14" i="13"/>
  <c r="B14" i="13"/>
  <c r="M14" i="14" l="1"/>
  <c r="H15" i="17"/>
  <c r="B15" i="14"/>
  <c r="A13" i="14"/>
  <c r="K15" i="14" l="1"/>
  <c r="M15" i="14"/>
  <c r="B16" i="14"/>
  <c r="A14" i="14"/>
  <c r="B17" i="14" l="1"/>
  <c r="A15" i="14"/>
  <c r="M17" i="14" l="1"/>
  <c r="B18" i="14"/>
  <c r="A16" i="14"/>
  <c r="M18" i="14" l="1"/>
  <c r="B19" i="14"/>
  <c r="A17" i="14"/>
  <c r="M19" i="14" l="1"/>
  <c r="B20" i="14"/>
  <c r="A18" i="14"/>
  <c r="K20" i="14" l="1"/>
  <c r="M20" i="14"/>
  <c r="B21" i="14"/>
  <c r="A19" i="14"/>
  <c r="M21" i="14" l="1"/>
  <c r="B22" i="14"/>
  <c r="A20" i="14"/>
  <c r="K22" i="14" l="1"/>
  <c r="M22" i="14"/>
  <c r="B23" i="14"/>
  <c r="A21" i="14"/>
  <c r="B24" i="14" l="1"/>
  <c r="A22" i="14"/>
  <c r="M24" i="14" l="1"/>
  <c r="B25" i="14"/>
  <c r="A23" i="14"/>
  <c r="M25" i="14" l="1"/>
  <c r="B26" i="14"/>
  <c r="A24" i="14"/>
  <c r="M26" i="14" l="1"/>
  <c r="B27" i="14"/>
  <c r="A25" i="14"/>
  <c r="K27" i="14" l="1"/>
  <c r="M27" i="14"/>
  <c r="B28" i="14"/>
  <c r="A26" i="14"/>
  <c r="M28" i="14" l="1"/>
  <c r="B29" i="14"/>
  <c r="A27" i="14"/>
  <c r="K29" i="14" l="1"/>
  <c r="M29" i="14"/>
  <c r="B30" i="14"/>
  <c r="A28" i="14"/>
  <c r="B31" i="14" l="1"/>
  <c r="A29" i="14"/>
  <c r="M31" i="14" l="1"/>
  <c r="B32" i="14"/>
  <c r="A30" i="14"/>
  <c r="M32" i="14" l="1"/>
  <c r="B33" i="14"/>
  <c r="A31" i="14"/>
  <c r="L1" i="14" l="1"/>
  <c r="A32" i="14"/>
  <c r="M30" i="14" l="1"/>
  <c r="K32" i="14"/>
  <c r="K30" i="14"/>
  <c r="A33" i="14"/>
  <c r="B1" i="14"/>
  <c r="M9" i="14" l="1"/>
  <c r="M16" i="14"/>
  <c r="M23" i="14"/>
  <c r="M33" i="14"/>
  <c r="K4" i="14"/>
  <c r="K11" i="14"/>
  <c r="K18" i="14"/>
  <c r="K25" i="14"/>
  <c r="K3" i="14"/>
  <c r="K10" i="14"/>
  <c r="K17" i="14"/>
  <c r="K24" i="14"/>
  <c r="K31" i="14"/>
  <c r="K7" i="14"/>
  <c r="K14" i="14"/>
  <c r="K21" i="14"/>
  <c r="K28" i="14"/>
  <c r="K9" i="14"/>
  <c r="K16" i="14"/>
  <c r="K23" i="14"/>
  <c r="K5" i="14"/>
  <c r="K12" i="14"/>
  <c r="K19" i="14"/>
  <c r="K26" i="14"/>
  <c r="K33" i="14"/>
  <c r="J1" i="14"/>
  <c r="K1" i="1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<sst xmlns="http://schemas.openxmlformats.org/spreadsheetml/2006/main" count="103" uniqueCount="85">
  <si>
    <t>Heures supplémentaires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</si>
  <si>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</si>
  <si>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</si>
  <si>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</si>
  <si>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</si>
  <si>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</si>
  <si>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</si>
  <si>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</si>
  <si>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</si>
  <si>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</si>
  <si>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</si>
  <si>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</si>
  <si>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</si>
  <si>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</si>
  <si>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Arrêt maladie</t>
  </si>
  <si>
    <t>En poste</t>
  </si>
  <si>
    <t>Congé</t>
  </si>
  <si>
    <t>Accident de travail</t>
  </si>
  <si>
    <t>Ordre</t>
  </si>
  <si>
    <t>Repos</t>
  </si>
  <si>
    <t>Férié</t>
  </si>
  <si>
    <t>Totaux</t>
  </si>
  <si>
    <t>Heures de nuit</t>
  </si>
  <si>
    <t>Heures en journée</t>
  </si>
  <si>
    <t>Fermeture de poste</t>
  </si>
  <si>
    <t>Heures de jour</t>
  </si>
  <si>
    <t>Ouverture de poste</t>
  </si>
  <si>
    <t>Total semaine</t>
  </si>
  <si>
    <t xml:space="preserve">Jours fériés 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</si>
  <si>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</si>
  <si>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</si>
  <si>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</si>
  <si>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</si>
  <si>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</si>
  <si>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</si>
  <si>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</si>
  <si>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</si>
  <si>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</si>
  <si>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</si>
  <si>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</si>
  <si>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</si>
  <si>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</si>
  <si>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</si>
  <si>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</si>
  <si>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Contrat</t>
  </si>
  <si>
    <t>Journalier</t>
  </si>
  <si>
    <t>Hedomadaire</t>
  </si>
  <si>
    <t>Mensuel</t>
  </si>
  <si>
    <t>Semaine</t>
  </si>
  <si>
    <t>Total Heures</t>
  </si>
  <si>
    <t>Pause entre 06:00 et 21:00</t>
  </si>
  <si>
    <t>Pause entre 21:00 et 06:00</t>
  </si>
  <si>
    <t>du</t>
  </si>
  <si>
    <t>au</t>
  </si>
  <si>
    <t>Premier jour de l'année</t>
  </si>
  <si>
    <t>Dernier jour de l'année</t>
  </si>
  <si>
    <t>Nombre de jour dans l'année</t>
  </si>
  <si>
    <t>Nombre de samedi et dimanche</t>
  </si>
  <si>
    <t>Nombre de jours ouvrés</t>
  </si>
  <si>
    <t>Nombre de jours fériés en semaine</t>
  </si>
  <si>
    <t>Nombre de jours fériés le week-end</t>
  </si>
  <si>
    <t>Nombre de jour prévu par la convention</t>
  </si>
  <si>
    <t>Nombre de jour travaillé par semaine</t>
  </si>
  <si>
    <t>Calcul entre deux dates</t>
  </si>
  <si>
    <t>Nombre de jours</t>
  </si>
  <si>
    <t>Réduction du temps de travail</t>
  </si>
  <si>
    <t>Congés annuel</t>
  </si>
  <si>
    <t>Congés payés</t>
  </si>
  <si>
    <t>CP restants au 1er janvier 2024</t>
  </si>
  <si>
    <t>CP N-1 restants au 1er janvier 2024</t>
  </si>
  <si>
    <t>CP pris</t>
  </si>
  <si>
    <t>CP N-1 restants</t>
  </si>
  <si>
    <t>CP restants</t>
  </si>
  <si>
    <t>Heures travaillées</t>
  </si>
  <si>
    <t>Jours</t>
  </si>
  <si>
    <t>Jours ouvrables</t>
  </si>
  <si>
    <t>Samedi</t>
  </si>
  <si>
    <t>Dimanche</t>
  </si>
  <si>
    <t>Week-end</t>
  </si>
  <si>
    <t>Jours fériés</t>
  </si>
  <si>
    <t>Jours fériés le week-end</t>
  </si>
  <si>
    <t>Total heures supplémentaires</t>
  </si>
  <si>
    <t>Journalier sauf vendredi</t>
  </si>
  <si>
    <t>journalier Vendredi</t>
  </si>
  <si>
    <t>&lt;&lt;&lt;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</si>
</sst>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F800]dddd\,\ mmmm\ dd\,\ yyyy"/>
    <numFmt numFmtId="165" formatCode="h:mm;@"/>
    <numFmt numFmtId="166" formatCode="[hh]:mm"/>
    <numFmt numFmtId="167" formatCode="[hh]:mm;\-0.000;"/>
    <numFmt numFmtId="168" formatCode="_-* #,##0_-;\-* #,##0_-;_-* &quot;-&quot;??_-;_-@_-"/>
    <numFmt numFmtId="169" formatCode="#,##0.00\ _€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sz val="9"/>
      <color theme="0"/>
      <name val="Bahnschrift"/>
      <family val="2"/>
    </font>
    <font>
      <sz val="11"/>
      <color rgb="FFFF0000"/>
      <name val="Bahnschrift"/>
      <family val="2"/>
    </font>
    <font>
      <b/>
      <sz val="18"/>
      <color theme="1"/>
      <name val="Bahnschrift"/>
      <family val="2"/>
    </font>
    <font>
      <b/>
      <sz val="12"/>
      <color theme="1"/>
      <name val="Bahnschrift"/>
      <family val="2"/>
    </font>
    <font>
      <b/>
      <sz val="18"/>
      <name val="Bahnschrift"/>
      <family val="2"/>
    </font>
    <font>
      <b/>
      <sz val="18"/>
      <color theme="0"/>
      <name val="Bahnschrift"/>
      <family val="2"/>
    </font>
    <font>
      <b/>
      <sz val="14"/>
      <color rgb="FFFF0000"/>
      <name val="Bahnschrift"/>
      <family val="2"/>
    </font>
    <font>
      <b/>
      <sz val="9"/>
      <color theme="0"/>
      <name val="Bahnschrift"/>
      <family val="2"/>
    </font>
    <font>
      <b/>
      <sz val="11"/>
      <color theme="1"/>
      <name val="Bahnschrift"/>
      <family val="2"/>
    </font>
    <font>
      <sz val="11"/>
      <color theme="1"/>
      <name val="Calibri"/>
      <family val="2"/>
      <scheme val="minor"/>
    </font>
    <font>
      <b/>
      <sz val="16"/>
      <color theme="0"/>
      <name val="Bahnschrift"/>
      <family val="2"/>
    </font>
    <font>
      <b/>
      <sz val="12"/>
      <color theme="0"/>
      <name val="Bahnschrift"/>
      <family val="2"/>
    </font>
    <font>
      <b/>
      <sz val="18"/>
      <color rgb="FFFF0000"/>
      <name val="Bahnschrift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/>
    </xf>
    <xf numFmtId="164" fontId="5" fillId="6" borderId="0" xfId="0" applyNumberFormat="1" applyFont="1" applyFill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66" fontId="5" fillId="6" borderId="1" xfId="0" applyNumberFormat="1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5" fontId="5" fillId="6" borderId="1" xfId="0" applyNumberFormat="1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1" fontId="5" fillId="6" borderId="0" xfId="0" applyNumberFormat="1" applyFont="1" applyFill="1" applyAlignment="1">
      <alignment horizontal="center" vertical="center"/>
    </xf>
    <xf numFmtId="169" fontId="5" fillId="6" borderId="0" xfId="0" applyNumberFormat="1" applyFont="1" applyFill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1" fontId="10" fillId="6" borderId="0" xfId="0" applyNumberFormat="1" applyFont="1" applyFill="1" applyAlignment="1">
      <alignment horizontal="center" vertical="center" shrinkToFit="1"/>
    </xf>
    <xf numFmtId="0" fontId="11" fillId="6" borderId="0" xfId="0" applyFont="1" applyFill="1" applyAlignment="1">
      <alignment horizontal="center" vertical="center" shrinkToFit="1"/>
    </xf>
    <xf numFmtId="0" fontId="10" fillId="6" borderId="0" xfId="0" applyFont="1" applyFill="1" applyAlignment="1">
      <alignment horizontal="center" vertical="center" shrinkToFit="1"/>
    </xf>
    <xf numFmtId="168" fontId="10" fillId="6" borderId="0" xfId="1" applyNumberFormat="1" applyFont="1" applyFill="1" applyAlignment="1">
      <alignment horizontal="center" vertical="center" shrinkToFit="1"/>
    </xf>
    <xf numFmtId="0" fontId="8" fillId="6" borderId="0" xfId="0" applyFont="1" applyFill="1" applyAlignment="1">
      <alignment horizontal="center" vertical="center" shrinkToFit="1"/>
    </xf>
    <xf numFmtId="167" fontId="8" fillId="6" borderId="0" xfId="0" applyNumberFormat="1" applyFont="1" applyFill="1" applyAlignment="1">
      <alignment horizontal="center" vertical="center" shrinkToFit="1"/>
    </xf>
    <xf numFmtId="167" fontId="10" fillId="6" borderId="0" xfId="0" applyNumberFormat="1" applyFont="1" applyFill="1" applyAlignment="1">
      <alignment horizontal="center" vertical="center" shrinkToFit="1"/>
    </xf>
    <xf numFmtId="0" fontId="12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1" fontId="3" fillId="6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/>
    </xf>
    <xf numFmtId="165" fontId="14" fillId="6" borderId="1" xfId="0" applyNumberFormat="1" applyFont="1" applyFill="1" applyBorder="1" applyAlignment="1">
      <alignment horizontal="center" vertical="center"/>
    </xf>
    <xf numFmtId="167" fontId="3" fillId="6" borderId="1" xfId="0" applyNumberFormat="1" applyFont="1" applyFill="1" applyBorder="1" applyAlignment="1">
      <alignment horizontal="center" vertical="center"/>
    </xf>
    <xf numFmtId="167" fontId="7" fillId="6" borderId="1" xfId="0" applyNumberFormat="1" applyFont="1" applyFill="1" applyBorder="1" applyAlignment="1">
      <alignment horizontal="center" vertical="center"/>
    </xf>
    <xf numFmtId="167" fontId="7" fillId="6" borderId="7" xfId="0" applyNumberFormat="1" applyFont="1" applyFill="1" applyBorder="1" applyAlignment="1">
      <alignment horizontal="center" vertical="center"/>
    </xf>
    <xf numFmtId="165" fontId="3" fillId="6" borderId="0" xfId="0" applyNumberFormat="1" applyFont="1" applyFill="1" applyAlignment="1">
      <alignment horizontal="center" vertical="center"/>
    </xf>
    <xf numFmtId="167" fontId="7" fillId="6" borderId="8" xfId="0" applyNumberFormat="1" applyFont="1" applyFill="1" applyBorder="1" applyAlignment="1">
      <alignment horizontal="center" vertical="center"/>
    </xf>
    <xf numFmtId="1" fontId="3" fillId="6" borderId="0" xfId="0" applyNumberFormat="1" applyFont="1" applyFill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167" fontId="3" fillId="6" borderId="0" xfId="0" applyNumberFormat="1" applyFont="1" applyFill="1" applyAlignment="1">
      <alignment horizontal="center" vertical="center"/>
    </xf>
    <xf numFmtId="167" fontId="7" fillId="6" borderId="0" xfId="0" applyNumberFormat="1" applyFont="1" applyFill="1" applyAlignment="1">
      <alignment horizontal="center" vertical="center"/>
    </xf>
    <xf numFmtId="167" fontId="13" fillId="8" borderId="6" xfId="0" applyNumberFormat="1" applyFont="1" applyFill="1" applyBorder="1" applyAlignment="1">
      <alignment horizontal="center" vertical="center" wrapText="1"/>
    </xf>
    <xf numFmtId="1" fontId="5" fillId="8" borderId="2" xfId="0" applyNumberFormat="1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167" fontId="4" fillId="8" borderId="3" xfId="0" applyNumberFormat="1" applyFont="1" applyFill="1" applyBorder="1" applyAlignment="1">
      <alignment horizontal="center" vertical="center" wrapText="1"/>
    </xf>
    <xf numFmtId="167" fontId="13" fillId="8" borderId="3" xfId="0" applyNumberFormat="1" applyFont="1" applyFill="1" applyBorder="1" applyAlignment="1">
      <alignment horizontal="center" vertical="center" wrapText="1"/>
    </xf>
    <xf numFmtId="167" fontId="4" fillId="8" borderId="4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167" fontId="10" fillId="6" borderId="0" xfId="0" applyNumberFormat="1" applyFont="1" applyFill="1" applyAlignment="1">
      <alignment horizontal="center" vertical="center" shrinkToFit="1"/>
    </xf>
    <xf numFmtId="0" fontId="5" fillId="9" borderId="0" xfId="0" applyFont="1" applyFill="1" applyAlignment="1">
      <alignment horizontal="center" vertical="center" wrapText="1"/>
    </xf>
    <xf numFmtId="20" fontId="5" fillId="9" borderId="0" xfId="0" applyNumberFormat="1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166" fontId="5" fillId="6" borderId="0" xfId="0" applyNumberFormat="1" applyFont="1" applyFill="1" applyAlignment="1">
      <alignment horizontal="center" vertical="center"/>
    </xf>
    <xf numFmtId="166" fontId="12" fillId="6" borderId="0" xfId="0" applyNumberFormat="1" applyFont="1" applyFill="1" applyAlignment="1">
      <alignment horizontal="center" vertical="center"/>
    </xf>
    <xf numFmtId="166" fontId="18" fillId="6" borderId="0" xfId="0" applyNumberFormat="1" applyFont="1" applyFill="1" applyAlignment="1">
      <alignment horizontal="center" vertical="center"/>
    </xf>
  </cellXfs>
  <cellStyles count="2">
    <cellStyle name="Komma" xfId="1" builtinId="3"/>
    <cellStyle name="Standaard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Bahnschrift"/>
        <family val="2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Bahnschrift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4" formatCode="[$-F800]dddd\,\ mmmm\ dd\,\ yyyy"/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Jonathan\RoyalForm\Perso\Suivi%20des%20heures\pointage%20test%20final.xlsx" TargetMode="External"/><Relationship Id="rId1" Type="http://schemas.openxmlformats.org/officeDocument/2006/relationships/externalLinkPath" Target="file:///P:\Jonathan\RoyalForm\Perso\Suivi%20des%20heures\pointage%20test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étails"/>
      <sheetName val="Synthèse"/>
      <sheetName val="Heures"/>
    </sheetNames>
    <sheetDataSet>
      <sheetData sheetId="0" refreshError="1">
        <row r="2">
          <cell r="B2">
            <v>45292</v>
          </cell>
          <cell r="C2">
            <v>45658</v>
          </cell>
          <cell r="D2">
            <v>46023</v>
          </cell>
          <cell r="E2">
            <v>46388</v>
          </cell>
          <cell r="F2">
            <v>46753</v>
          </cell>
          <cell r="G2">
            <v>47119</v>
          </cell>
          <cell r="H2">
            <v>47484</v>
          </cell>
          <cell r="I2">
            <v>47849</v>
          </cell>
          <cell r="J2">
            <v>48214</v>
          </cell>
          <cell r="K2">
            <v>48580</v>
          </cell>
          <cell r="L2">
            <v>48945</v>
          </cell>
        </row>
        <row r="3">
          <cell r="B3">
            <v>45380</v>
          </cell>
          <cell r="C3">
            <v>45765</v>
          </cell>
          <cell r="D3">
            <v>46115</v>
          </cell>
          <cell r="E3">
            <v>46472</v>
          </cell>
          <cell r="F3">
            <v>46857</v>
          </cell>
          <cell r="G3">
            <v>47207</v>
          </cell>
          <cell r="H3">
            <v>47592</v>
          </cell>
          <cell r="I3">
            <v>47949</v>
          </cell>
          <cell r="J3">
            <v>48299</v>
          </cell>
          <cell r="K3">
            <v>48684</v>
          </cell>
          <cell r="L3">
            <v>49041</v>
          </cell>
        </row>
        <row r="4">
          <cell r="B4">
            <v>45382</v>
          </cell>
          <cell r="C4">
            <v>45767</v>
          </cell>
          <cell r="D4">
            <v>46117</v>
          </cell>
          <cell r="E4">
            <v>46474</v>
          </cell>
          <cell r="F4">
            <v>46859</v>
          </cell>
          <cell r="G4">
            <v>47209</v>
          </cell>
          <cell r="H4">
            <v>47594</v>
          </cell>
          <cell r="I4">
            <v>47951</v>
          </cell>
          <cell r="J4">
            <v>48301</v>
          </cell>
          <cell r="K4">
            <v>48686</v>
          </cell>
          <cell r="L4">
            <v>49043</v>
          </cell>
        </row>
        <row r="5">
          <cell r="B5">
            <v>45383</v>
          </cell>
          <cell r="C5">
            <v>45768</v>
          </cell>
          <cell r="D5">
            <v>46118</v>
          </cell>
          <cell r="E5">
            <v>46475</v>
          </cell>
          <cell r="F5">
            <v>46860</v>
          </cell>
          <cell r="G5">
            <v>47210</v>
          </cell>
          <cell r="H5">
            <v>47595</v>
          </cell>
          <cell r="I5">
            <v>47952</v>
          </cell>
          <cell r="J5">
            <v>48302</v>
          </cell>
          <cell r="K5">
            <v>48687</v>
          </cell>
          <cell r="L5">
            <v>49044</v>
          </cell>
        </row>
        <row r="6">
          <cell r="B6">
            <v>45413</v>
          </cell>
          <cell r="C6">
            <v>45778</v>
          </cell>
          <cell r="D6">
            <v>46143</v>
          </cell>
          <cell r="E6">
            <v>46508</v>
          </cell>
          <cell r="F6">
            <v>46874</v>
          </cell>
          <cell r="G6">
            <v>47239</v>
          </cell>
          <cell r="H6">
            <v>47604</v>
          </cell>
          <cell r="I6">
            <v>47969</v>
          </cell>
          <cell r="J6">
            <v>48335</v>
          </cell>
          <cell r="K6">
            <v>48700</v>
          </cell>
          <cell r="L6">
            <v>49065</v>
          </cell>
        </row>
        <row r="7">
          <cell r="B7">
            <v>45420</v>
          </cell>
          <cell r="C7">
            <v>45785</v>
          </cell>
          <cell r="D7">
            <v>46150</v>
          </cell>
          <cell r="E7">
            <v>46515</v>
          </cell>
          <cell r="F7">
            <v>46881</v>
          </cell>
          <cell r="G7">
            <v>47246</v>
          </cell>
          <cell r="H7">
            <v>47611</v>
          </cell>
          <cell r="I7">
            <v>47976</v>
          </cell>
          <cell r="J7">
            <v>48342</v>
          </cell>
          <cell r="K7">
            <v>48707</v>
          </cell>
          <cell r="L7">
            <v>49072</v>
          </cell>
        </row>
        <row r="8">
          <cell r="B8">
            <v>45421</v>
          </cell>
          <cell r="C8">
            <v>45806</v>
          </cell>
          <cell r="D8">
            <v>46156</v>
          </cell>
          <cell r="E8">
            <v>46513</v>
          </cell>
          <cell r="F8">
            <v>46898</v>
          </cell>
          <cell r="G8">
            <v>47248</v>
          </cell>
          <cell r="H8">
            <v>47633</v>
          </cell>
          <cell r="I8">
            <v>47990</v>
          </cell>
          <cell r="J8">
            <v>48340</v>
          </cell>
          <cell r="K8">
            <v>48725</v>
          </cell>
          <cell r="L8">
            <v>49082</v>
          </cell>
        </row>
        <row r="9">
          <cell r="B9">
            <v>45431</v>
          </cell>
          <cell r="C9">
            <v>45816</v>
          </cell>
          <cell r="D9">
            <v>46166</v>
          </cell>
          <cell r="E9">
            <v>46523</v>
          </cell>
          <cell r="F9">
            <v>46908</v>
          </cell>
          <cell r="G9">
            <v>47258</v>
          </cell>
          <cell r="H9">
            <v>47643</v>
          </cell>
          <cell r="I9">
            <v>48000</v>
          </cell>
          <cell r="J9">
            <v>48350</v>
          </cell>
          <cell r="K9">
            <v>48735</v>
          </cell>
          <cell r="L9">
            <v>49092</v>
          </cell>
        </row>
        <row r="10">
          <cell r="B10">
            <v>45432</v>
          </cell>
          <cell r="C10">
            <v>45817</v>
          </cell>
          <cell r="D10">
            <v>46167</v>
          </cell>
          <cell r="E10">
            <v>46524</v>
          </cell>
          <cell r="F10">
            <v>46909</v>
          </cell>
          <cell r="G10">
            <v>47259</v>
          </cell>
          <cell r="H10">
            <v>47644</v>
          </cell>
          <cell r="I10">
            <v>48001</v>
          </cell>
          <cell r="J10">
            <v>48351</v>
          </cell>
          <cell r="K10">
            <v>48736</v>
          </cell>
          <cell r="L10">
            <v>49093</v>
          </cell>
        </row>
        <row r="11">
          <cell r="B11">
            <v>45487</v>
          </cell>
          <cell r="C11">
            <v>45852</v>
          </cell>
          <cell r="D11">
            <v>46217</v>
          </cell>
          <cell r="E11">
            <v>46582</v>
          </cell>
          <cell r="F11">
            <v>46948</v>
          </cell>
          <cell r="G11">
            <v>47313</v>
          </cell>
          <cell r="H11">
            <v>47678</v>
          </cell>
          <cell r="I11">
            <v>48043</v>
          </cell>
          <cell r="J11">
            <v>48409</v>
          </cell>
          <cell r="K11">
            <v>48774</v>
          </cell>
          <cell r="L11">
            <v>49139</v>
          </cell>
        </row>
        <row r="12">
          <cell r="B12">
            <v>45519</v>
          </cell>
          <cell r="C12">
            <v>45884</v>
          </cell>
          <cell r="D12">
            <v>46249</v>
          </cell>
          <cell r="E12">
            <v>46614</v>
          </cell>
          <cell r="F12">
            <v>46980</v>
          </cell>
          <cell r="G12">
            <v>47345</v>
          </cell>
          <cell r="H12">
            <v>47710</v>
          </cell>
          <cell r="I12">
            <v>48075</v>
          </cell>
          <cell r="J12">
            <v>48441</v>
          </cell>
          <cell r="K12">
            <v>48806</v>
          </cell>
          <cell r="L12">
            <v>49171</v>
          </cell>
        </row>
        <row r="13">
          <cell r="B13">
            <v>45597</v>
          </cell>
          <cell r="C13">
            <v>45962</v>
          </cell>
          <cell r="D13">
            <v>46327</v>
          </cell>
          <cell r="E13">
            <v>46692</v>
          </cell>
          <cell r="F13">
            <v>47058</v>
          </cell>
          <cell r="G13">
            <v>47423</v>
          </cell>
          <cell r="H13">
            <v>47788</v>
          </cell>
          <cell r="I13">
            <v>48153</v>
          </cell>
          <cell r="J13">
            <v>48519</v>
          </cell>
          <cell r="K13">
            <v>48884</v>
          </cell>
          <cell r="L13">
            <v>49249</v>
          </cell>
        </row>
        <row r="14">
          <cell r="B14">
            <v>45607</v>
          </cell>
          <cell r="C14">
            <v>45972</v>
          </cell>
          <cell r="D14">
            <v>46337</v>
          </cell>
          <cell r="E14">
            <v>46702</v>
          </cell>
          <cell r="F14">
            <v>47068</v>
          </cell>
          <cell r="G14">
            <v>47433</v>
          </cell>
          <cell r="H14">
            <v>47798</v>
          </cell>
          <cell r="I14">
            <v>48163</v>
          </cell>
          <cell r="J14">
            <v>48529</v>
          </cell>
          <cell r="K14">
            <v>48894</v>
          </cell>
          <cell r="L14">
            <v>49259</v>
          </cell>
        </row>
        <row r="15">
          <cell r="B15">
            <v>45651</v>
          </cell>
          <cell r="C15">
            <v>46016</v>
          </cell>
          <cell r="D15">
            <v>46381</v>
          </cell>
          <cell r="E15">
            <v>46746</v>
          </cell>
          <cell r="F15">
            <v>47112</v>
          </cell>
          <cell r="G15">
            <v>47477</v>
          </cell>
          <cell r="H15">
            <v>47842</v>
          </cell>
          <cell r="I15">
            <v>48207</v>
          </cell>
          <cell r="J15">
            <v>48573</v>
          </cell>
          <cell r="K15">
            <v>48938</v>
          </cell>
          <cell r="L15">
            <v>49303</v>
          </cell>
        </row>
        <row r="16">
          <cell r="B16">
            <v>45652</v>
          </cell>
          <cell r="C16">
            <v>46017</v>
          </cell>
          <cell r="D16">
            <v>46382</v>
          </cell>
          <cell r="E16">
            <v>46747</v>
          </cell>
          <cell r="F16">
            <v>47113</v>
          </cell>
          <cell r="G16">
            <v>47478</v>
          </cell>
          <cell r="H16">
            <v>47843</v>
          </cell>
          <cell r="I16">
            <v>48208</v>
          </cell>
          <cell r="J16">
            <v>48574</v>
          </cell>
          <cell r="K16">
            <v>48939</v>
          </cell>
          <cell r="L16">
            <v>49304</v>
          </cell>
        </row>
      </sheetData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A2:M33" totalsRowShown="0" headerRowDxfId="18" dataDxfId="17">
  <autoFilter ref="A2:M33" xr:uid="{00000000-0009-0000-0100-000001000000}"/>
  <sortState xmlns:xlrd2="http://schemas.microsoft.com/office/spreadsheetml/2017/richdata2" ref="A3:K33">
    <sortCondition ref="B2:B33"/>
  </sortState>
  <tableColumns count="13">
    <tableColumn id="1" xr3:uid="{00000000-0010-0000-0000-000001000000}" name="Semaine" dataDxfId="16">
      <calculatedColumnFormula>""&amp;WEEKNUM(B3,2)</calculatedColumnFormula>
    </tableColumn>
    <tableColumn id="2" xr3:uid="{00000000-0010-0000-0000-000002000000}" name="Date" dataDxfId="15">
      <calculatedColumnFormula>DATE(Détails!$A$1,1,1)</calculatedColumnFormula>
    </tableColumn>
    <tableColumn id="3" xr3:uid="{00000000-0010-0000-0000-000003000000}" name="Ordre" dataDxfId="14"/>
    <tableColumn id="4" xr3:uid="{00000000-0010-0000-0000-000004000000}" name="Ouverture de poste" dataDxfId="13"/>
    <tableColumn id="12" xr3:uid="{00000000-0010-0000-0000-00000C000000}" name="Pause entre 06:00 et 21:00" dataDxfId="12"/>
    <tableColumn id="5" xr3:uid="{00000000-0010-0000-0000-000005000000}" name="Pause entre 21:00 et 06:00" dataDxfId="11"/>
    <tableColumn id="6" xr3:uid="{00000000-0010-0000-0000-000006000000}" name="Fermeture de poste" dataDxfId="10"/>
    <tableColumn id="7" xr3:uid="{00000000-0010-0000-0000-000007000000}" name="Total Heures" dataDxfId="9">
      <calculatedColumnFormula>IF(OR(D3&lt;&gt;"",G3&lt;&gt;""),MOD(G3-D3-F3-E3,1),"")</calculatedColumnFormula>
    </tableColumn>
    <tableColumn id="8" xr3:uid="{00000000-0010-0000-0000-000008000000}" name="Heures de jour" dataDxfId="8">
      <calculatedColumnFormula>IF($G3&gt;$D3,MEDIAN($G3,Détails!$M$2,Détails!$M$3)-MEDIAN($D3,Détails!$M$2,Détails!$M$3),($G3&lt;$D3)*(Détails!$M$2-Détails!$M$3)+MEDIAN($G3,Détails!$M$3,Détails!$M$2)-MEDIAN($D3,Détails!$M$3,Détails!$M$2))-$E3</calculatedColumnFormula>
    </tableColumn>
    <tableColumn id="9" xr3:uid="{00000000-0010-0000-0000-000009000000}" name="Heures de nuit" dataDxfId="7">
      <calculatedColumnFormula>MOD($G3-$D3,1)-($G3&lt;$D3)*(Détails!$M$2-Détails!$M$3)-MEDIAN($G3,Détails!$M$3,Détails!$M$2)+MEDIAN($D3,Détails!$M$3,Détails!$M$2)-$F3</calculatedColumnFormula>
    </tableColumn>
    <tableColumn id="10" xr3:uid="{00000000-0010-0000-0000-00000A000000}" name="Total semaine" dataDxfId="6">
      <calculatedColumnFormula>IF(OR(WEEKDAY(Tabel1[[#This Row],[Date]],2)=7, DAY(Tabel1[[#This Row],[Date]])=DAY(EOMONTH(Tabel1[[#This Row],[Date]],0))),SUMIF(Tabel1[Semaine],Tabel1[[#This Row],[Semaine]],Tabel1[Total Heures]),0)</calculatedColumnFormula>
    </tableColumn>
    <tableColumn id="11" xr3:uid="{00000000-0010-0000-0000-00000B000000}" name="Heures supplémentaires" dataDxfId="0">
      <calculatedColumnFormula array="1">IFERROR(MAX(0,H3-INDEX(Détails!$E$10:$F$11,1+(WEEKDAY(Tabel1[[#This Row],[Date]],2)=5),MATCH($O$2,Détails!$E$9:$F$9,0))),"-")</calculatedColumnFormula>
    </tableColumn>
    <tableColumn id="13" xr3:uid="{DFE86391-BE33-4EBC-A2DA-C3C921CBBA20}" name="Total heures supplémentaires" dataDxfId="5">
      <calculatedColumnFormula>IF(OR(WEEKDAY(Tabel1[[#This Row],[Date]],2)=7, DAY(Tabel1[[#This Row],[Date]])=DAY(EOMONTH(Tabel1[[#This Row],[Date]],0))),SUMIF(Tabel1[Semaine],Tabel1[[#This Row],[Semaine]],Tabel1[Heures supplémentaires]),0)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38"/>
  <sheetViews>
    <sheetView workbookViewId="0">
      <selection activeCell="E9" sqref="E9"/>
    </sheetView>
  </sheetViews>
  <sheetFormatPr defaultColWidth="11.5703125" defaultRowHeight="11.25" x14ac:dyDescent="0.25"/>
  <cols>
    <col min="1" max="2" width="30.7109375" style="9" customWidth="1"/>
    <col min="3" max="3" width="8.7109375" style="9" customWidth="1"/>
    <col min="4" max="5" width="30.7109375" style="9" customWidth="1"/>
    <col min="6" max="6" width="8.7109375" style="9" customWidth="1"/>
    <col min="7" max="8" width="30.7109375" style="9" customWidth="1"/>
    <col min="9" max="9" width="8.7109375" style="9" customWidth="1"/>
    <col min="10" max="11" width="30.7109375" style="9" customWidth="1"/>
    <col min="12" max="12" width="8.7109375" style="9" customWidth="1"/>
    <col min="13" max="13" width="20.7109375" style="9" customWidth="1"/>
    <col min="14" max="14" width="8.7109375" style="9" customWidth="1"/>
    <col min="15" max="22" width="20.7109375" style="9" customWidth="1"/>
    <col min="23" max="16384" width="11.5703125" style="9"/>
  </cols>
  <sheetData>
    <row r="1" spans="1:22" ht="19.899999999999999" customHeight="1" x14ac:dyDescent="0.25">
      <c r="A1" s="57">
        <v>2024</v>
      </c>
      <c r="B1" s="57"/>
      <c r="C1" s="7"/>
      <c r="D1" s="54" t="s">
        <v>44</v>
      </c>
      <c r="E1" s="54"/>
      <c r="F1" s="8"/>
      <c r="G1" s="55" t="s">
        <v>67</v>
      </c>
      <c r="H1" s="55"/>
      <c r="I1" s="8"/>
      <c r="J1" s="53" t="s">
        <v>28</v>
      </c>
      <c r="K1" s="53"/>
      <c r="M1" s="20" t="s">
        <v>22</v>
      </c>
      <c r="O1" s="51"/>
      <c r="P1" s="12" t="s">
        <v>74</v>
      </c>
      <c r="Q1" s="12" t="s">
        <v>75</v>
      </c>
      <c r="R1" s="12" t="s">
        <v>76</v>
      </c>
      <c r="S1" s="12" t="s">
        <v>77</v>
      </c>
      <c r="T1" s="12" t="s">
        <v>78</v>
      </c>
      <c r="U1" s="12" t="s">
        <v>79</v>
      </c>
      <c r="V1" s="21" t="s">
        <v>80</v>
      </c>
    </row>
    <row r="2" spans="1:22" ht="19.899999999999999" customHeight="1" x14ac:dyDescent="0.25">
      <c r="A2" s="10" t="s">
        <v>54</v>
      </c>
      <c r="B2" s="10">
        <f>DATE(A1,1,1)</f>
        <v>45292</v>
      </c>
      <c r="C2" s="11"/>
      <c r="D2" s="12" t="s">
        <v>45</v>
      </c>
      <c r="E2" s="13">
        <f>E4/E3</f>
        <v>0.32500000000000001</v>
      </c>
      <c r="F2" s="14"/>
      <c r="G2" s="10"/>
      <c r="H2" s="10"/>
      <c r="I2" s="9">
        <f t="shared" ref="I2:I11" si="0">NETWORKDAYS.INTL(G2,H2,1,K$2:K$16)</f>
        <v>0</v>
      </c>
      <c r="J2" s="15" t="s">
        <v>29</v>
      </c>
      <c r="K2" s="10">
        <f>DATE(A1,1,1)</f>
        <v>45292</v>
      </c>
      <c r="M2" s="16">
        <v>0.875</v>
      </c>
      <c r="O2" s="12" t="s">
        <v>1</v>
      </c>
      <c r="P2" s="17">
        <f>DAY(EOMONTH(Janvier!$B$3,0))</f>
        <v>31</v>
      </c>
      <c r="Q2" s="17">
        <f>NETWORKDAYS.INTL(Janvier!$B$3,EOMONTH(Janvier!$B$3,0),,MesFeries)</f>
        <v>22</v>
      </c>
      <c r="R2" s="17">
        <f>NETWORKDAYS.INTL(Janvier!$B$3,EOMONTH(Janvier!$B$3,0),"1111101")</f>
        <v>4</v>
      </c>
      <c r="S2" s="17">
        <f>NETWORKDAYS.INTL(Janvier!$B$3,EOMONTH(Janvier!$B$3,0),"1111110")</f>
        <v>4</v>
      </c>
      <c r="T2" s="17">
        <f>NETWORKDAYS.INTL(Janvier!$B$3,EOMONTH(Janvier!$B$3,0),"1111100")</f>
        <v>8</v>
      </c>
      <c r="U2" s="17">
        <f>DAY(EOMONTH(Janvier!$B$3,0))-NETWORKDAYS.INTL(Janvier!$B$3,EOMONTH(Janvier!$B$3,0),"0000000",MesFeries)</f>
        <v>1</v>
      </c>
      <c r="V2" s="17">
        <f>NETWORKDAYS.INTL(Janvier!$B$3,EOMONTH(Janvier!$B$3,0),"1111100")-NETWORKDAYS.INTL(Janvier!$B$3,EOMONTH(Janvier!$B$3,0),"1111100",MesFeries)</f>
        <v>0</v>
      </c>
    </row>
    <row r="3" spans="1:22" ht="19.899999999999999" customHeight="1" x14ac:dyDescent="0.25">
      <c r="A3" s="10" t="s">
        <v>55</v>
      </c>
      <c r="B3" s="10">
        <f>DATE(A1,12,31)</f>
        <v>45657</v>
      </c>
      <c r="C3" s="11"/>
      <c r="D3" s="12" t="s">
        <v>62</v>
      </c>
      <c r="E3" s="12">
        <v>5</v>
      </c>
      <c r="F3" s="14"/>
      <c r="G3" s="10"/>
      <c r="H3" s="10"/>
      <c r="I3" s="9">
        <f t="shared" si="0"/>
        <v>0</v>
      </c>
      <c r="J3" s="15" t="s">
        <v>30</v>
      </c>
      <c r="K3" s="10">
        <f>K4-2</f>
        <v>45380</v>
      </c>
      <c r="M3" s="16">
        <v>0.25</v>
      </c>
      <c r="O3" s="12" t="s">
        <v>2</v>
      </c>
      <c r="P3" s="17">
        <f>DAY(EOMONTH(Février!$B$3,0))</f>
        <v>31</v>
      </c>
      <c r="Q3" s="17">
        <f>NETWORKDAYS.INTL(Février!$B$3,EOMONTH(Février!$B$3,0),,MesFeries)</f>
        <v>22</v>
      </c>
      <c r="R3" s="17">
        <f>NETWORKDAYS.INTL(Février!$B$3,EOMONTH(Février!$B$3,0),"1111101")</f>
        <v>5</v>
      </c>
      <c r="S3" s="17">
        <f>NETWORKDAYS.INTL(Février!$B$3,EOMONTH(Février!$B$3,0),"1111110")</f>
        <v>5</v>
      </c>
      <c r="T3" s="17">
        <f>NETWORKDAYS.INTL(Février!$B$3,EOMONTH(Février!$B$3,0),"1111100")</f>
        <v>10</v>
      </c>
      <c r="U3" s="17">
        <f>DAY(EOMONTH(Février!$B$3,0))-NETWORKDAYS.INTL(Février!$B$3,EOMONTH(Février!$B$3,0),"0000000",MesFeries)</f>
        <v>-1</v>
      </c>
      <c r="V3" s="17">
        <f>NETWORKDAYS.INTL(Février!$B$3,EOMONTH(Février!$B$3,0),"1111100")-NETWORKDAYS.INTL(Février!$B$3,EOMONTH(Février!$B$3,0),"1111100",MesFeries)</f>
        <v>0</v>
      </c>
    </row>
    <row r="4" spans="1:22" ht="19.899999999999999" customHeight="1" x14ac:dyDescent="0.25">
      <c r="A4" s="12" t="s">
        <v>56</v>
      </c>
      <c r="B4" s="17">
        <f>+B3-B2+1</f>
        <v>366</v>
      </c>
      <c r="C4" s="18"/>
      <c r="D4" s="12" t="s">
        <v>46</v>
      </c>
      <c r="E4" s="13">
        <v>1.625</v>
      </c>
      <c r="F4" s="19"/>
      <c r="G4" s="10"/>
      <c r="H4" s="10"/>
      <c r="I4" s="9">
        <f t="shared" si="0"/>
        <v>0</v>
      </c>
      <c r="J4" s="15" t="s">
        <v>43</v>
      </c>
      <c r="K4" s="10">
        <f>ROUND(DATE(A1,4,MOD(234-11*MOD($A$1,19),30))/7,)*7-6</f>
        <v>45382</v>
      </c>
      <c r="O4" s="12" t="s">
        <v>3</v>
      </c>
      <c r="P4" s="17">
        <f>DAY(EOMONTH(Mars!$B$3,0))</f>
        <v>31</v>
      </c>
      <c r="Q4" s="17">
        <f>NETWORKDAYS.INTL(Mars!$B$3,EOMONTH(Mars!$B$3,0),,MesFeries)</f>
        <v>22</v>
      </c>
      <c r="R4" s="17">
        <f>NETWORKDAYS.INTL(Mars!$B$3,EOMONTH(Mars!$B$3,0),"1111101")</f>
        <v>5</v>
      </c>
      <c r="S4" s="17">
        <f>NETWORKDAYS.INTL(Mars!$B$3,EOMONTH(Mars!$B$3,0),"1111110")</f>
        <v>5</v>
      </c>
      <c r="T4" s="17">
        <f>NETWORKDAYS.INTL(Mars!$B$3,EOMONTH(Mars!$B$3,0),"1111100")</f>
        <v>10</v>
      </c>
      <c r="U4" s="17">
        <f>DAY(EOMONTH(Mars!$B$3,0))-NETWORKDAYS.INTL(Mars!$B$3,EOMONTH(Mars!$B$3,0),"0000000",MesFeries)</f>
        <v>-1</v>
      </c>
      <c r="V4" s="17">
        <f>NETWORKDAYS.INTL(Mars!$B$3,EOMONTH(Mars!$B$3,0),"1111100")-NETWORKDAYS.INTL(Mars!$B$3,EOMONTH(Mars!$B$3,0),"1111100",MesFeries)</f>
        <v>0</v>
      </c>
    </row>
    <row r="5" spans="1:22" ht="19.899999999999999" customHeight="1" x14ac:dyDescent="0.25">
      <c r="A5" s="12" t="s">
        <v>58</v>
      </c>
      <c r="B5" s="12">
        <f>NETWORKDAYS.INTL(B2,B3,,MesFeries)</f>
        <v>250</v>
      </c>
      <c r="D5" s="12" t="s">
        <v>47</v>
      </c>
      <c r="E5" s="13">
        <f>E4*4.33333</f>
        <v>7.0416612500000006</v>
      </c>
      <c r="F5" s="14"/>
      <c r="G5" s="10"/>
      <c r="H5" s="10"/>
      <c r="I5" s="9">
        <f t="shared" si="0"/>
        <v>0</v>
      </c>
      <c r="J5" s="15" t="s">
        <v>31</v>
      </c>
      <c r="K5" s="10">
        <f>K4+1</f>
        <v>45383</v>
      </c>
      <c r="O5" s="12" t="s">
        <v>4</v>
      </c>
      <c r="P5" s="17">
        <f>DAY(EOMONTH(Avril!$B$3,0))</f>
        <v>31</v>
      </c>
      <c r="Q5" s="17">
        <f>NETWORKDAYS.INTL(Avril!$B$3,EOMONTH(Avril!$B$3,0),,MesFeries)</f>
        <v>22</v>
      </c>
      <c r="R5" s="17">
        <f>NETWORKDAYS.INTL(Avril!$B$3,EOMONTH(Avril!$B$3,0),"1111101")</f>
        <v>5</v>
      </c>
      <c r="S5" s="17">
        <f>NETWORKDAYS.INTL(Avril!$B$3,EOMONTH(Avril!$B$3,0),"1111110")</f>
        <v>5</v>
      </c>
      <c r="T5" s="17">
        <f>NETWORKDAYS.INTL(Avril!$B$3,EOMONTH(Avril!$B$3,0),"1111100")</f>
        <v>10</v>
      </c>
      <c r="U5" s="17">
        <f>DAY(EOMONTH(Avril!$B$3,0))-NETWORKDAYS.INTL(Avril!$B$3,EOMONTH(Avril!$B$3,0),"0000000",MesFeries)</f>
        <v>-1</v>
      </c>
      <c r="V5" s="17">
        <f>NETWORKDAYS.INTL(Avril!$B$3,EOMONTH(Avril!$B$3,0),"1111100")-NETWORKDAYS.INTL(Avril!$B$3,EOMONTH(Avril!$B$3,0),"1111100",MesFeries)</f>
        <v>0</v>
      </c>
    </row>
    <row r="6" spans="1:22" ht="19.899999999999999" customHeight="1" x14ac:dyDescent="0.25">
      <c r="A6" s="12" t="s">
        <v>57</v>
      </c>
      <c r="B6" s="17">
        <f>NETWORKDAYS.INTL(B2,B3,"1111100")</f>
        <v>104</v>
      </c>
      <c r="D6" s="12" t="s">
        <v>61</v>
      </c>
      <c r="E6" s="12">
        <v>218</v>
      </c>
      <c r="F6" s="14"/>
      <c r="G6" s="10"/>
      <c r="H6" s="10"/>
      <c r="I6" s="9">
        <f t="shared" si="0"/>
        <v>0</v>
      </c>
      <c r="J6" s="15" t="s">
        <v>32</v>
      </c>
      <c r="K6" s="10">
        <f>DATE(A1,5,1)</f>
        <v>45413</v>
      </c>
      <c r="O6" s="12" t="s">
        <v>5</v>
      </c>
      <c r="P6" s="17">
        <f>DAY(EOMONTH(Mai!$B$3,0))</f>
        <v>31</v>
      </c>
      <c r="Q6" s="17">
        <f>NETWORKDAYS.INTL(Mai!$B$3,EOMONTH(Mai!$B$3,0),,MesFeries)</f>
        <v>22</v>
      </c>
      <c r="R6" s="17">
        <f>NETWORKDAYS.INTL(Mai!$B$3,EOMONTH(Mai!$B$3,0),"1111101")</f>
        <v>5</v>
      </c>
      <c r="S6" s="17">
        <f>NETWORKDAYS.INTL(Mai!$B$3,EOMONTH(Mai!$B$3,0),"1111110")</f>
        <v>5</v>
      </c>
      <c r="T6" s="17">
        <f>NETWORKDAYS.INTL(Mai!$B$3,EOMONTH(Mai!$B$3,0),"1111100")</f>
        <v>10</v>
      </c>
      <c r="U6" s="17">
        <f>DAY(EOMONTH(Mai!$B$3,0))-NETWORKDAYS.INTL(Mai!$B$3,EOMONTH(Mai!$B$3,0),"0000000",MesFeries)</f>
        <v>-1</v>
      </c>
      <c r="V6" s="17">
        <f>NETWORKDAYS.INTL(Mai!$B$3,EOMONTH(Mai!$B$3,0),"1111100")-NETWORKDAYS.INTL(Mai!$B$3,EOMONTH(Mai!$B$3,0),"1111100",MesFeries)</f>
        <v>0</v>
      </c>
    </row>
    <row r="7" spans="1:22" ht="19.899999999999999" customHeight="1" x14ac:dyDescent="0.25">
      <c r="A7" s="12" t="s">
        <v>59</v>
      </c>
      <c r="B7" s="12">
        <f>NETWORKDAYS.INTL(B2,B3)-NETWORKDAYS.INTL(B2,B3,,MesFeries)</f>
        <v>12</v>
      </c>
      <c r="D7" s="12" t="s">
        <v>66</v>
      </c>
      <c r="E7" s="12">
        <v>25</v>
      </c>
      <c r="F7" s="14"/>
      <c r="G7" s="10"/>
      <c r="H7" s="10"/>
      <c r="I7" s="9">
        <f t="shared" si="0"/>
        <v>0</v>
      </c>
      <c r="J7" s="15" t="s">
        <v>38</v>
      </c>
      <c r="K7" s="10">
        <f>DATE(A1,5,8)</f>
        <v>45420</v>
      </c>
      <c r="O7" s="12" t="s">
        <v>6</v>
      </c>
      <c r="P7" s="17">
        <f>DAY(EOMONTH(Juin!$B$3,0))</f>
        <v>31</v>
      </c>
      <c r="Q7" s="17">
        <f>NETWORKDAYS.INTL(Juin!$B$3,EOMONTH(Juin!$B$3,0),,MesFeries)</f>
        <v>22</v>
      </c>
      <c r="R7" s="17">
        <f>NETWORKDAYS.INTL(Juin!$B$3,EOMONTH(Juin!$B$3,0),"1111101")</f>
        <v>5</v>
      </c>
      <c r="S7" s="17">
        <f>NETWORKDAYS.INTL(Juin!$B$3,EOMONTH(Juin!$B$3,0),"1111110")</f>
        <v>5</v>
      </c>
      <c r="T7" s="17">
        <f>NETWORKDAYS.INTL(Juin!$B$3,EOMONTH(Juin!$B$3,0),"1111100")</f>
        <v>10</v>
      </c>
      <c r="U7" s="17">
        <f>DAY(EOMONTH(Juin!$B$3,0))-NETWORKDAYS.INTL(Juin!$B$3,EOMONTH(Juin!$B$3,0),"0000000",MesFeries)</f>
        <v>-1</v>
      </c>
      <c r="V7" s="17">
        <f>NETWORKDAYS.INTL(Juin!$B$3,EOMONTH(Juin!$B$3,0),"1111100")-NETWORKDAYS.INTL(Juin!$B$3,EOMONTH(Juin!$B$3,0),"1111100",MesFeries)</f>
        <v>0</v>
      </c>
    </row>
    <row r="8" spans="1:22" ht="19.899999999999999" customHeight="1" x14ac:dyDescent="0.25">
      <c r="A8" s="12" t="s">
        <v>60</v>
      </c>
      <c r="B8" s="12">
        <f>NETWORKDAYS.INTL(B2,B3,"1111100")-NETWORKDAYS.INTL(B2,B3,"1111100",MesFeries)</f>
        <v>3</v>
      </c>
      <c r="D8" s="12" t="s">
        <v>65</v>
      </c>
      <c r="E8" s="17">
        <f>B4-B6-B7-E6-E7</f>
        <v>7</v>
      </c>
      <c r="F8" s="14"/>
      <c r="G8" s="10"/>
      <c r="H8" s="10"/>
      <c r="I8" s="9">
        <f t="shared" si="0"/>
        <v>0</v>
      </c>
      <c r="J8" s="15" t="s">
        <v>33</v>
      </c>
      <c r="K8" s="10">
        <f>K4+39</f>
        <v>45421</v>
      </c>
      <c r="O8" s="12" t="s">
        <v>7</v>
      </c>
      <c r="P8" s="17">
        <f>DAY(EOMONTH(Juillet!$B$3,0))</f>
        <v>31</v>
      </c>
      <c r="Q8" s="17">
        <f>NETWORKDAYS.INTL(Juillet!$B$3,EOMONTH(Juillet!$B$3,0),,MesFeries)</f>
        <v>22</v>
      </c>
      <c r="R8" s="17">
        <f>NETWORKDAYS.INTL(Juillet!$B$3,EOMONTH(Juillet!$B$3,0),"1111101")</f>
        <v>5</v>
      </c>
      <c r="S8" s="17">
        <f>NETWORKDAYS.INTL(Juillet!$B$3,EOMONTH(Juillet!$B$3,0),"1111110")</f>
        <v>5</v>
      </c>
      <c r="T8" s="17">
        <f>NETWORKDAYS.INTL(Juillet!$B$3,EOMONTH(Juillet!$B$3,0),"1111100")</f>
        <v>10</v>
      </c>
      <c r="U8" s="17">
        <f>DAY(EOMONTH(Juillet!$B$3,0))-NETWORKDAYS.INTL(Juillet!$B$3,EOMONTH(Juillet!$B$3,0),"0000000",MesFeries)</f>
        <v>-1</v>
      </c>
      <c r="V8" s="17">
        <f>NETWORKDAYS.INTL(Juillet!$B$3,EOMONTH(Juillet!$B$3,0),"1111100")-NETWORKDAYS.INTL(Juillet!$B$3,EOMONTH(Juillet!$B$3,0),"1111100",MesFeries)</f>
        <v>0</v>
      </c>
    </row>
    <row r="9" spans="1:22" ht="19.899999999999999" customHeight="1" x14ac:dyDescent="0.25">
      <c r="A9" s="56"/>
      <c r="B9" s="56"/>
      <c r="E9" s="62">
        <v>1.625</v>
      </c>
      <c r="F9" s="62">
        <v>1.4583333333333333</v>
      </c>
      <c r="G9" s="10"/>
      <c r="H9" s="10"/>
      <c r="I9" s="9">
        <f t="shared" si="0"/>
        <v>0</v>
      </c>
      <c r="J9" s="15" t="s">
        <v>42</v>
      </c>
      <c r="K9" s="10">
        <f>K4+49</f>
        <v>45431</v>
      </c>
      <c r="O9" s="12" t="s">
        <v>8</v>
      </c>
      <c r="P9" s="17">
        <f>DAY(EOMONTH(Août!$B$3,0))</f>
        <v>31</v>
      </c>
      <c r="Q9" s="17">
        <f>NETWORKDAYS.INTL(Août!$B$3,EOMONTH(Août!$B$3,0),,MesFeries)</f>
        <v>22</v>
      </c>
      <c r="R9" s="17">
        <f>NETWORKDAYS.INTL(Août!$B$3,EOMONTH(Août!$B$3,0),"1111101")</f>
        <v>5</v>
      </c>
      <c r="S9" s="17">
        <f>NETWORKDAYS.INTL(Août!$B$3,EOMONTH(Août!$B$3,0),"1111110")</f>
        <v>5</v>
      </c>
      <c r="T9" s="17">
        <f>NETWORKDAYS.INTL(Août!$B$3,EOMONTH(Août!$B$3,0),"1111100")</f>
        <v>10</v>
      </c>
      <c r="U9" s="17">
        <f>DAY(EOMONTH(Août!$B$3,0))-NETWORKDAYS.INTL(Août!$B$3,EOMONTH(Août!$B$3,0),"0000000",MesFeries)</f>
        <v>-1</v>
      </c>
      <c r="V9" s="17">
        <f>NETWORKDAYS.INTL(Août!$B$3,EOMONTH(Août!$B$3,0),"1111100")-NETWORKDAYS.INTL(Août!$B$3,EOMONTH(Août!$B$3,0),"1111100",MesFeries)</f>
        <v>0</v>
      </c>
    </row>
    <row r="10" spans="1:22" ht="19.899999999999999" customHeight="1" x14ac:dyDescent="0.25">
      <c r="A10" s="52" t="s">
        <v>63</v>
      </c>
      <c r="B10" s="52"/>
      <c r="C10" s="14"/>
      <c r="D10" s="59" t="s">
        <v>82</v>
      </c>
      <c r="E10" s="60">
        <v>0.33333333333333331</v>
      </c>
      <c r="F10" s="60">
        <v>0.29166666666666669</v>
      </c>
      <c r="G10" s="10"/>
      <c r="H10" s="10"/>
      <c r="I10" s="9">
        <f t="shared" si="0"/>
        <v>0</v>
      </c>
      <c r="J10" s="15" t="s">
        <v>34</v>
      </c>
      <c r="K10" s="10">
        <f>K9+1</f>
        <v>45432</v>
      </c>
      <c r="O10" s="12" t="s">
        <v>9</v>
      </c>
      <c r="P10" s="17">
        <f>DAY(EOMONTH(Septembre!$B$3,0))</f>
        <v>31</v>
      </c>
      <c r="Q10" s="17">
        <f>NETWORKDAYS.INTL(Septembre!$B$3,EOMONTH(Septembre!$B$3,0),,MesFeries)</f>
        <v>22</v>
      </c>
      <c r="R10" s="17">
        <f>NETWORKDAYS.INTL(Septembre!$B$3,EOMONTH(Septembre!$B$3,0),"1111101")</f>
        <v>5</v>
      </c>
      <c r="S10" s="17">
        <f>NETWORKDAYS.INTL(Septembre!$B$3,EOMONTH(Septembre!$B$3,0),"1111110")</f>
        <v>5</v>
      </c>
      <c r="T10" s="17">
        <f>NETWORKDAYS.INTL(Septembre!$B$3,EOMONTH(Septembre!$B$3,0),"1111100")</f>
        <v>10</v>
      </c>
      <c r="U10" s="17">
        <f>DAY(EOMONTH(Septembre!$B$3,0))-NETWORKDAYS.INTL(Septembre!$B$3,EOMONTH(Septembre!$B$3,0),"0000000",MesFeries)</f>
        <v>-1</v>
      </c>
      <c r="V10" s="17">
        <f>NETWORKDAYS.INTL(Septembre!$B$3,EOMONTH(Septembre!$B$3,0),"1111100")-NETWORKDAYS.INTL(Septembre!$B$3,EOMONTH(Septembre!$B$3,0),"1111100",MesFeries)</f>
        <v>0</v>
      </c>
    </row>
    <row r="11" spans="1:22" ht="19.899999999999999" customHeight="1" x14ac:dyDescent="0.25">
      <c r="A11" s="12" t="s">
        <v>52</v>
      </c>
      <c r="B11" s="10">
        <v>45413</v>
      </c>
      <c r="C11" s="14"/>
      <c r="D11" s="61" t="s">
        <v>83</v>
      </c>
      <c r="E11" s="60">
        <v>0.29166666666666669</v>
      </c>
      <c r="F11" s="60">
        <v>0.29166666666666669</v>
      </c>
      <c r="G11" s="10"/>
      <c r="H11" s="10"/>
      <c r="I11" s="9">
        <f t="shared" si="0"/>
        <v>0</v>
      </c>
      <c r="J11" s="15" t="s">
        <v>35</v>
      </c>
      <c r="K11" s="10">
        <f>DATE(A1,7,14)</f>
        <v>45487</v>
      </c>
      <c r="O11" s="12" t="s">
        <v>10</v>
      </c>
      <c r="P11" s="17">
        <f>DAY(EOMONTH(Octobre!$B$3,0))</f>
        <v>31</v>
      </c>
      <c r="Q11" s="17">
        <f>NETWORKDAYS.INTL(Octobre!$B$3,EOMONTH(Octobre!$B$3,0),,MesFeries)</f>
        <v>22</v>
      </c>
      <c r="R11" s="17">
        <f>NETWORKDAYS.INTL(Octobre!$B$3,EOMONTH(Octobre!$B$3,0),"1111101")</f>
        <v>5</v>
      </c>
      <c r="S11" s="17">
        <f>NETWORKDAYS.INTL(Octobre!$B$3,EOMONTH(Octobre!$B$3,0),"1111110")</f>
        <v>5</v>
      </c>
      <c r="T11" s="17">
        <f>NETWORKDAYS.INTL(Octobre!$B$3,EOMONTH(Octobre!$B$3,0),"1111100")</f>
        <v>10</v>
      </c>
      <c r="U11" s="17">
        <f>DAY(EOMONTH(Octobre!$B$3,0))-NETWORKDAYS.INTL(Octobre!$B$3,EOMONTH(Octobre!$B$3,0),"0000000",MesFeries)</f>
        <v>-1</v>
      </c>
      <c r="V11" s="17">
        <f>NETWORKDAYS.INTL(Octobre!$B$3,EOMONTH(Octobre!$B$3,0),"1111100")-NETWORKDAYS.INTL(Octobre!$B$3,EOMONTH(Octobre!$B$3,0),"1111100",MesFeries)</f>
        <v>0</v>
      </c>
    </row>
    <row r="12" spans="1:22" ht="19.899999999999999" customHeight="1" x14ac:dyDescent="0.25">
      <c r="A12" s="12" t="s">
        <v>53</v>
      </c>
      <c r="B12" s="10">
        <v>45432</v>
      </c>
      <c r="C12" s="14"/>
      <c r="J12" s="15" t="s">
        <v>36</v>
      </c>
      <c r="K12" s="10">
        <f>DATE($A$1,8,15)</f>
        <v>45519</v>
      </c>
      <c r="O12" s="12" t="s">
        <v>11</v>
      </c>
      <c r="P12" s="17">
        <f>DAY(EOMONTH(Novembre!$B$3,0))</f>
        <v>31</v>
      </c>
      <c r="Q12" s="17">
        <f>NETWORKDAYS.INTL(Novembre!$B$3,EOMONTH(Novembre!$B$3,0),,MesFeries)</f>
        <v>22</v>
      </c>
      <c r="R12" s="17">
        <f>NETWORKDAYS.INTL(Novembre!$B$3,EOMONTH(Novembre!$B$3,0),"1111101")</f>
        <v>5</v>
      </c>
      <c r="S12" s="17">
        <f>NETWORKDAYS.INTL(Novembre!$B$3,EOMONTH(Novembre!$B$3,0),"1111110")</f>
        <v>5</v>
      </c>
      <c r="T12" s="17">
        <f>NETWORKDAYS.INTL(Novembre!$B$3,EOMONTH(Novembre!$B$3,0),"1111100")</f>
        <v>10</v>
      </c>
      <c r="U12" s="17">
        <f>DAY(EOMONTH(Novembre!$B$3,0))-NETWORKDAYS.INTL(Novembre!$B$3,EOMONTH(Novembre!$B$3,0),"0000000",MesFeries)</f>
        <v>-1</v>
      </c>
      <c r="V12" s="17">
        <f>NETWORKDAYS.INTL(Novembre!$B$3,EOMONTH(Novembre!$B$3,0),"1111100")-NETWORKDAYS.INTL(Novembre!$B$3,EOMONTH(Novembre!$B$3,0),"1111100",MesFeries)</f>
        <v>0</v>
      </c>
    </row>
    <row r="13" spans="1:22" ht="19.899999999999999" customHeight="1" x14ac:dyDescent="0.25">
      <c r="A13" s="12" t="s">
        <v>64</v>
      </c>
      <c r="B13" s="10">
        <f>+B12-B11+1</f>
        <v>20</v>
      </c>
      <c r="C13" s="18"/>
      <c r="F13" s="14"/>
      <c r="G13" s="12" t="s">
        <v>69</v>
      </c>
      <c r="H13" s="12"/>
      <c r="J13" s="15" t="s">
        <v>37</v>
      </c>
      <c r="K13" s="10">
        <f>DATE(A1,11,1)</f>
        <v>45597</v>
      </c>
      <c r="O13" s="12" t="s">
        <v>12</v>
      </c>
      <c r="P13" s="17">
        <f>DAY(EOMONTH(Décembre!$B$3,0))</f>
        <v>31</v>
      </c>
      <c r="Q13" s="17">
        <f>NETWORKDAYS.INTL(Décembre!$B$3,EOMONTH(Décembre!$B$3,0),,MesFeries)</f>
        <v>22</v>
      </c>
      <c r="R13" s="17">
        <f>NETWORKDAYS.INTL(Décembre!$B$3,EOMONTH(Décembre!$B$3,0),"1111101")</f>
        <v>5</v>
      </c>
      <c r="S13" s="17">
        <f>NETWORKDAYS.INTL(Décembre!$B$3,EOMONTH(Décembre!$B$3,0),"1111110")</f>
        <v>5</v>
      </c>
      <c r="T13" s="17">
        <f>NETWORKDAYS.INTL(Décembre!$B$3,EOMONTH(Décembre!$B$3,0),"1111100")</f>
        <v>10</v>
      </c>
      <c r="U13" s="17">
        <f>DAY(EOMONTH(Décembre!$B$3,0))-NETWORKDAYS.INTL(Décembre!$B$3,EOMONTH(Décembre!$B$3,0),"0000000",MesFeries)</f>
        <v>-1</v>
      </c>
      <c r="V13" s="17">
        <f>NETWORKDAYS.INTL(Décembre!$B$3,EOMONTH(Décembre!$B$3,0),"1111100")-NETWORKDAYS.INTL(Décembre!$B$3,EOMONTH(Décembre!$B$3,0),"1111100",MesFeries)</f>
        <v>0</v>
      </c>
    </row>
    <row r="14" spans="1:22" ht="19.899999999999999" customHeight="1" x14ac:dyDescent="0.25">
      <c r="A14" s="12" t="s">
        <v>58</v>
      </c>
      <c r="B14" s="12">
        <f>NETWORKDAYS.INTL(B11,B12,,MesFeries)</f>
        <v>10</v>
      </c>
      <c r="F14" s="14"/>
      <c r="G14" s="12" t="s">
        <v>68</v>
      </c>
      <c r="H14" s="12"/>
      <c r="J14" s="15" t="s">
        <v>39</v>
      </c>
      <c r="K14" s="10">
        <f>DATE(A1,11,11)</f>
        <v>45607</v>
      </c>
    </row>
    <row r="15" spans="1:22" ht="19.899999999999999" customHeight="1" x14ac:dyDescent="0.25">
      <c r="A15" s="12" t="s">
        <v>57</v>
      </c>
      <c r="B15" s="17">
        <f>NETWORKDAYS.INTL(B11,B12,"1111100")</f>
        <v>6</v>
      </c>
      <c r="F15" s="14"/>
      <c r="G15" s="12" t="s">
        <v>70</v>
      </c>
      <c r="H15" s="12">
        <f>SUM(I2:I11)</f>
        <v>0</v>
      </c>
      <c r="J15" s="15" t="s">
        <v>40</v>
      </c>
      <c r="K15" s="10">
        <f>DATE(A1,12,25)</f>
        <v>45651</v>
      </c>
    </row>
    <row r="16" spans="1:22" ht="19.899999999999999" customHeight="1" x14ac:dyDescent="0.25">
      <c r="A16" s="12" t="s">
        <v>59</v>
      </c>
      <c r="B16" s="17">
        <f>NETWORKDAYS.INTL(B11,B12)-NETWORKDAYS.INTL(B11,B12,,MesFeries)</f>
        <v>4</v>
      </c>
      <c r="F16" s="14"/>
      <c r="G16" s="12" t="s">
        <v>71</v>
      </c>
      <c r="H16" s="12"/>
      <c r="J16" s="15" t="s">
        <v>41</v>
      </c>
      <c r="K16" s="10">
        <f>K15+1</f>
        <v>45652</v>
      </c>
    </row>
    <row r="17" spans="1:9" ht="19.899999999999999" customHeight="1" x14ac:dyDescent="0.25">
      <c r="A17" s="12" t="s">
        <v>60</v>
      </c>
      <c r="B17" s="12">
        <f>NETWORKDAYS.INTL(B11,B12,"1111100")-NETWORKDAYS.INTL(B11,B12,"1111100",MesFeries)</f>
        <v>1</v>
      </c>
      <c r="F17" s="14"/>
      <c r="G17" s="12" t="s">
        <v>72</v>
      </c>
      <c r="H17" s="12"/>
      <c r="I17" s="14"/>
    </row>
    <row r="18" spans="1:9" ht="19.899999999999999" customHeight="1" x14ac:dyDescent="0.25">
      <c r="A18" s="14"/>
      <c r="C18" s="14"/>
      <c r="F18" s="14"/>
      <c r="I18" s="14"/>
    </row>
    <row r="19" spans="1:9" ht="19.899999999999999" customHeight="1" x14ac:dyDescent="0.25"/>
    <row r="20" spans="1:9" ht="19.899999999999999" customHeight="1" x14ac:dyDescent="0.25">
      <c r="B20" s="14"/>
      <c r="C20" s="14"/>
      <c r="D20" s="14"/>
      <c r="E20" s="14"/>
      <c r="F20" s="14"/>
      <c r="I20" s="14"/>
    </row>
    <row r="21" spans="1:9" ht="19.899999999999999" customHeight="1" x14ac:dyDescent="0.25">
      <c r="B21" s="14"/>
      <c r="C21" s="14"/>
      <c r="D21" s="14"/>
      <c r="E21" s="14"/>
      <c r="F21" s="14"/>
      <c r="I21" s="14"/>
    </row>
    <row r="22" spans="1:9" ht="19.899999999999999" customHeight="1" x14ac:dyDescent="0.25">
      <c r="B22" s="14"/>
      <c r="C22" s="14"/>
      <c r="D22" s="14"/>
      <c r="E22" s="14"/>
      <c r="F22" s="14"/>
      <c r="I22" s="14"/>
    </row>
    <row r="23" spans="1:9" ht="19.899999999999999" customHeight="1" x14ac:dyDescent="0.25">
      <c r="B23" s="14"/>
      <c r="C23" s="14"/>
      <c r="D23" s="14"/>
      <c r="E23" s="14"/>
      <c r="F23" s="14"/>
      <c r="I23" s="14"/>
    </row>
    <row r="24" spans="1:9" ht="19.899999999999999" customHeight="1" x14ac:dyDescent="0.25">
      <c r="B24" s="14"/>
      <c r="C24" s="14"/>
      <c r="D24" s="14"/>
      <c r="E24" s="14"/>
      <c r="F24" s="14"/>
      <c r="I24" s="14"/>
    </row>
    <row r="25" spans="1:9" ht="19.899999999999999" customHeight="1" x14ac:dyDescent="0.25">
      <c r="B25" s="14"/>
      <c r="C25" s="14"/>
      <c r="D25" s="14"/>
      <c r="F25" s="14"/>
      <c r="G25" s="14"/>
      <c r="H25" s="14"/>
      <c r="I25" s="14"/>
    </row>
    <row r="26" spans="1:9" ht="19.899999999999999" customHeight="1" x14ac:dyDescent="0.25">
      <c r="B26" s="14"/>
      <c r="C26" s="14"/>
      <c r="D26" s="14"/>
      <c r="F26" s="14"/>
      <c r="G26" s="14"/>
      <c r="H26" s="14"/>
      <c r="I26" s="14"/>
    </row>
    <row r="27" spans="1:9" ht="19.899999999999999" customHeight="1" x14ac:dyDescent="0.25">
      <c r="B27" s="14"/>
      <c r="C27" s="14"/>
      <c r="D27" s="14"/>
      <c r="F27" s="14"/>
      <c r="G27" s="14"/>
      <c r="H27" s="14"/>
      <c r="I27" s="14"/>
    </row>
    <row r="28" spans="1:9" ht="19.899999999999999" customHeight="1" x14ac:dyDescent="0.25">
      <c r="B28" s="14"/>
      <c r="C28" s="14"/>
      <c r="D28" s="14"/>
      <c r="F28" s="14"/>
      <c r="G28" s="14"/>
      <c r="H28" s="14"/>
      <c r="I28" s="14"/>
    </row>
    <row r="29" spans="1:9" ht="19.899999999999999" customHeight="1" x14ac:dyDescent="0.25">
      <c r="B29" s="14"/>
      <c r="C29" s="14"/>
      <c r="D29" s="14"/>
      <c r="F29" s="14"/>
      <c r="G29" s="14"/>
      <c r="H29" s="14"/>
      <c r="I29" s="14"/>
    </row>
    <row r="30" spans="1:9" ht="19.899999999999999" customHeight="1" x14ac:dyDescent="0.25">
      <c r="B30" s="14"/>
      <c r="C30" s="14"/>
      <c r="D30" s="14"/>
      <c r="F30" s="14"/>
      <c r="G30" s="14"/>
      <c r="H30" s="14"/>
      <c r="I30" s="14"/>
    </row>
    <row r="31" spans="1:9" ht="19.899999999999999" customHeight="1" x14ac:dyDescent="0.25">
      <c r="B31" s="14"/>
      <c r="C31" s="14"/>
      <c r="D31" s="14"/>
      <c r="F31" s="14"/>
      <c r="G31" s="14"/>
      <c r="H31" s="14"/>
      <c r="I31" s="14"/>
    </row>
    <row r="32" spans="1:9" ht="19.899999999999999" customHeight="1" x14ac:dyDescent="0.25">
      <c r="B32" s="14"/>
      <c r="C32" s="14"/>
      <c r="D32" s="14"/>
      <c r="F32" s="14"/>
      <c r="G32" s="14"/>
      <c r="H32" s="14"/>
      <c r="I32" s="14"/>
    </row>
    <row r="33" spans="1:9" ht="19.899999999999999" customHeight="1" x14ac:dyDescent="0.25">
      <c r="B33" s="14"/>
      <c r="C33" s="14"/>
      <c r="D33" s="14"/>
      <c r="F33" s="14"/>
      <c r="G33" s="14"/>
      <c r="H33" s="14"/>
      <c r="I33" s="14"/>
    </row>
    <row r="34" spans="1:9" ht="19.899999999999999" customHeight="1" x14ac:dyDescent="0.25">
      <c r="B34" s="14"/>
      <c r="C34" s="14"/>
      <c r="D34" s="14"/>
      <c r="E34" s="14"/>
      <c r="F34" s="14"/>
      <c r="I34" s="14"/>
    </row>
    <row r="35" spans="1:9" ht="19.899999999999999" customHeight="1" x14ac:dyDescent="0.25">
      <c r="A35" s="14">
        <f t="shared" ref="A35:A38" si="1">A34+1</f>
        <v>1</v>
      </c>
      <c r="B35" s="14"/>
      <c r="C35" s="14"/>
      <c r="D35" s="14"/>
      <c r="E35" s="14"/>
      <c r="F35" s="14"/>
      <c r="I35" s="14"/>
    </row>
    <row r="36" spans="1:9" ht="19.899999999999999" customHeight="1" x14ac:dyDescent="0.25">
      <c r="A36" s="14">
        <f t="shared" si="1"/>
        <v>2</v>
      </c>
      <c r="B36" s="14"/>
      <c r="C36" s="14"/>
      <c r="D36" s="14"/>
      <c r="E36" s="14"/>
      <c r="F36" s="14"/>
      <c r="I36" s="14"/>
    </row>
    <row r="37" spans="1:9" ht="19.899999999999999" customHeight="1" x14ac:dyDescent="0.25">
      <c r="A37" s="14">
        <f t="shared" si="1"/>
        <v>3</v>
      </c>
      <c r="B37" s="14"/>
      <c r="C37" s="14"/>
      <c r="D37" s="14"/>
      <c r="E37" s="14"/>
      <c r="F37" s="14"/>
      <c r="I37" s="14"/>
    </row>
    <row r="38" spans="1:9" ht="19.899999999999999" customHeight="1" x14ac:dyDescent="0.25">
      <c r="A38" s="14">
        <f t="shared" si="1"/>
        <v>4</v>
      </c>
      <c r="B38" s="14"/>
      <c r="C38" s="14"/>
      <c r="D38" s="14"/>
      <c r="E38" s="14"/>
      <c r="F38" s="14"/>
      <c r="I38" s="14"/>
    </row>
  </sheetData>
  <mergeCells count="6">
    <mergeCell ref="A10:B10"/>
    <mergeCell ref="J1:K1"/>
    <mergeCell ref="D1:E1"/>
    <mergeCell ref="G1:H1"/>
    <mergeCell ref="A9:B9"/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1"/>
  <dimension ref="A1:J14"/>
  <sheetViews>
    <sheetView workbookViewId="0">
      <selection activeCell="H2" sqref="H2"/>
    </sheetView>
  </sheetViews>
  <sheetFormatPr defaultColWidth="11.5703125" defaultRowHeight="15" x14ac:dyDescent="0.25"/>
  <cols>
    <col min="1" max="12" width="20.7109375" style="1" customWidth="1"/>
    <col min="13" max="16384" width="11.5703125" style="1"/>
  </cols>
  <sheetData>
    <row r="1" spans="1:10" ht="19.899999999999999" customHeight="1" x14ac:dyDescent="0.25">
      <c r="A1" s="2"/>
      <c r="B1" s="2" t="s">
        <v>17</v>
      </c>
      <c r="C1" s="2" t="s">
        <v>14</v>
      </c>
      <c r="D1" s="2" t="s">
        <v>16</v>
      </c>
      <c r="E1" s="2" t="s">
        <v>15</v>
      </c>
      <c r="F1" s="2" t="s">
        <v>20</v>
      </c>
      <c r="G1" s="2" t="s">
        <v>19</v>
      </c>
      <c r="H1" s="2" t="s">
        <v>73</v>
      </c>
      <c r="I1" s="2" t="s">
        <v>23</v>
      </c>
      <c r="J1" s="2" t="s">
        <v>22</v>
      </c>
    </row>
    <row r="2" spans="1:10" ht="19.899999999999999" customHeight="1" x14ac:dyDescent="0.25">
      <c r="A2" s="2" t="s">
        <v>1</v>
      </c>
      <c r="B2" s="3" t="e">
        <f>Janvier!#REF!</f>
        <v>#REF!</v>
      </c>
      <c r="C2" s="3" t="e">
        <f>Janvier!#REF!</f>
        <v>#REF!</v>
      </c>
      <c r="D2" s="3" t="e">
        <f>Janvier!#REF!</f>
        <v>#REF!</v>
      </c>
      <c r="E2" s="3" t="e">
        <f>Janvier!#REF!</f>
        <v>#REF!</v>
      </c>
      <c r="F2" s="3" t="e">
        <f>Janvier!#REF!</f>
        <v>#REF!</v>
      </c>
      <c r="G2" s="3" t="e">
        <f>Janvier!#REF!</f>
        <v>#REF!</v>
      </c>
      <c r="H2" s="3"/>
      <c r="I2" s="3"/>
      <c r="J2" s="3"/>
    </row>
    <row r="3" spans="1:10" ht="19.899999999999999" customHeight="1" x14ac:dyDescent="0.25">
      <c r="A3" s="2" t="s">
        <v>2</v>
      </c>
      <c r="B3" s="3">
        <f>Février!I1</f>
        <v>0</v>
      </c>
      <c r="C3" s="3">
        <f>Février!I2</f>
        <v>0</v>
      </c>
      <c r="D3" s="3" t="e">
        <f>Février!#REF!</f>
        <v>#REF!</v>
      </c>
      <c r="E3" s="3" t="e">
        <f>Février!#REF!</f>
        <v>#REF!</v>
      </c>
      <c r="F3" s="3" t="e">
        <f>Février!#REF!</f>
        <v>#REF!</v>
      </c>
      <c r="G3" s="3" t="e">
        <f>Février!#REF!</f>
        <v>#REF!</v>
      </c>
      <c r="H3" s="3"/>
      <c r="I3" s="3"/>
      <c r="J3" s="3"/>
    </row>
    <row r="4" spans="1:10" ht="19.899999999999999" customHeight="1" x14ac:dyDescent="0.25">
      <c r="A4" s="2" t="s">
        <v>3</v>
      </c>
      <c r="B4" s="3">
        <f>Mars!I1</f>
        <v>0</v>
      </c>
      <c r="C4" s="3">
        <f>Mars!I2</f>
        <v>0</v>
      </c>
      <c r="D4" s="3">
        <f>Mars!I3</f>
        <v>0</v>
      </c>
      <c r="E4" s="3">
        <f>Mars!I4</f>
        <v>0</v>
      </c>
      <c r="F4" s="3">
        <f>Mars!I5</f>
        <v>0</v>
      </c>
      <c r="G4" s="3">
        <f>Mars!I6</f>
        <v>0</v>
      </c>
      <c r="H4" s="3"/>
      <c r="I4" s="3"/>
      <c r="J4" s="3"/>
    </row>
    <row r="5" spans="1:10" ht="19.899999999999999" customHeight="1" x14ac:dyDescent="0.25">
      <c r="A5" s="2" t="s">
        <v>4</v>
      </c>
      <c r="B5" s="3">
        <f>Avril!I1</f>
        <v>0</v>
      </c>
      <c r="C5" s="3">
        <f>Avril!I2</f>
        <v>0</v>
      </c>
      <c r="D5" s="3">
        <f>Avril!I3</f>
        <v>0</v>
      </c>
      <c r="E5" s="3">
        <f>Avril!I4</f>
        <v>0</v>
      </c>
      <c r="F5" s="3">
        <f>Avril!I5</f>
        <v>0</v>
      </c>
      <c r="G5" s="3">
        <f>Avril!I6</f>
        <v>0</v>
      </c>
      <c r="H5" s="3"/>
      <c r="I5" s="3"/>
      <c r="J5" s="3"/>
    </row>
    <row r="6" spans="1:10" ht="19.899999999999999" customHeight="1" x14ac:dyDescent="0.25">
      <c r="A6" s="2" t="s">
        <v>5</v>
      </c>
      <c r="B6" s="3">
        <f>Mai!I1</f>
        <v>0</v>
      </c>
      <c r="C6" s="3">
        <f>Mai!I2</f>
        <v>0</v>
      </c>
      <c r="D6" s="3">
        <f>Mai!I3</f>
        <v>0</v>
      </c>
      <c r="E6" s="3">
        <f>Mai!I4</f>
        <v>0</v>
      </c>
      <c r="F6" s="3">
        <f>Mai!I5</f>
        <v>0</v>
      </c>
      <c r="G6" s="3">
        <f>Mai!I6</f>
        <v>0</v>
      </c>
      <c r="H6" s="3"/>
      <c r="I6" s="3"/>
      <c r="J6" s="3"/>
    </row>
    <row r="7" spans="1:10" ht="19.899999999999999" customHeight="1" x14ac:dyDescent="0.25">
      <c r="A7" s="2" t="s">
        <v>6</v>
      </c>
      <c r="B7" s="3">
        <f>Juin!I1</f>
        <v>0</v>
      </c>
      <c r="C7" s="3">
        <f>Juin!I2</f>
        <v>0</v>
      </c>
      <c r="D7" s="3">
        <f>Juin!I3</f>
        <v>0</v>
      </c>
      <c r="E7" s="3">
        <f>Juin!I4</f>
        <v>0</v>
      </c>
      <c r="F7" s="3">
        <f>Juin!I5</f>
        <v>0</v>
      </c>
      <c r="G7" s="3">
        <f>Juin!I6</f>
        <v>0</v>
      </c>
      <c r="H7" s="3"/>
      <c r="I7" s="3"/>
      <c r="J7" s="3"/>
    </row>
    <row r="8" spans="1:10" ht="19.899999999999999" customHeight="1" x14ac:dyDescent="0.25">
      <c r="A8" s="2" t="s">
        <v>7</v>
      </c>
      <c r="B8" s="3">
        <f>Juillet!I1</f>
        <v>0</v>
      </c>
      <c r="C8" s="3">
        <f>Juillet!I2</f>
        <v>0</v>
      </c>
      <c r="D8" s="3">
        <f>Juillet!I3</f>
        <v>0</v>
      </c>
      <c r="E8" s="3">
        <f>Juillet!I4</f>
        <v>0</v>
      </c>
      <c r="F8" s="3">
        <f>Juillet!I5</f>
        <v>0</v>
      </c>
      <c r="G8" s="3">
        <f>Juillet!I6</f>
        <v>0</v>
      </c>
      <c r="H8" s="3"/>
      <c r="I8" s="3"/>
      <c r="J8" s="3"/>
    </row>
    <row r="9" spans="1:10" ht="19.899999999999999" customHeight="1" x14ac:dyDescent="0.25">
      <c r="A9" s="2" t="s">
        <v>8</v>
      </c>
      <c r="B9" s="3">
        <f>Août!I1</f>
        <v>0</v>
      </c>
      <c r="C9" s="3">
        <f>Août!I2</f>
        <v>0</v>
      </c>
      <c r="D9" s="3">
        <f>Août!I3</f>
        <v>0</v>
      </c>
      <c r="E9" s="3">
        <f>Août!I4</f>
        <v>0</v>
      </c>
      <c r="F9" s="3">
        <f>Août!I5</f>
        <v>0</v>
      </c>
      <c r="G9" s="3">
        <f>Août!I6</f>
        <v>0</v>
      </c>
      <c r="H9" s="3"/>
      <c r="I9" s="3"/>
      <c r="J9" s="3"/>
    </row>
    <row r="10" spans="1:10" ht="19.899999999999999" customHeight="1" x14ac:dyDescent="0.25">
      <c r="A10" s="2" t="s">
        <v>9</v>
      </c>
      <c r="B10" s="3">
        <f>Septembre!I1</f>
        <v>0</v>
      </c>
      <c r="C10" s="3">
        <f>Septembre!I2</f>
        <v>0</v>
      </c>
      <c r="D10" s="3">
        <f>Septembre!I3</f>
        <v>0</v>
      </c>
      <c r="E10" s="3">
        <f>Septembre!I4</f>
        <v>0</v>
      </c>
      <c r="F10" s="3">
        <f>Septembre!I5</f>
        <v>0</v>
      </c>
      <c r="G10" s="3">
        <f>Septembre!I6</f>
        <v>0</v>
      </c>
      <c r="H10" s="3"/>
      <c r="I10" s="3"/>
      <c r="J10" s="3"/>
    </row>
    <row r="11" spans="1:10" ht="19.899999999999999" customHeight="1" x14ac:dyDescent="0.25">
      <c r="A11" s="2" t="s">
        <v>10</v>
      </c>
      <c r="B11" s="3">
        <f>Octobre!I1</f>
        <v>0</v>
      </c>
      <c r="C11" s="3">
        <f>Octobre!I2</f>
        <v>0</v>
      </c>
      <c r="D11" s="3">
        <f>Octobre!I3</f>
        <v>0</v>
      </c>
      <c r="E11" s="3">
        <f>Octobre!I4</f>
        <v>0</v>
      </c>
      <c r="F11" s="3">
        <f>Octobre!I5</f>
        <v>0</v>
      </c>
      <c r="G11" s="3">
        <f>Octobre!I6</f>
        <v>0</v>
      </c>
      <c r="H11" s="3"/>
      <c r="I11" s="3"/>
      <c r="J11" s="3"/>
    </row>
    <row r="12" spans="1:10" ht="19.899999999999999" customHeight="1" x14ac:dyDescent="0.25">
      <c r="A12" s="2" t="s">
        <v>11</v>
      </c>
      <c r="B12" s="3">
        <f>Novembre!I1</f>
        <v>0</v>
      </c>
      <c r="C12" s="3">
        <f>Novembre!I2</f>
        <v>0</v>
      </c>
      <c r="D12" s="3">
        <f>Novembre!I3</f>
        <v>0</v>
      </c>
      <c r="E12" s="3">
        <f>Novembre!I4</f>
        <v>0</v>
      </c>
      <c r="F12" s="3">
        <f>Novembre!I5</f>
        <v>0</v>
      </c>
      <c r="G12" s="3">
        <f>Novembre!I6</f>
        <v>0</v>
      </c>
      <c r="H12" s="3"/>
      <c r="I12" s="3"/>
      <c r="J12" s="3"/>
    </row>
    <row r="13" spans="1:10" ht="19.899999999999999" customHeight="1" x14ac:dyDescent="0.25">
      <c r="A13" s="2" t="s">
        <v>12</v>
      </c>
      <c r="B13" s="3">
        <f>Décembre!I1</f>
        <v>0</v>
      </c>
      <c r="C13" s="3">
        <f>Décembre!I2</f>
        <v>0</v>
      </c>
      <c r="D13" s="3">
        <f>Décembre!I3</f>
        <v>0</v>
      </c>
      <c r="E13" s="3">
        <f>Décembre!I4</f>
        <v>0</v>
      </c>
      <c r="F13" s="3">
        <f>Décembre!I5</f>
        <v>0</v>
      </c>
      <c r="G13" s="3">
        <f>Décembre!I6</f>
        <v>0</v>
      </c>
      <c r="H13" s="3"/>
      <c r="I13" s="3"/>
      <c r="J13" s="3"/>
    </row>
    <row r="14" spans="1:10" ht="19.899999999999999" customHeight="1" x14ac:dyDescent="0.25">
      <c r="A14" s="6" t="s">
        <v>21</v>
      </c>
      <c r="B14" s="3" t="e">
        <f>SUM(B2:B13)</f>
        <v>#REF!</v>
      </c>
      <c r="C14" s="3" t="e">
        <f t="shared" ref="C14:G14" si="0">SUM(C2:C13)</f>
        <v>#REF!</v>
      </c>
      <c r="D14" s="3" t="e">
        <f t="shared" si="0"/>
        <v>#REF!</v>
      </c>
      <c r="E14" s="3" t="e">
        <f t="shared" si="0"/>
        <v>#REF!</v>
      </c>
      <c r="F14" s="3" t="e">
        <f t="shared" si="0"/>
        <v>#REF!</v>
      </c>
      <c r="G14" s="3" t="e">
        <f t="shared" si="0"/>
        <v>#REF!</v>
      </c>
      <c r="H14" s="3"/>
      <c r="I14" s="3"/>
      <c r="J14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1:P33"/>
  <sheetViews>
    <sheetView tabSelected="1" zoomScale="70" zoomScaleNormal="70" workbookViewId="0">
      <selection activeCell="P2" sqref="P2"/>
    </sheetView>
  </sheetViews>
  <sheetFormatPr defaultColWidth="11.5703125" defaultRowHeight="30" customHeight="1" x14ac:dyDescent="0.25"/>
  <cols>
    <col min="1" max="1" width="8.7109375" style="41" customWidth="1"/>
    <col min="2" max="2" width="30.7109375" style="42" customWidth="1"/>
    <col min="3" max="7" width="20.7109375" style="30" customWidth="1"/>
    <col min="8" max="10" width="20.7109375" style="43" customWidth="1"/>
    <col min="11" max="11" width="20.7109375" style="44" customWidth="1"/>
    <col min="12" max="12" width="20.7109375" style="43" customWidth="1"/>
    <col min="13" max="13" width="20.7109375" style="44" customWidth="1"/>
    <col min="14" max="14" width="11.5703125" style="30" customWidth="1"/>
    <col min="15" max="16384" width="11.5703125" style="30"/>
  </cols>
  <sheetData>
    <row r="1" spans="1:16" s="29" customFormat="1" ht="30" customHeight="1" x14ac:dyDescent="0.25">
      <c r="A1" s="22"/>
      <c r="B1" s="23">
        <f>SUBTOTAL(102,Tabel1[Date])</f>
        <v>31</v>
      </c>
      <c r="C1" s="24"/>
      <c r="D1" s="25">
        <f>SUBTOTAL(102,Tabel1[Ouverture de poste])</f>
        <v>5</v>
      </c>
      <c r="E1" s="26">
        <f>SUBTOTAL(102,Tabel1[Pause entre 06:00 et 21:00])</f>
        <v>5</v>
      </c>
      <c r="F1" s="26">
        <f>SUBTOTAL(102,Tabel1[Pause entre 21:00 et 06:00])</f>
        <v>0</v>
      </c>
      <c r="G1" s="26">
        <f>SUBTOTAL(102,Tabel1[Fermeture de poste])</f>
        <v>5</v>
      </c>
      <c r="H1" s="27">
        <f>SUBTOTAL(109,Tabel1[Total Heures])</f>
        <v>1.6250000000000002</v>
      </c>
      <c r="I1" s="27">
        <f>SUBTOTAL(109,Tabel1[Heures de jour])</f>
        <v>1.6250000000000002</v>
      </c>
      <c r="J1" s="27">
        <f>SUBTOTAL(109,Tabel1[Heures de nuit])</f>
        <v>0</v>
      </c>
      <c r="K1" s="28">
        <f>SUBTOTAL(109,Tabel1[Total semaine])</f>
        <v>1.6250000000000002</v>
      </c>
      <c r="L1" s="58">
        <f>SUBTOTAL(109,Tabel1[Heures supplémentaires])</f>
        <v>2.7755575615628914E-16</v>
      </c>
      <c r="M1" s="58"/>
      <c r="O1" s="63"/>
    </row>
    <row r="2" spans="1:16" ht="30" customHeight="1" x14ac:dyDescent="0.25">
      <c r="A2" s="46" t="s">
        <v>48</v>
      </c>
      <c r="B2" s="47" t="s">
        <v>13</v>
      </c>
      <c r="C2" s="47" t="s">
        <v>18</v>
      </c>
      <c r="D2" s="47" t="s">
        <v>26</v>
      </c>
      <c r="E2" s="47" t="s">
        <v>50</v>
      </c>
      <c r="F2" s="47" t="s">
        <v>51</v>
      </c>
      <c r="G2" s="47" t="s">
        <v>24</v>
      </c>
      <c r="H2" s="48" t="s">
        <v>49</v>
      </c>
      <c r="I2" s="48" t="s">
        <v>25</v>
      </c>
      <c r="J2" s="48" t="s">
        <v>22</v>
      </c>
      <c r="K2" s="49" t="s">
        <v>27</v>
      </c>
      <c r="L2" s="50" t="s">
        <v>0</v>
      </c>
      <c r="M2" s="45" t="s">
        <v>81</v>
      </c>
      <c r="O2" s="64">
        <v>1.625</v>
      </c>
      <c r="P2" s="29" t="s">
        <v>84</v>
      </c>
    </row>
    <row r="3" spans="1:16" ht="30" customHeight="1" x14ac:dyDescent="0.25">
      <c r="A3" s="31" t="str">
        <f t="shared" ref="A3:A33" si="0">""&amp;WEEKNUM(B3,2)</f>
        <v>1</v>
      </c>
      <c r="B3" s="32">
        <f>DATE(Détails!A1,1,1)</f>
        <v>45292</v>
      </c>
      <c r="C3" s="33"/>
      <c r="D3" s="34">
        <v>0.33333333333333331</v>
      </c>
      <c r="E3" s="35">
        <v>2.0833333333333332E-2</v>
      </c>
      <c r="F3" s="35"/>
      <c r="G3" s="34">
        <v>0.6875</v>
      </c>
      <c r="H3" s="36">
        <f t="shared" ref="H3:H33" si="1">IF(OR(D3&lt;&gt;"",G3&lt;&gt;""),MOD(G3-D3-F3-E3,1),"")</f>
        <v>0.33333333333333337</v>
      </c>
      <c r="I3" s="36">
        <f>IF($G3&gt;$D3,MEDIAN($G3,Détails!$M$2,Détails!$M$3)-MEDIAN($D3,Détails!$M$2,Détails!$M$3),($G3&lt;$D3)*(Détails!$M$2-Détails!$M$3)+MEDIAN($G3,Détails!$M$3,Détails!$M$2)-MEDIAN($D3,Détails!$M$3,Détails!$M$2))-$E3</f>
        <v>0.33333333333333337</v>
      </c>
      <c r="J3" s="36">
        <f>MOD($G3-$D3,1)-($G3&lt;$D3)*(Détails!$M$2-Détails!$M$3)-MEDIAN($G3,Détails!$M$3,Détails!$M$2)+MEDIAN($D3,Détails!$M$3,Détails!$M$2)-$F3</f>
        <v>0</v>
      </c>
      <c r="K3" s="37">
        <f>IF(OR(WEEKDAY(Tabel1[[#This Row],[Date]],2)=7, DAY(Tabel1[[#This Row],[Date]])=DAY(EOMONTH(Tabel1[[#This Row],[Date]],0))),SUMIF(Tabel1[Semaine],Tabel1[[#This Row],[Semaine]],Tabel1[Total Heures]),0)</f>
        <v>0</v>
      </c>
      <c r="L3" s="36" cm="1">
        <f t="array" ref="L3">IFERROR(MAX(0,H3-INDEX(Détails!$E$10:$F$11,1+(WEEKDAY(Tabel1[[#This Row],[Date]],2)=5),MATCH($O$2,Détails!$E$9:$F$9,0))),"-")</f>
        <v>5.5511151231257827E-17</v>
      </c>
      <c r="M3" s="38">
        <f>IF(OR(WEEKDAY(Tabel1[[#This Row],[Date]],2)=7, DAY(Tabel1[[#This Row],[Date]])=DAY(EOMONTH(Tabel1[[#This Row],[Date]],0))),SUMIF(Tabel1[Semaine],Tabel1[[#This Row],[Semaine]],Tabel1[Heures supplémentaires]),0)</f>
        <v>0</v>
      </c>
      <c r="O3" s="39"/>
    </row>
    <row r="4" spans="1:16" ht="30" customHeight="1" x14ac:dyDescent="0.25">
      <c r="A4" s="31" t="str">
        <f t="shared" si="0"/>
        <v>1</v>
      </c>
      <c r="B4" s="32">
        <f>B3+1</f>
        <v>45293</v>
      </c>
      <c r="C4" s="33"/>
      <c r="D4" s="34">
        <v>0.33333333333333331</v>
      </c>
      <c r="E4" s="35">
        <v>2.0833333333333332E-2</v>
      </c>
      <c r="F4" s="35"/>
      <c r="G4" s="34">
        <v>0.6875</v>
      </c>
      <c r="H4" s="36">
        <f t="shared" si="1"/>
        <v>0.33333333333333337</v>
      </c>
      <c r="I4" s="36">
        <f>IF($G4&gt;$D4,MEDIAN($G4,Détails!$M$2,Détails!$M$3)-MEDIAN($D4,Détails!$M$2,Détails!$M$3),($G4&lt;$D4)*(Détails!$M$2-Détails!$M$3)+MEDIAN($G4,Détails!$M$3,Détails!$M$2)-MEDIAN($D4,Détails!$M$3,Détails!$M$2))-$E4</f>
        <v>0.33333333333333337</v>
      </c>
      <c r="J4" s="36">
        <f>MOD($G4-$D4,1)-($G4&lt;$D4)*(Détails!$M$2-Détails!$M$3)-MEDIAN($G4,Détails!$M$3,Détails!$M$2)+MEDIAN($D4,Détails!$M$3,Détails!$M$2)-$F4</f>
        <v>0</v>
      </c>
      <c r="K4" s="37">
        <f>IF(OR(WEEKDAY(Tabel1[[#This Row],[Date]],2)=7, DAY(Tabel1[[#This Row],[Date]])=DAY(EOMONTH(Tabel1[[#This Row],[Date]],0))),SUMIF(Tabel1[Semaine],Tabel1[[#This Row],[Semaine]],Tabel1[Total Heures]),0)</f>
        <v>0</v>
      </c>
      <c r="L4" s="36" cm="1">
        <f t="array" ref="L4">IFERROR(MAX(0,H4-INDEX(Détails!$E$10:$F$11,1+(WEEKDAY(Tabel1[[#This Row],[Date]],2)=5),MATCH($O$2,Détails!$E$9:$F$9,0))),"-")</f>
        <v>5.5511151231257827E-17</v>
      </c>
      <c r="M4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5" spans="1:16" ht="30" customHeight="1" x14ac:dyDescent="0.25">
      <c r="A5" s="31" t="str">
        <f t="shared" si="0"/>
        <v>1</v>
      </c>
      <c r="B5" s="32">
        <f t="shared" ref="B5:B33" si="2">B4+1</f>
        <v>45294</v>
      </c>
      <c r="C5" s="33"/>
      <c r="D5" s="34">
        <v>0.33333333333333331</v>
      </c>
      <c r="E5" s="35">
        <v>2.0833333333333332E-2</v>
      </c>
      <c r="F5" s="35"/>
      <c r="G5" s="34">
        <v>0.6875</v>
      </c>
      <c r="H5" s="36">
        <f t="shared" si="1"/>
        <v>0.33333333333333337</v>
      </c>
      <c r="I5" s="36">
        <f>IF($G5&gt;$D5,MEDIAN($G5,Détails!$M$2,Détails!$M$3)-MEDIAN($D5,Détails!$M$2,Détails!$M$3),($G5&lt;$D5)*(Détails!$M$2-Détails!$M$3)+MEDIAN($G5,Détails!$M$3,Détails!$M$2)-MEDIAN($D5,Détails!$M$3,Détails!$M$2))-$E5</f>
        <v>0.33333333333333337</v>
      </c>
      <c r="J5" s="36">
        <f>MOD($G5-$D5,1)-($G5&lt;$D5)*(Détails!$M$2-Détails!$M$3)-MEDIAN($G5,Détails!$M$3,Détails!$M$2)+MEDIAN($D5,Détails!$M$3,Détails!$M$2)-$F5</f>
        <v>0</v>
      </c>
      <c r="K5" s="37">
        <f>IF(OR(WEEKDAY(Tabel1[[#This Row],[Date]],2)=7, DAY(Tabel1[[#This Row],[Date]])=DAY(EOMONTH(Tabel1[[#This Row],[Date]],0))),SUMIF(Tabel1[Semaine],Tabel1[[#This Row],[Semaine]],Tabel1[Total Heures]),0)</f>
        <v>0</v>
      </c>
      <c r="L5" s="36" cm="1">
        <f t="array" ref="L5">IFERROR(MAX(0,H5-INDEX(Détails!$E$10:$F$11,1+(WEEKDAY(Tabel1[[#This Row],[Date]],2)=5),MATCH($O$2,Détails!$E$9:$F$9,0))),"-")</f>
        <v>5.5511151231257827E-17</v>
      </c>
      <c r="M5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6" spans="1:16" ht="30" customHeight="1" x14ac:dyDescent="0.25">
      <c r="A6" s="31" t="str">
        <f t="shared" si="0"/>
        <v>1</v>
      </c>
      <c r="B6" s="32">
        <f t="shared" si="2"/>
        <v>45295</v>
      </c>
      <c r="C6" s="33"/>
      <c r="D6" s="34">
        <v>0.33333333333333331</v>
      </c>
      <c r="E6" s="35">
        <v>2.0833333333333332E-2</v>
      </c>
      <c r="F6" s="35"/>
      <c r="G6" s="34">
        <v>0.6875</v>
      </c>
      <c r="H6" s="36">
        <f t="shared" si="1"/>
        <v>0.33333333333333337</v>
      </c>
      <c r="I6" s="36">
        <f>IF($G6&gt;$D6,MEDIAN($G6,Détails!$M$2,Détails!$M$3)-MEDIAN($D6,Détails!$M$2,Détails!$M$3),($G6&lt;$D6)*(Détails!$M$2-Détails!$M$3)+MEDIAN($G6,Détails!$M$3,Détails!$M$2)-MEDIAN($D6,Détails!$M$3,Détails!$M$2))-$E6</f>
        <v>0.33333333333333337</v>
      </c>
      <c r="J6" s="36">
        <f>MOD($G6-$D6,1)-($G6&lt;$D6)*(Détails!$M$2-Détails!$M$3)-MEDIAN($G6,Détails!$M$3,Détails!$M$2)+MEDIAN($D6,Détails!$M$3,Détails!$M$2)-$F6</f>
        <v>0</v>
      </c>
      <c r="K6" s="37">
        <f>IF(OR(WEEKDAY(Tabel1[[#This Row],[Date]],2)=7, DAY(Tabel1[[#This Row],[Date]])=DAY(EOMONTH(Tabel1[[#This Row],[Date]],0))),SUMIF(Tabel1[Semaine],Tabel1[[#This Row],[Semaine]],Tabel1[Total Heures]),0)</f>
        <v>0</v>
      </c>
      <c r="L6" s="36" cm="1">
        <f t="array" ref="L6">IFERROR(MAX(0,H6-INDEX(Détails!$E$10:$F$11,1+(WEEKDAY(Tabel1[[#This Row],[Date]],2)=5),MATCH($O$2,Détails!$E$9:$F$9,0))),"-")</f>
        <v>5.5511151231257827E-17</v>
      </c>
      <c r="M6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7" spans="1:16" ht="30" customHeight="1" x14ac:dyDescent="0.25">
      <c r="A7" s="31" t="str">
        <f t="shared" si="0"/>
        <v>1</v>
      </c>
      <c r="B7" s="32">
        <f t="shared" si="2"/>
        <v>45296</v>
      </c>
      <c r="C7" s="33"/>
      <c r="D7" s="34">
        <v>0.33333333333333331</v>
      </c>
      <c r="E7" s="35">
        <v>2.0833333333333332E-2</v>
      </c>
      <c r="F7" s="35"/>
      <c r="G7" s="34">
        <v>0.64583333333333337</v>
      </c>
      <c r="H7" s="36">
        <f t="shared" si="1"/>
        <v>0.29166666666666674</v>
      </c>
      <c r="I7" s="36">
        <f>IF($G7&gt;$D7,MEDIAN($G7,Détails!$M$2,Détails!$M$3)-MEDIAN($D7,Détails!$M$2,Détails!$M$3),($G7&lt;$D7)*(Détails!$M$2-Détails!$M$3)+MEDIAN($G7,Détails!$M$3,Détails!$M$2)-MEDIAN($D7,Détails!$M$3,Détails!$M$2))-$E7</f>
        <v>0.29166666666666674</v>
      </c>
      <c r="J7" s="36">
        <f>MOD($G7-$D7,1)-($G7&lt;$D7)*(Détails!$M$2-Détails!$M$3)-MEDIAN($G7,Détails!$M$3,Détails!$M$2)+MEDIAN($D7,Détails!$M$3,Détails!$M$2)-$F7</f>
        <v>0</v>
      </c>
      <c r="K7" s="37">
        <f>IF(OR(WEEKDAY(Tabel1[[#This Row],[Date]],2)=7, DAY(Tabel1[[#This Row],[Date]])=DAY(EOMONTH(Tabel1[[#This Row],[Date]],0))),SUMIF(Tabel1[Semaine],Tabel1[[#This Row],[Semaine]],Tabel1[Total Heures]),0)</f>
        <v>0</v>
      </c>
      <c r="L7" s="36" cm="1">
        <f t="array" ref="L7">IFERROR(MAX(0,H7-INDEX(Détails!$E$10:$F$11,1+(WEEKDAY(Tabel1[[#This Row],[Date]],2)=5),MATCH($O$2,Détails!$E$9:$F$9,0))),"-")</f>
        <v>5.5511151231257827E-17</v>
      </c>
      <c r="M7" s="37">
        <f>IF(OR(WEEKDAY(Tabel1[[#This Row],[Date]],2)=7, DAY(Tabel1[[#This Row],[Date]])=DAY(EOMONTH(Tabel1[[#This Row],[Date]],0))),SUMIF(Tabel1[Semaine],Tabel1[[#This Row],[Semaine]],Tabel1[Heures supplémentaires]),0)</f>
        <v>0</v>
      </c>
      <c r="P7" s="30">
        <f>MATCH($O$2,Détails!$E$9:$F$9,0)</f>
        <v>1</v>
      </c>
    </row>
    <row r="8" spans="1:16" ht="30" customHeight="1" x14ac:dyDescent="0.25">
      <c r="A8" s="31" t="str">
        <f t="shared" si="0"/>
        <v>1</v>
      </c>
      <c r="B8" s="32">
        <f t="shared" si="2"/>
        <v>45297</v>
      </c>
      <c r="C8" s="33"/>
      <c r="D8" s="34"/>
      <c r="E8" s="35"/>
      <c r="F8" s="35"/>
      <c r="G8" s="34"/>
      <c r="H8" s="36" t="str">
        <f t="shared" si="1"/>
        <v/>
      </c>
      <c r="I8" s="36">
        <f>IF($G8&gt;$D8,MEDIAN($G8,Détails!$M$2,Détails!$M$3)-MEDIAN($D8,Détails!$M$2,Détails!$M$3),($G8&lt;$D8)*(Détails!$M$2-Détails!$M$3)+MEDIAN($G8,Détails!$M$3,Détails!$M$2)-MEDIAN($D8,Détails!$M$3,Détails!$M$2))-$E8</f>
        <v>0</v>
      </c>
      <c r="J8" s="36">
        <f>MOD($G8-$D8,1)-($G8&lt;$D8)*(Détails!$M$2-Détails!$M$3)-MEDIAN($G8,Détails!$M$3,Détails!$M$2)+MEDIAN($D8,Détails!$M$3,Détails!$M$2)-$F8</f>
        <v>0</v>
      </c>
      <c r="K8" s="37">
        <f>IF(OR(WEEKDAY(Tabel1[[#This Row],[Date]],2)=7, DAY(Tabel1[[#This Row],[Date]])=DAY(EOMONTH(Tabel1[[#This Row],[Date]],0))),SUMIF(Tabel1[Semaine],Tabel1[[#This Row],[Semaine]],Tabel1[Total Heures]),0)</f>
        <v>0</v>
      </c>
      <c r="L8" s="36" t="str" cm="1">
        <f t="array" ref="L8">IFERROR(MAX(0,H8-INDEX(Détails!$E$10:$F$11,1+(WEEKDAY(Tabel1[[#This Row],[Date]],2)=5),MATCH($O$2,Détails!$E$9:$F$9,0))),"-")</f>
        <v>-</v>
      </c>
      <c r="M8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9" spans="1:16" ht="30" customHeight="1" x14ac:dyDescent="0.25">
      <c r="A9" s="31" t="str">
        <f t="shared" si="0"/>
        <v>1</v>
      </c>
      <c r="B9" s="32">
        <f t="shared" si="2"/>
        <v>45298</v>
      </c>
      <c r="C9" s="33"/>
      <c r="D9" s="34"/>
      <c r="E9" s="35"/>
      <c r="F9" s="35"/>
      <c r="G9" s="34"/>
      <c r="H9" s="36" t="str">
        <f t="shared" si="1"/>
        <v/>
      </c>
      <c r="I9" s="36">
        <f>IF($G9&gt;$D9,MEDIAN($G9,Détails!$M$2,Détails!$M$3)-MEDIAN($D9,Détails!$M$2,Détails!$M$3),($G9&lt;$D9)*(Détails!$M$2-Détails!$M$3)+MEDIAN($G9,Détails!$M$3,Détails!$M$2)-MEDIAN($D9,Détails!$M$3,Détails!$M$2))-$E9</f>
        <v>0</v>
      </c>
      <c r="J9" s="36">
        <f>MOD($G9-$D9,1)-($G9&lt;$D9)*(Détails!$M$2-Détails!$M$3)-MEDIAN($G9,Détails!$M$3,Détails!$M$2)+MEDIAN($D9,Détails!$M$3,Détails!$M$2)-$F9</f>
        <v>0</v>
      </c>
      <c r="K9" s="37">
        <f>IF(OR(WEEKDAY(Tabel1[[#This Row],[Date]],2)=7, DAY(Tabel1[[#This Row],[Date]])=DAY(EOMONTH(Tabel1[[#This Row],[Date]],0))),SUMIF(Tabel1[Semaine],Tabel1[[#This Row],[Semaine]],Tabel1[Total Heures]),0)</f>
        <v>1.6250000000000002</v>
      </c>
      <c r="L9" s="36" t="str" cm="1">
        <f t="array" ref="L9">IFERROR(MAX(0,H9-INDEX(Détails!$E$10:$F$11,1+(WEEKDAY(Tabel1[[#This Row],[Date]],2)=5),MATCH($O$2,Détails!$E$9:$F$9,0))),"-")</f>
        <v>-</v>
      </c>
      <c r="M9" s="37">
        <f>IF(OR(WEEKDAY(Tabel1[[#This Row],[Date]],2)=7, DAY(Tabel1[[#This Row],[Date]])=DAY(EOMONTH(Tabel1[[#This Row],[Date]],0))),SUMIF(Tabel1[Semaine],Tabel1[[#This Row],[Semaine]],Tabel1[Heures supplémentaires]),0)</f>
        <v>2.7755575615628914E-16</v>
      </c>
    </row>
    <row r="10" spans="1:16" ht="30" customHeight="1" x14ac:dyDescent="0.25">
      <c r="A10" s="31" t="str">
        <f t="shared" si="0"/>
        <v>2</v>
      </c>
      <c r="B10" s="32">
        <f t="shared" si="2"/>
        <v>45299</v>
      </c>
      <c r="C10" s="33"/>
      <c r="D10" s="34"/>
      <c r="E10" s="35"/>
      <c r="F10" s="35"/>
      <c r="G10" s="34"/>
      <c r="H10" s="36" t="str">
        <f t="shared" si="1"/>
        <v/>
      </c>
      <c r="I10" s="36">
        <f>IF($G10&gt;$D10,MEDIAN($G10,Détails!$M$2,Détails!$M$3)-MEDIAN($D10,Détails!$M$2,Détails!$M$3),($G10&lt;$D10)*(Détails!$M$2-Détails!$M$3)+MEDIAN($G10,Détails!$M$3,Détails!$M$2)-MEDIAN($D10,Détails!$M$3,Détails!$M$2))-$E10</f>
        <v>0</v>
      </c>
      <c r="J10" s="36">
        <f>MOD($G10-$D10,1)-($G10&lt;$D10)*(Détails!$M$2-Détails!$M$3)-MEDIAN($G10,Détails!$M$3,Détails!$M$2)+MEDIAN($D10,Détails!$M$3,Détails!$M$2)-$F10</f>
        <v>0</v>
      </c>
      <c r="K10" s="37">
        <f>IF(OR(WEEKDAY(Tabel1[[#This Row],[Date]],2)=7, DAY(Tabel1[[#This Row],[Date]])=DAY(EOMONTH(Tabel1[[#This Row],[Date]],0))),SUMIF(Tabel1[Semaine],Tabel1[[#This Row],[Semaine]],Tabel1[Total Heures]),0)</f>
        <v>0</v>
      </c>
      <c r="L10" s="36" t="str" cm="1">
        <f t="array" ref="L10">IFERROR(MAX(0,H10-INDEX(Détails!$E$10:$F$11,1+(WEEKDAY(Tabel1[[#This Row],[Date]],2)=5),MATCH($O$2,Détails!$E$9:$F$9,0))),"-")</f>
        <v>-</v>
      </c>
      <c r="M10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11" spans="1:16" ht="30" customHeight="1" x14ac:dyDescent="0.25">
      <c r="A11" s="31" t="str">
        <f t="shared" si="0"/>
        <v>2</v>
      </c>
      <c r="B11" s="32">
        <f t="shared" si="2"/>
        <v>45300</v>
      </c>
      <c r="C11" s="33"/>
      <c r="D11" s="34"/>
      <c r="E11" s="35"/>
      <c r="F11" s="35"/>
      <c r="G11" s="34"/>
      <c r="H11" s="36" t="str">
        <f t="shared" si="1"/>
        <v/>
      </c>
      <c r="I11" s="36">
        <f>IF($G11&gt;$D11,MEDIAN($G11,Détails!$M$2,Détails!$M$3)-MEDIAN($D11,Détails!$M$2,Détails!$M$3),($G11&lt;$D11)*(Détails!$M$2-Détails!$M$3)+MEDIAN($G11,Détails!$M$3,Détails!$M$2)-MEDIAN($D11,Détails!$M$3,Détails!$M$2))-$E11</f>
        <v>0</v>
      </c>
      <c r="J11" s="36">
        <f>MOD($G11-$D11,1)-($G11&lt;$D11)*(Détails!$M$2-Détails!$M$3)-MEDIAN($G11,Détails!$M$3,Détails!$M$2)+MEDIAN($D11,Détails!$M$3,Détails!$M$2)-$F11</f>
        <v>0</v>
      </c>
      <c r="K11" s="37">
        <f>IF(OR(WEEKDAY(Tabel1[[#This Row],[Date]],2)=7, DAY(Tabel1[[#This Row],[Date]])=DAY(EOMONTH(Tabel1[[#This Row],[Date]],0))),SUMIF(Tabel1[Semaine],Tabel1[[#This Row],[Semaine]],Tabel1[Total Heures]),0)</f>
        <v>0</v>
      </c>
      <c r="L11" s="36" t="str" cm="1">
        <f t="array" ref="L11">IFERROR(MAX(0,H11-INDEX(Détails!$E$10:$F$11,1+(WEEKDAY(Tabel1[[#This Row],[Date]],2)=5),MATCH($O$2,Détails!$E$9:$F$9,0))),"-")</f>
        <v>-</v>
      </c>
      <c r="M11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12" spans="1:16" ht="30" customHeight="1" x14ac:dyDescent="0.25">
      <c r="A12" s="31" t="str">
        <f t="shared" si="0"/>
        <v>2</v>
      </c>
      <c r="B12" s="32">
        <f t="shared" si="2"/>
        <v>45301</v>
      </c>
      <c r="C12" s="33"/>
      <c r="D12" s="34"/>
      <c r="E12" s="35"/>
      <c r="F12" s="35"/>
      <c r="G12" s="34"/>
      <c r="H12" s="36" t="str">
        <f t="shared" si="1"/>
        <v/>
      </c>
      <c r="I12" s="36">
        <f>IF($G12&gt;$D12,MEDIAN($G12,Détails!$M$2,Détails!$M$3)-MEDIAN($D12,Détails!$M$2,Détails!$M$3),($G12&lt;$D12)*(Détails!$M$2-Détails!$M$3)+MEDIAN($G12,Détails!$M$3,Détails!$M$2)-MEDIAN($D12,Détails!$M$3,Détails!$M$2))-$E12</f>
        <v>0</v>
      </c>
      <c r="J12" s="36">
        <f>MOD($G12-$D12,1)-($G12&lt;$D12)*(Détails!$M$2-Détails!$M$3)-MEDIAN($G12,Détails!$M$3,Détails!$M$2)+MEDIAN($D12,Détails!$M$3,Détails!$M$2)-$F12</f>
        <v>0</v>
      </c>
      <c r="K12" s="37">
        <f>IF(OR(WEEKDAY(Tabel1[[#This Row],[Date]],2)=7, DAY(Tabel1[[#This Row],[Date]])=DAY(EOMONTH(Tabel1[[#This Row],[Date]],0))),SUMIF(Tabel1[Semaine],Tabel1[[#This Row],[Semaine]],Tabel1[Total Heures]),0)</f>
        <v>0</v>
      </c>
      <c r="L12" s="36" t="str" cm="1">
        <f t="array" ref="L12">IFERROR(MAX(0,H12-INDEX(Détails!$E$10:$F$11,1+(WEEKDAY(Tabel1[[#This Row],[Date]],2)=5),MATCH($O$2,Détails!$E$9:$F$9,0))),"-")</f>
        <v>-</v>
      </c>
      <c r="M12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13" spans="1:16" ht="30" customHeight="1" x14ac:dyDescent="0.25">
      <c r="A13" s="31" t="str">
        <f t="shared" si="0"/>
        <v>2</v>
      </c>
      <c r="B13" s="32">
        <f t="shared" si="2"/>
        <v>45302</v>
      </c>
      <c r="C13" s="33"/>
      <c r="D13" s="34"/>
      <c r="E13" s="35"/>
      <c r="F13" s="35"/>
      <c r="G13" s="34"/>
      <c r="H13" s="36" t="str">
        <f t="shared" si="1"/>
        <v/>
      </c>
      <c r="I13" s="36">
        <f>IF($G13&gt;$D13,MEDIAN($G13,Détails!$M$2,Détails!$M$3)-MEDIAN($D13,Détails!$M$2,Détails!$M$3),($G13&lt;$D13)*(Détails!$M$2-Détails!$M$3)+MEDIAN($G13,Détails!$M$3,Détails!$M$2)-MEDIAN($D13,Détails!$M$3,Détails!$M$2))-$E13</f>
        <v>0</v>
      </c>
      <c r="J13" s="36">
        <f>MOD($G13-$D13,1)-($G13&lt;$D13)*(Détails!$M$2-Détails!$M$3)-MEDIAN($G13,Détails!$M$3,Détails!$M$2)+MEDIAN($D13,Détails!$M$3,Détails!$M$2)-$F13</f>
        <v>0</v>
      </c>
      <c r="K13" s="37">
        <f>IF(OR(WEEKDAY(Tabel1[[#This Row],[Date]],2)=7, DAY(Tabel1[[#This Row],[Date]])=DAY(EOMONTH(Tabel1[[#This Row],[Date]],0))),SUMIF(Tabel1[Semaine],Tabel1[[#This Row],[Semaine]],Tabel1[Total Heures]),0)</f>
        <v>0</v>
      </c>
      <c r="L13" s="36" t="str" cm="1">
        <f t="array" ref="L13">IFERROR(MAX(0,H13-INDEX(Détails!$E$10:$F$11,1+(WEEKDAY(Tabel1[[#This Row],[Date]],2)=5),MATCH($O$2,Détails!$E$9:$F$9,0))),"-")</f>
        <v>-</v>
      </c>
      <c r="M13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14" spans="1:16" ht="30" customHeight="1" x14ac:dyDescent="0.25">
      <c r="A14" s="31" t="str">
        <f t="shared" si="0"/>
        <v>2</v>
      </c>
      <c r="B14" s="32">
        <f t="shared" si="2"/>
        <v>45303</v>
      </c>
      <c r="C14" s="33"/>
      <c r="D14" s="34"/>
      <c r="E14" s="35"/>
      <c r="F14" s="35"/>
      <c r="G14" s="34"/>
      <c r="H14" s="36" t="str">
        <f t="shared" si="1"/>
        <v/>
      </c>
      <c r="I14" s="36">
        <f>IF($G14&gt;$D14,MEDIAN($G14,Détails!$M$2,Détails!$M$3)-MEDIAN($D14,Détails!$M$2,Détails!$M$3),($G14&lt;$D14)*(Détails!$M$2-Détails!$M$3)+MEDIAN($G14,Détails!$M$3,Détails!$M$2)-MEDIAN($D14,Détails!$M$3,Détails!$M$2))-$E14</f>
        <v>0</v>
      </c>
      <c r="J14" s="36">
        <f>MOD($G14-$D14,1)-($G14&lt;$D14)*(Détails!$M$2-Détails!$M$3)-MEDIAN($G14,Détails!$M$3,Détails!$M$2)+MEDIAN($D14,Détails!$M$3,Détails!$M$2)-$F14</f>
        <v>0</v>
      </c>
      <c r="K14" s="37">
        <f>IF(OR(WEEKDAY(Tabel1[[#This Row],[Date]],2)=7, DAY(Tabel1[[#This Row],[Date]])=DAY(EOMONTH(Tabel1[[#This Row],[Date]],0))),SUMIF(Tabel1[Semaine],Tabel1[[#This Row],[Semaine]],Tabel1[Total Heures]),0)</f>
        <v>0</v>
      </c>
      <c r="L14" s="36" t="str" cm="1">
        <f t="array" ref="L14">IFERROR(MAX(0,H14-INDEX(Détails!$E$10:$F$11,1+(WEEKDAY(Tabel1[[#This Row],[Date]],2)=5),MATCH($O$2,Détails!$E$9:$F$9,0))),"-")</f>
        <v>-</v>
      </c>
      <c r="M14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15" spans="1:16" ht="30" customHeight="1" x14ac:dyDescent="0.25">
      <c r="A15" s="31" t="str">
        <f t="shared" si="0"/>
        <v>2</v>
      </c>
      <c r="B15" s="32">
        <f t="shared" si="2"/>
        <v>45304</v>
      </c>
      <c r="C15" s="33"/>
      <c r="D15" s="34"/>
      <c r="E15" s="35"/>
      <c r="F15" s="35"/>
      <c r="G15" s="34"/>
      <c r="H15" s="36" t="str">
        <f t="shared" si="1"/>
        <v/>
      </c>
      <c r="I15" s="36">
        <f>IF($G15&gt;$D15,MEDIAN($G15,Détails!$M$2,Détails!$M$3)-MEDIAN($D15,Détails!$M$2,Détails!$M$3),($G15&lt;$D15)*(Détails!$M$2-Détails!$M$3)+MEDIAN($G15,Détails!$M$3,Détails!$M$2)-MEDIAN($D15,Détails!$M$3,Détails!$M$2))-$E15</f>
        <v>0</v>
      </c>
      <c r="J15" s="36">
        <f>MOD($G15-$D15,1)-($G15&lt;$D15)*(Détails!$M$2-Détails!$M$3)-MEDIAN($G15,Détails!$M$3,Détails!$M$2)+MEDIAN($D15,Détails!$M$3,Détails!$M$2)-$F15</f>
        <v>0</v>
      </c>
      <c r="K15" s="37">
        <f>IF(OR(WEEKDAY(Tabel1[[#This Row],[Date]],2)=7, DAY(Tabel1[[#This Row],[Date]])=DAY(EOMONTH(Tabel1[[#This Row],[Date]],0))),SUMIF(Tabel1[Semaine],Tabel1[[#This Row],[Semaine]],Tabel1[Total Heures]),0)</f>
        <v>0</v>
      </c>
      <c r="L15" s="36" t="str" cm="1">
        <f t="array" ref="L15">IFERROR(MAX(0,H15-INDEX(Détails!$E$10:$F$11,1+(WEEKDAY(Tabel1[[#This Row],[Date]],2)=5),MATCH($O$2,Détails!$E$9:$F$9,0))),"-")</f>
        <v>-</v>
      </c>
      <c r="M15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16" spans="1:16" ht="30" customHeight="1" x14ac:dyDescent="0.25">
      <c r="A16" s="31" t="str">
        <f t="shared" si="0"/>
        <v>2</v>
      </c>
      <c r="B16" s="32">
        <f t="shared" si="2"/>
        <v>45305</v>
      </c>
      <c r="C16" s="33"/>
      <c r="D16" s="34"/>
      <c r="E16" s="35"/>
      <c r="F16" s="35"/>
      <c r="G16" s="34"/>
      <c r="H16" s="36" t="str">
        <f t="shared" si="1"/>
        <v/>
      </c>
      <c r="I16" s="36">
        <f>IF($G16&gt;$D16,MEDIAN($G16,Détails!$M$2,Détails!$M$3)-MEDIAN($D16,Détails!$M$2,Détails!$M$3),($G16&lt;$D16)*(Détails!$M$2-Détails!$M$3)+MEDIAN($G16,Détails!$M$3,Détails!$M$2)-MEDIAN($D16,Détails!$M$3,Détails!$M$2))-$E16</f>
        <v>0</v>
      </c>
      <c r="J16" s="36">
        <f>MOD($G16-$D16,1)-($G16&lt;$D16)*(Détails!$M$2-Détails!$M$3)-MEDIAN($G16,Détails!$M$3,Détails!$M$2)+MEDIAN($D16,Détails!$M$3,Détails!$M$2)-$F16</f>
        <v>0</v>
      </c>
      <c r="K16" s="37">
        <f>IF(OR(WEEKDAY(Tabel1[[#This Row],[Date]],2)=7, DAY(Tabel1[[#This Row],[Date]])=DAY(EOMONTH(Tabel1[[#This Row],[Date]],0))),SUMIF(Tabel1[Semaine],Tabel1[[#This Row],[Semaine]],Tabel1[Total Heures]),0)</f>
        <v>0</v>
      </c>
      <c r="L16" s="36" t="str" cm="1">
        <f t="array" ref="L16">IFERROR(MAX(0,H16-INDEX(Détails!$E$10:$F$11,1+(WEEKDAY(Tabel1[[#This Row],[Date]],2)=5),MATCH($O$2,Détails!$E$9:$F$9,0))),"-")</f>
        <v>-</v>
      </c>
      <c r="M16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17" spans="1:13" ht="30" customHeight="1" x14ac:dyDescent="0.25">
      <c r="A17" s="31" t="str">
        <f t="shared" si="0"/>
        <v>3</v>
      </c>
      <c r="B17" s="32">
        <f t="shared" si="2"/>
        <v>45306</v>
      </c>
      <c r="C17" s="33"/>
      <c r="D17" s="34"/>
      <c r="E17" s="35"/>
      <c r="F17" s="35"/>
      <c r="G17" s="34"/>
      <c r="H17" s="36" t="str">
        <f t="shared" si="1"/>
        <v/>
      </c>
      <c r="I17" s="36">
        <f>IF($G17&gt;$D17,MEDIAN($G17,Détails!$M$2,Détails!$M$3)-MEDIAN($D17,Détails!$M$2,Détails!$M$3),($G17&lt;$D17)*(Détails!$M$2-Détails!$M$3)+MEDIAN($G17,Détails!$M$3,Détails!$M$2)-MEDIAN($D17,Détails!$M$3,Détails!$M$2))-$E17</f>
        <v>0</v>
      </c>
      <c r="J17" s="36">
        <f>MOD($G17-$D17,1)-($G17&lt;$D17)*(Détails!$M$2-Détails!$M$3)-MEDIAN($G17,Détails!$M$3,Détails!$M$2)+MEDIAN($D17,Détails!$M$3,Détails!$M$2)-$F17</f>
        <v>0</v>
      </c>
      <c r="K17" s="37">
        <f>IF(OR(WEEKDAY(Tabel1[[#This Row],[Date]],2)=7, DAY(Tabel1[[#This Row],[Date]])=DAY(EOMONTH(Tabel1[[#This Row],[Date]],0))),SUMIF(Tabel1[Semaine],Tabel1[[#This Row],[Semaine]],Tabel1[Total Heures]),0)</f>
        <v>0</v>
      </c>
      <c r="L17" s="36" t="str" cm="1">
        <f t="array" ref="L17">IFERROR(MAX(0,H17-INDEX(Détails!$E$10:$F$11,1+(WEEKDAY(Tabel1[[#This Row],[Date]],2)=5),MATCH($O$2,Détails!$E$9:$F$9,0))),"-")</f>
        <v>-</v>
      </c>
      <c r="M17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18" spans="1:13" ht="30" customHeight="1" x14ac:dyDescent="0.25">
      <c r="A18" s="31" t="str">
        <f t="shared" si="0"/>
        <v>3</v>
      </c>
      <c r="B18" s="32">
        <f t="shared" si="2"/>
        <v>45307</v>
      </c>
      <c r="C18" s="33"/>
      <c r="D18" s="34"/>
      <c r="E18" s="35"/>
      <c r="F18" s="35"/>
      <c r="G18" s="34"/>
      <c r="H18" s="36" t="str">
        <f t="shared" si="1"/>
        <v/>
      </c>
      <c r="I18" s="36">
        <f>IF($G18&gt;$D18,MEDIAN($G18,Détails!$M$2,Détails!$M$3)-MEDIAN($D18,Détails!$M$2,Détails!$M$3),($G18&lt;$D18)*(Détails!$M$2-Détails!$M$3)+MEDIAN($G18,Détails!$M$3,Détails!$M$2)-MEDIAN($D18,Détails!$M$3,Détails!$M$2))-$E18</f>
        <v>0</v>
      </c>
      <c r="J18" s="36">
        <f>MOD($G18-$D18,1)-($G18&lt;$D18)*(Détails!$M$2-Détails!$M$3)-MEDIAN($G18,Détails!$M$3,Détails!$M$2)+MEDIAN($D18,Détails!$M$3,Détails!$M$2)-$F18</f>
        <v>0</v>
      </c>
      <c r="K18" s="37">
        <f>IF(OR(WEEKDAY(Tabel1[[#This Row],[Date]],2)=7, DAY(Tabel1[[#This Row],[Date]])=DAY(EOMONTH(Tabel1[[#This Row],[Date]],0))),SUMIF(Tabel1[Semaine],Tabel1[[#This Row],[Semaine]],Tabel1[Total Heures]),0)</f>
        <v>0</v>
      </c>
      <c r="L18" s="36" t="str" cm="1">
        <f t="array" ref="L18">IFERROR(MAX(0,H18-INDEX(Détails!$E$10:$F$11,1+(WEEKDAY(Tabel1[[#This Row],[Date]],2)=5),MATCH($O$2,Détails!$E$9:$F$9,0))),"-")</f>
        <v>-</v>
      </c>
      <c r="M18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19" spans="1:13" ht="30" customHeight="1" x14ac:dyDescent="0.25">
      <c r="A19" s="31" t="str">
        <f t="shared" si="0"/>
        <v>3</v>
      </c>
      <c r="B19" s="32">
        <f t="shared" si="2"/>
        <v>45308</v>
      </c>
      <c r="C19" s="33"/>
      <c r="D19" s="34"/>
      <c r="E19" s="35"/>
      <c r="F19" s="35"/>
      <c r="G19" s="34"/>
      <c r="H19" s="36" t="str">
        <f t="shared" si="1"/>
        <v/>
      </c>
      <c r="I19" s="36">
        <f>IF($G19&gt;$D19,MEDIAN($G19,Détails!$M$2,Détails!$M$3)-MEDIAN($D19,Détails!$M$2,Détails!$M$3),($G19&lt;$D19)*(Détails!$M$2-Détails!$M$3)+MEDIAN($G19,Détails!$M$3,Détails!$M$2)-MEDIAN($D19,Détails!$M$3,Détails!$M$2))-$E19</f>
        <v>0</v>
      </c>
      <c r="J19" s="36">
        <f>MOD($G19-$D19,1)-($G19&lt;$D19)*(Détails!$M$2-Détails!$M$3)-MEDIAN($G19,Détails!$M$3,Détails!$M$2)+MEDIAN($D19,Détails!$M$3,Détails!$M$2)-$F19</f>
        <v>0</v>
      </c>
      <c r="K19" s="37">
        <f>IF(OR(WEEKDAY(Tabel1[[#This Row],[Date]],2)=7, DAY(Tabel1[[#This Row],[Date]])=DAY(EOMONTH(Tabel1[[#This Row],[Date]],0))),SUMIF(Tabel1[Semaine],Tabel1[[#This Row],[Semaine]],Tabel1[Total Heures]),0)</f>
        <v>0</v>
      </c>
      <c r="L19" s="36" t="str" cm="1">
        <f t="array" ref="L19">IFERROR(MAX(0,H19-INDEX(Détails!$E$10:$F$11,1+(WEEKDAY(Tabel1[[#This Row],[Date]],2)=5),MATCH($O$2,Détails!$E$9:$F$9,0))),"-")</f>
        <v>-</v>
      </c>
      <c r="M19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20" spans="1:13" ht="30" customHeight="1" x14ac:dyDescent="0.25">
      <c r="A20" s="31" t="str">
        <f t="shared" si="0"/>
        <v>3</v>
      </c>
      <c r="B20" s="32">
        <f t="shared" si="2"/>
        <v>45309</v>
      </c>
      <c r="C20" s="33"/>
      <c r="D20" s="34"/>
      <c r="E20" s="35"/>
      <c r="F20" s="35"/>
      <c r="G20" s="34"/>
      <c r="H20" s="36" t="str">
        <f t="shared" si="1"/>
        <v/>
      </c>
      <c r="I20" s="36">
        <f>IF($G20&gt;$D20,MEDIAN($G20,Détails!$M$2,Détails!$M$3)-MEDIAN($D20,Détails!$M$2,Détails!$M$3),($G20&lt;$D20)*(Détails!$M$2-Détails!$M$3)+MEDIAN($G20,Détails!$M$3,Détails!$M$2)-MEDIAN($D20,Détails!$M$3,Détails!$M$2))-$E20</f>
        <v>0</v>
      </c>
      <c r="J20" s="36">
        <f>MOD($G20-$D20,1)-($G20&lt;$D20)*(Détails!$M$2-Détails!$M$3)-MEDIAN($G20,Détails!$M$3,Détails!$M$2)+MEDIAN($D20,Détails!$M$3,Détails!$M$2)-$F20</f>
        <v>0</v>
      </c>
      <c r="K20" s="37">
        <f>IF(OR(WEEKDAY(Tabel1[[#This Row],[Date]],2)=7, DAY(Tabel1[[#This Row],[Date]])=DAY(EOMONTH(Tabel1[[#This Row],[Date]],0))),SUMIF(Tabel1[Semaine],Tabel1[[#This Row],[Semaine]],Tabel1[Total Heures]),0)</f>
        <v>0</v>
      </c>
      <c r="L20" s="36" t="str" cm="1">
        <f t="array" ref="L20">IFERROR(MAX(0,H20-INDEX(Détails!$E$10:$F$11,1+(WEEKDAY(Tabel1[[#This Row],[Date]],2)=5),MATCH($O$2,Détails!$E$9:$F$9,0))),"-")</f>
        <v>-</v>
      </c>
      <c r="M20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21" spans="1:13" ht="30" customHeight="1" x14ac:dyDescent="0.25">
      <c r="A21" s="31" t="str">
        <f t="shared" si="0"/>
        <v>3</v>
      </c>
      <c r="B21" s="32">
        <f t="shared" si="2"/>
        <v>45310</v>
      </c>
      <c r="C21" s="33"/>
      <c r="D21" s="34"/>
      <c r="E21" s="35"/>
      <c r="F21" s="35"/>
      <c r="G21" s="34"/>
      <c r="H21" s="36" t="str">
        <f t="shared" si="1"/>
        <v/>
      </c>
      <c r="I21" s="36">
        <f>IF($G21&gt;$D21,MEDIAN($G21,Détails!$M$2,Détails!$M$3)-MEDIAN($D21,Détails!$M$2,Détails!$M$3),($G21&lt;$D21)*(Détails!$M$2-Détails!$M$3)+MEDIAN($G21,Détails!$M$3,Détails!$M$2)-MEDIAN($D21,Détails!$M$3,Détails!$M$2))-$E21</f>
        <v>0</v>
      </c>
      <c r="J21" s="36">
        <f>MOD($G21-$D21,1)-($G21&lt;$D21)*(Détails!$M$2-Détails!$M$3)-MEDIAN($G21,Détails!$M$3,Détails!$M$2)+MEDIAN($D21,Détails!$M$3,Détails!$M$2)-$F21</f>
        <v>0</v>
      </c>
      <c r="K21" s="37">
        <f>IF(OR(WEEKDAY(Tabel1[[#This Row],[Date]],2)=7, DAY(Tabel1[[#This Row],[Date]])=DAY(EOMONTH(Tabel1[[#This Row],[Date]],0))),SUMIF(Tabel1[Semaine],Tabel1[[#This Row],[Semaine]],Tabel1[Total Heures]),0)</f>
        <v>0</v>
      </c>
      <c r="L21" s="36" t="str" cm="1">
        <f t="array" ref="L21">IFERROR(MAX(0,H21-INDEX(Détails!$E$10:$F$11,1+(WEEKDAY(Tabel1[[#This Row],[Date]],2)=5),MATCH($O$2,Détails!$E$9:$F$9,0))),"-")</f>
        <v>-</v>
      </c>
      <c r="M21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22" spans="1:13" ht="30" customHeight="1" x14ac:dyDescent="0.25">
      <c r="A22" s="31" t="str">
        <f t="shared" si="0"/>
        <v>3</v>
      </c>
      <c r="B22" s="32">
        <f t="shared" si="2"/>
        <v>45311</v>
      </c>
      <c r="C22" s="33"/>
      <c r="D22" s="34"/>
      <c r="E22" s="35"/>
      <c r="F22" s="35"/>
      <c r="G22" s="34"/>
      <c r="H22" s="36" t="str">
        <f t="shared" si="1"/>
        <v/>
      </c>
      <c r="I22" s="36">
        <f>IF($G22&gt;$D22,MEDIAN($G22,Détails!$M$2,Détails!$M$3)-MEDIAN($D22,Détails!$M$2,Détails!$M$3),($G22&lt;$D22)*(Détails!$M$2-Détails!$M$3)+MEDIAN($G22,Détails!$M$3,Détails!$M$2)-MEDIAN($D22,Détails!$M$3,Détails!$M$2))-$E22</f>
        <v>0</v>
      </c>
      <c r="J22" s="36">
        <f>MOD($G22-$D22,1)-($G22&lt;$D22)*(Détails!$M$2-Détails!$M$3)-MEDIAN($G22,Détails!$M$3,Détails!$M$2)+MEDIAN($D22,Détails!$M$3,Détails!$M$2)-$F22</f>
        <v>0</v>
      </c>
      <c r="K22" s="37">
        <f>IF(OR(WEEKDAY(Tabel1[[#This Row],[Date]],2)=7, DAY(Tabel1[[#This Row],[Date]])=DAY(EOMONTH(Tabel1[[#This Row],[Date]],0))),SUMIF(Tabel1[Semaine],Tabel1[[#This Row],[Semaine]],Tabel1[Total Heures]),0)</f>
        <v>0</v>
      </c>
      <c r="L22" s="36" t="str" cm="1">
        <f t="array" ref="L22">IFERROR(MAX(0,H22-INDEX(Détails!$E$10:$F$11,1+(WEEKDAY(Tabel1[[#This Row],[Date]],2)=5),MATCH($O$2,Détails!$E$9:$F$9,0))),"-")</f>
        <v>-</v>
      </c>
      <c r="M22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23" spans="1:13" ht="30" customHeight="1" x14ac:dyDescent="0.25">
      <c r="A23" s="31" t="str">
        <f t="shared" si="0"/>
        <v>3</v>
      </c>
      <c r="B23" s="32">
        <f t="shared" si="2"/>
        <v>45312</v>
      </c>
      <c r="C23" s="33"/>
      <c r="D23" s="34"/>
      <c r="E23" s="35"/>
      <c r="F23" s="35"/>
      <c r="G23" s="34"/>
      <c r="H23" s="36" t="str">
        <f t="shared" si="1"/>
        <v/>
      </c>
      <c r="I23" s="36">
        <f>IF($G23&gt;$D23,MEDIAN($G23,Détails!$M$2,Détails!$M$3)-MEDIAN($D23,Détails!$M$2,Détails!$M$3),($G23&lt;$D23)*(Détails!$M$2-Détails!$M$3)+MEDIAN($G23,Détails!$M$3,Détails!$M$2)-MEDIAN($D23,Détails!$M$3,Détails!$M$2))-$E23</f>
        <v>0</v>
      </c>
      <c r="J23" s="36">
        <f>MOD($G23-$D23,1)-($G23&lt;$D23)*(Détails!$M$2-Détails!$M$3)-MEDIAN($G23,Détails!$M$3,Détails!$M$2)+MEDIAN($D23,Détails!$M$3,Détails!$M$2)-$F23</f>
        <v>0</v>
      </c>
      <c r="K23" s="37">
        <f>IF(OR(WEEKDAY(Tabel1[[#This Row],[Date]],2)=7, DAY(Tabel1[[#This Row],[Date]])=DAY(EOMONTH(Tabel1[[#This Row],[Date]],0))),SUMIF(Tabel1[Semaine],Tabel1[[#This Row],[Semaine]],Tabel1[Total Heures]),0)</f>
        <v>0</v>
      </c>
      <c r="L23" s="36" t="str" cm="1">
        <f t="array" ref="L23">IFERROR(MAX(0,H23-INDEX(Détails!$E$10:$F$11,1+(WEEKDAY(Tabel1[[#This Row],[Date]],2)=5),MATCH($O$2,Détails!$E$9:$F$9,0))),"-")</f>
        <v>-</v>
      </c>
      <c r="M23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24" spans="1:13" ht="30" customHeight="1" x14ac:dyDescent="0.25">
      <c r="A24" s="31" t="str">
        <f t="shared" si="0"/>
        <v>4</v>
      </c>
      <c r="B24" s="32">
        <f t="shared" si="2"/>
        <v>45313</v>
      </c>
      <c r="C24" s="33"/>
      <c r="D24" s="34"/>
      <c r="E24" s="35"/>
      <c r="F24" s="35"/>
      <c r="G24" s="34"/>
      <c r="H24" s="36" t="str">
        <f t="shared" si="1"/>
        <v/>
      </c>
      <c r="I24" s="36">
        <f>IF($G24&gt;$D24,MEDIAN($G24,Détails!$M$2,Détails!$M$3)-MEDIAN($D24,Détails!$M$2,Détails!$M$3),($G24&lt;$D24)*(Détails!$M$2-Détails!$M$3)+MEDIAN($G24,Détails!$M$3,Détails!$M$2)-MEDIAN($D24,Détails!$M$3,Détails!$M$2))-$E24</f>
        <v>0</v>
      </c>
      <c r="J24" s="36">
        <f>MOD($G24-$D24,1)-($G24&lt;$D24)*(Détails!$M$2-Détails!$M$3)-MEDIAN($G24,Détails!$M$3,Détails!$M$2)+MEDIAN($D24,Détails!$M$3,Détails!$M$2)-$F24</f>
        <v>0</v>
      </c>
      <c r="K24" s="37">
        <f>IF(OR(WEEKDAY(Tabel1[[#This Row],[Date]],2)=7, DAY(Tabel1[[#This Row],[Date]])=DAY(EOMONTH(Tabel1[[#This Row],[Date]],0))),SUMIF(Tabel1[Semaine],Tabel1[[#This Row],[Semaine]],Tabel1[Total Heures]),0)</f>
        <v>0</v>
      </c>
      <c r="L24" s="36" t="str" cm="1">
        <f t="array" ref="L24">IFERROR(MAX(0,H24-INDEX(Détails!$E$10:$F$11,1+(WEEKDAY(Tabel1[[#This Row],[Date]],2)=5),MATCH($O$2,Détails!$E$9:$F$9,0))),"-")</f>
        <v>-</v>
      </c>
      <c r="M24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25" spans="1:13" ht="30" customHeight="1" x14ac:dyDescent="0.25">
      <c r="A25" s="31" t="str">
        <f t="shared" si="0"/>
        <v>4</v>
      </c>
      <c r="B25" s="32">
        <f t="shared" si="2"/>
        <v>45314</v>
      </c>
      <c r="C25" s="33"/>
      <c r="D25" s="34"/>
      <c r="E25" s="35"/>
      <c r="F25" s="35"/>
      <c r="G25" s="34"/>
      <c r="H25" s="36" t="str">
        <f t="shared" si="1"/>
        <v/>
      </c>
      <c r="I25" s="36">
        <f>IF($G25&gt;$D25,MEDIAN($G25,Détails!$M$2,Détails!$M$3)-MEDIAN($D25,Détails!$M$2,Détails!$M$3),($G25&lt;$D25)*(Détails!$M$2-Détails!$M$3)+MEDIAN($G25,Détails!$M$3,Détails!$M$2)-MEDIAN($D25,Détails!$M$3,Détails!$M$2))-$E25</f>
        <v>0</v>
      </c>
      <c r="J25" s="36">
        <f>MOD($G25-$D25,1)-($G25&lt;$D25)*(Détails!$M$2-Détails!$M$3)-MEDIAN($G25,Détails!$M$3,Détails!$M$2)+MEDIAN($D25,Détails!$M$3,Détails!$M$2)-$F25</f>
        <v>0</v>
      </c>
      <c r="K25" s="37">
        <f>IF(OR(WEEKDAY(Tabel1[[#This Row],[Date]],2)=7, DAY(Tabel1[[#This Row],[Date]])=DAY(EOMONTH(Tabel1[[#This Row],[Date]],0))),SUMIF(Tabel1[Semaine],Tabel1[[#This Row],[Semaine]],Tabel1[Total Heures]),0)</f>
        <v>0</v>
      </c>
      <c r="L25" s="36" t="str" cm="1">
        <f t="array" ref="L25">IFERROR(MAX(0,H25-INDEX(Détails!$E$10:$F$11,1+(WEEKDAY(Tabel1[[#This Row],[Date]],2)=5),MATCH($O$2,Détails!$E$9:$F$9,0))),"-")</f>
        <v>-</v>
      </c>
      <c r="M25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26" spans="1:13" ht="30" customHeight="1" x14ac:dyDescent="0.25">
      <c r="A26" s="31" t="str">
        <f t="shared" si="0"/>
        <v>4</v>
      </c>
      <c r="B26" s="32">
        <f t="shared" si="2"/>
        <v>45315</v>
      </c>
      <c r="C26" s="33"/>
      <c r="D26" s="34"/>
      <c r="E26" s="35"/>
      <c r="F26" s="35"/>
      <c r="G26" s="34"/>
      <c r="H26" s="36" t="str">
        <f t="shared" si="1"/>
        <v/>
      </c>
      <c r="I26" s="36">
        <f>IF($G26&gt;$D26,MEDIAN($G26,Détails!$M$2,Détails!$M$3)-MEDIAN($D26,Détails!$M$2,Détails!$M$3),($G26&lt;$D26)*(Détails!$M$2-Détails!$M$3)+MEDIAN($G26,Détails!$M$3,Détails!$M$2)-MEDIAN($D26,Détails!$M$3,Détails!$M$2))-$E26</f>
        <v>0</v>
      </c>
      <c r="J26" s="36">
        <f>MOD($G26-$D26,1)-($G26&lt;$D26)*(Détails!$M$2-Détails!$M$3)-MEDIAN($G26,Détails!$M$3,Détails!$M$2)+MEDIAN($D26,Détails!$M$3,Détails!$M$2)-$F26</f>
        <v>0</v>
      </c>
      <c r="K26" s="37">
        <f>IF(OR(WEEKDAY(Tabel1[[#This Row],[Date]],2)=7, DAY(Tabel1[[#This Row],[Date]])=DAY(EOMONTH(Tabel1[[#This Row],[Date]],0))),SUMIF(Tabel1[Semaine],Tabel1[[#This Row],[Semaine]],Tabel1[Total Heures]),0)</f>
        <v>0</v>
      </c>
      <c r="L26" s="36" t="str" cm="1">
        <f t="array" ref="L26">IFERROR(MAX(0,H26-INDEX(Détails!$E$10:$F$11,1+(WEEKDAY(Tabel1[[#This Row],[Date]],2)=5),MATCH($O$2,Détails!$E$9:$F$9,0))),"-")</f>
        <v>-</v>
      </c>
      <c r="M26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27" spans="1:13" ht="30" customHeight="1" x14ac:dyDescent="0.25">
      <c r="A27" s="31" t="str">
        <f t="shared" si="0"/>
        <v>4</v>
      </c>
      <c r="B27" s="32">
        <f t="shared" si="2"/>
        <v>45316</v>
      </c>
      <c r="C27" s="33"/>
      <c r="D27" s="34"/>
      <c r="E27" s="35"/>
      <c r="F27" s="35"/>
      <c r="G27" s="34"/>
      <c r="H27" s="36" t="str">
        <f t="shared" si="1"/>
        <v/>
      </c>
      <c r="I27" s="36">
        <f>IF($G27&gt;$D27,MEDIAN($G27,Détails!$M$2,Détails!$M$3)-MEDIAN($D27,Détails!$M$2,Détails!$M$3),($G27&lt;$D27)*(Détails!$M$2-Détails!$M$3)+MEDIAN($G27,Détails!$M$3,Détails!$M$2)-MEDIAN($D27,Détails!$M$3,Détails!$M$2))-$E27</f>
        <v>0</v>
      </c>
      <c r="J27" s="36">
        <f>MOD($G27-$D27,1)-($G27&lt;$D27)*(Détails!$M$2-Détails!$M$3)-MEDIAN($G27,Détails!$M$3,Détails!$M$2)+MEDIAN($D27,Détails!$M$3,Détails!$M$2)-$F27</f>
        <v>0</v>
      </c>
      <c r="K27" s="37">
        <f>IF(OR(WEEKDAY(Tabel1[[#This Row],[Date]],2)=7, DAY(Tabel1[[#This Row],[Date]])=DAY(EOMONTH(Tabel1[[#This Row],[Date]],0))),SUMIF(Tabel1[Semaine],Tabel1[[#This Row],[Semaine]],Tabel1[Total Heures]),0)</f>
        <v>0</v>
      </c>
      <c r="L27" s="36" t="str" cm="1">
        <f t="array" ref="L27">IFERROR(MAX(0,H27-INDEX(Détails!$E$10:$F$11,1+(WEEKDAY(Tabel1[[#This Row],[Date]],2)=5),MATCH($O$2,Détails!$E$9:$F$9,0))),"-")</f>
        <v>-</v>
      </c>
      <c r="M27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28" spans="1:13" ht="30" customHeight="1" x14ac:dyDescent="0.25">
      <c r="A28" s="31" t="str">
        <f t="shared" si="0"/>
        <v>4</v>
      </c>
      <c r="B28" s="32">
        <f t="shared" si="2"/>
        <v>45317</v>
      </c>
      <c r="C28" s="33"/>
      <c r="D28" s="34"/>
      <c r="E28" s="35"/>
      <c r="F28" s="35"/>
      <c r="G28" s="34"/>
      <c r="H28" s="36" t="str">
        <f t="shared" si="1"/>
        <v/>
      </c>
      <c r="I28" s="36">
        <f>IF($G28&gt;$D28,MEDIAN($G28,Détails!$M$2,Détails!$M$3)-MEDIAN($D28,Détails!$M$2,Détails!$M$3),($G28&lt;$D28)*(Détails!$M$2-Détails!$M$3)+MEDIAN($G28,Détails!$M$3,Détails!$M$2)-MEDIAN($D28,Détails!$M$3,Détails!$M$2))-$E28</f>
        <v>0</v>
      </c>
      <c r="J28" s="36">
        <f>MOD($G28-$D28,1)-($G28&lt;$D28)*(Détails!$M$2-Détails!$M$3)-MEDIAN($G28,Détails!$M$3,Détails!$M$2)+MEDIAN($D28,Détails!$M$3,Détails!$M$2)-$F28</f>
        <v>0</v>
      </c>
      <c r="K28" s="37">
        <f>IF(OR(WEEKDAY(Tabel1[[#This Row],[Date]],2)=7, DAY(Tabel1[[#This Row],[Date]])=DAY(EOMONTH(Tabel1[[#This Row],[Date]],0))),SUMIF(Tabel1[Semaine],Tabel1[[#This Row],[Semaine]],Tabel1[Total Heures]),0)</f>
        <v>0</v>
      </c>
      <c r="L28" s="36" t="str" cm="1">
        <f t="array" ref="L28">IFERROR(MAX(0,H28-INDEX(Détails!$E$10:$F$11,1+(WEEKDAY(Tabel1[[#This Row],[Date]],2)=5),MATCH($O$2,Détails!$E$9:$F$9,0))),"-")</f>
        <v>-</v>
      </c>
      <c r="M28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29" spans="1:13" ht="30" customHeight="1" x14ac:dyDescent="0.25">
      <c r="A29" s="31" t="str">
        <f t="shared" si="0"/>
        <v>4</v>
      </c>
      <c r="B29" s="32">
        <f t="shared" si="2"/>
        <v>45318</v>
      </c>
      <c r="C29" s="33"/>
      <c r="D29" s="34"/>
      <c r="E29" s="35"/>
      <c r="F29" s="35"/>
      <c r="G29" s="34"/>
      <c r="H29" s="36" t="str">
        <f t="shared" si="1"/>
        <v/>
      </c>
      <c r="I29" s="36">
        <f>IF($G29&gt;$D29,MEDIAN($G29,Détails!$M$2,Détails!$M$3)-MEDIAN($D29,Détails!$M$2,Détails!$M$3),($G29&lt;$D29)*(Détails!$M$2-Détails!$M$3)+MEDIAN($G29,Détails!$M$3,Détails!$M$2)-MEDIAN($D29,Détails!$M$3,Détails!$M$2))-$E29</f>
        <v>0</v>
      </c>
      <c r="J29" s="36">
        <f>MOD($G29-$D29,1)-($G29&lt;$D29)*(Détails!$M$2-Détails!$M$3)-MEDIAN($G29,Détails!$M$3,Détails!$M$2)+MEDIAN($D29,Détails!$M$3,Détails!$M$2)-$F29</f>
        <v>0</v>
      </c>
      <c r="K29" s="37">
        <f>IF(OR(WEEKDAY(Tabel1[[#This Row],[Date]],2)=7, DAY(Tabel1[[#This Row],[Date]])=DAY(EOMONTH(Tabel1[[#This Row],[Date]],0))),SUMIF(Tabel1[Semaine],Tabel1[[#This Row],[Semaine]],Tabel1[Total Heures]),0)</f>
        <v>0</v>
      </c>
      <c r="L29" s="36" t="str" cm="1">
        <f t="array" ref="L29">IFERROR(MAX(0,H29-INDEX(Détails!$E$10:$F$11,1+(WEEKDAY(Tabel1[[#This Row],[Date]],2)=5),MATCH($O$2,Détails!$E$9:$F$9,0))),"-")</f>
        <v>-</v>
      </c>
      <c r="M29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30" spans="1:13" ht="30" customHeight="1" x14ac:dyDescent="0.25">
      <c r="A30" s="31" t="str">
        <f t="shared" si="0"/>
        <v>4</v>
      </c>
      <c r="B30" s="32">
        <f t="shared" si="2"/>
        <v>45319</v>
      </c>
      <c r="C30" s="33"/>
      <c r="D30" s="34"/>
      <c r="E30" s="35"/>
      <c r="F30" s="35"/>
      <c r="G30" s="34"/>
      <c r="H30" s="36" t="str">
        <f t="shared" si="1"/>
        <v/>
      </c>
      <c r="I30" s="36">
        <f>IF($G30&gt;$D30,MEDIAN($G30,Détails!$M$2,Détails!$M$3)-MEDIAN($D30,Détails!$M$2,Détails!$M$3),($G30&lt;$D30)*(Détails!$M$2-Détails!$M$3)+MEDIAN($G30,Détails!$M$3,Détails!$M$2)-MEDIAN($D30,Détails!$M$3,Détails!$M$2))-$E30</f>
        <v>0</v>
      </c>
      <c r="J30" s="36">
        <f>MOD($G30-$D30,1)-($G30&lt;$D30)*(Détails!$M$2-Détails!$M$3)-MEDIAN($G30,Détails!$M$3,Détails!$M$2)+MEDIAN($D30,Détails!$M$3,Détails!$M$2)-$F30</f>
        <v>0</v>
      </c>
      <c r="K30" s="37">
        <f>IF(OR(WEEKDAY(Tabel1[[#This Row],[Date]],2)=7, DAY(Tabel1[[#This Row],[Date]])=DAY(EOMONTH(Tabel1[[#This Row],[Date]],0))),SUMIF(Tabel1[Semaine],Tabel1[[#This Row],[Semaine]],Tabel1[Total Heures]),0)</f>
        <v>0</v>
      </c>
      <c r="L30" s="36" t="str" cm="1">
        <f t="array" ref="L30">IFERROR(MAX(0,H30-INDEX(Détails!$E$10:$F$11,1+(WEEKDAY(Tabel1[[#This Row],[Date]],2)=5),MATCH($O$2,Détails!$E$9:$F$9,0))),"-")</f>
        <v>-</v>
      </c>
      <c r="M30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31" spans="1:13" ht="30" customHeight="1" x14ac:dyDescent="0.25">
      <c r="A31" s="31" t="str">
        <f t="shared" si="0"/>
        <v>5</v>
      </c>
      <c r="B31" s="32">
        <f t="shared" si="2"/>
        <v>45320</v>
      </c>
      <c r="C31" s="33"/>
      <c r="D31" s="34"/>
      <c r="E31" s="35"/>
      <c r="F31" s="35"/>
      <c r="G31" s="34"/>
      <c r="H31" s="36" t="str">
        <f t="shared" si="1"/>
        <v/>
      </c>
      <c r="I31" s="36">
        <f>IF($G31&gt;$D31,MEDIAN($G31,Détails!$M$2,Détails!$M$3)-MEDIAN($D31,Détails!$M$2,Détails!$M$3),($G31&lt;$D31)*(Détails!$M$2-Détails!$M$3)+MEDIAN($G31,Détails!$M$3,Détails!$M$2)-MEDIAN($D31,Détails!$M$3,Détails!$M$2))-$E31</f>
        <v>0</v>
      </c>
      <c r="J31" s="36">
        <f>MOD($G31-$D31,1)-($G31&lt;$D31)*(Détails!$M$2-Détails!$M$3)-MEDIAN($G31,Détails!$M$3,Détails!$M$2)+MEDIAN($D31,Détails!$M$3,Détails!$M$2)-$F31</f>
        <v>0</v>
      </c>
      <c r="K31" s="37">
        <f>IF(OR(WEEKDAY(Tabel1[[#This Row],[Date]],2)=7, DAY(Tabel1[[#This Row],[Date]])=DAY(EOMONTH(Tabel1[[#This Row],[Date]],0))),SUMIF(Tabel1[Semaine],Tabel1[[#This Row],[Semaine]],Tabel1[Total Heures]),0)</f>
        <v>0</v>
      </c>
      <c r="L31" s="36" t="str" cm="1">
        <f t="array" ref="L31">IFERROR(MAX(0,H31-INDEX(Détails!$E$10:$F$11,1+(WEEKDAY(Tabel1[[#This Row],[Date]],2)=5),MATCH($O$2,Détails!$E$9:$F$9,0))),"-")</f>
        <v>-</v>
      </c>
      <c r="M31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32" spans="1:13" ht="30" customHeight="1" x14ac:dyDescent="0.25">
      <c r="A32" s="31" t="str">
        <f t="shared" si="0"/>
        <v>5</v>
      </c>
      <c r="B32" s="32">
        <f t="shared" si="2"/>
        <v>45321</v>
      </c>
      <c r="C32" s="33"/>
      <c r="D32" s="34"/>
      <c r="E32" s="35"/>
      <c r="F32" s="35"/>
      <c r="G32" s="34"/>
      <c r="H32" s="36" t="str">
        <f t="shared" si="1"/>
        <v/>
      </c>
      <c r="I32" s="36">
        <f>IF($G32&gt;$D32,MEDIAN($G32,Détails!$M$2,Détails!$M$3)-MEDIAN($D32,Détails!$M$2,Détails!$M$3),($G32&lt;$D32)*(Détails!$M$2-Détails!$M$3)+MEDIAN($G32,Détails!$M$3,Détails!$M$2)-MEDIAN($D32,Détails!$M$3,Détails!$M$2))-$E32</f>
        <v>0</v>
      </c>
      <c r="J32" s="36">
        <f>MOD($G32-$D32,1)-($G32&lt;$D32)*(Détails!$M$2-Détails!$M$3)-MEDIAN($G32,Détails!$M$3,Détails!$M$2)+MEDIAN($D32,Détails!$M$3,Détails!$M$2)-$F32</f>
        <v>0</v>
      </c>
      <c r="K32" s="37">
        <f>IF(OR(WEEKDAY(Tabel1[[#This Row],[Date]],2)=7, DAY(Tabel1[[#This Row],[Date]])=DAY(EOMONTH(Tabel1[[#This Row],[Date]],0))),SUMIF(Tabel1[Semaine],Tabel1[[#This Row],[Semaine]],Tabel1[Total Heures]),0)</f>
        <v>0</v>
      </c>
      <c r="L32" s="36" t="str" cm="1">
        <f t="array" ref="L32">IFERROR(MAX(0,H32-INDEX(Détails!$E$10:$F$11,1+(WEEKDAY(Tabel1[[#This Row],[Date]],2)=5),MATCH($O$2,Détails!$E$9:$F$9,0))),"-")</f>
        <v>-</v>
      </c>
      <c r="M32" s="37">
        <f>IF(OR(WEEKDAY(Tabel1[[#This Row],[Date]],2)=7, DAY(Tabel1[[#This Row],[Date]])=DAY(EOMONTH(Tabel1[[#This Row],[Date]],0))),SUMIF(Tabel1[Semaine],Tabel1[[#This Row],[Semaine]],Tabel1[Heures supplémentaires]),0)</f>
        <v>0</v>
      </c>
    </row>
    <row r="33" spans="1:13" ht="30" customHeight="1" x14ac:dyDescent="0.25">
      <c r="A33" s="31" t="str">
        <f t="shared" si="0"/>
        <v>5</v>
      </c>
      <c r="B33" s="32">
        <f t="shared" si="2"/>
        <v>45322</v>
      </c>
      <c r="C33" s="33"/>
      <c r="D33" s="34"/>
      <c r="E33" s="35"/>
      <c r="F33" s="35"/>
      <c r="G33" s="34"/>
      <c r="H33" s="36" t="str">
        <f t="shared" si="1"/>
        <v/>
      </c>
      <c r="I33" s="36">
        <f>IF($G33&gt;$D33,MEDIAN($G33,Détails!$M$2,Détails!$M$3)-MEDIAN($D33,Détails!$M$2,Détails!$M$3),($G33&lt;$D33)*(Détails!$M$2-Détails!$M$3)+MEDIAN($G33,Détails!$M$3,Détails!$M$2)-MEDIAN($D33,Détails!$M$3,Détails!$M$2))-$E33</f>
        <v>0</v>
      </c>
      <c r="J33" s="36">
        <f>MOD($G33-$D33,1)-($G33&lt;$D33)*(Détails!$M$2-Détails!$M$3)-MEDIAN($G33,Détails!$M$3,Détails!$M$2)+MEDIAN($D33,Détails!$M$3,Détails!$M$2)-$F33</f>
        <v>0</v>
      </c>
      <c r="K33" s="37">
        <f>IF(OR(WEEKDAY(Tabel1[[#This Row],[Date]],2)=7, DAY(Tabel1[[#This Row],[Date]])=DAY(EOMONTH(Tabel1[[#This Row],[Date]],0))),SUMIF(Tabel1[Semaine],Tabel1[[#This Row],[Semaine]],Tabel1[Total Heures]),0)</f>
        <v>0</v>
      </c>
      <c r="L33" s="36" t="str" cm="1">
        <f t="array" ref="L33">IFERROR(MAX(0,H33-INDEX(Détails!$E$10:$F$11,1+(WEEKDAY(Tabel1[[#This Row],[Date]],2)=5),MATCH($O$2,Détails!$E$9:$F$9,0))),"-")</f>
        <v>-</v>
      </c>
      <c r="M33" s="40">
        <f>IF(OR(WEEKDAY(Tabel1[[#This Row],[Date]],2)=7, DAY(Tabel1[[#This Row],[Date]])=DAY(EOMONTH(Tabel1[[#This Row],[Date]],0))),SUMIF(Tabel1[Semaine],Tabel1[[#This Row],[Semaine]],Tabel1[Heures supplémentaires]),0)</f>
        <v>0</v>
      </c>
    </row>
  </sheetData>
  <mergeCells count="1">
    <mergeCell ref="L1:M1"/>
  </mergeCells>
  <conditionalFormatting sqref="A3:M33">
    <cfRule type="expression" dxfId="4" priority="1">
      <formula>OR($C3="Arrêt maladie",$C3="Accident de travail")</formula>
    </cfRule>
    <cfRule type="expression" dxfId="3" priority="2">
      <formula>AND($C3="Congé")</formula>
    </cfRule>
    <cfRule type="expression" dxfId="1" priority="9">
      <formula>WEEKDAY($B3,2)&gt;5</formula>
    </cfRule>
  </conditionalFormatting>
  <pageMargins left="0.7" right="0.7" top="0.75" bottom="0.75" header="0.3" footer="0.3"/>
  <pageSetup paperSize="9" orientation="portrait" r:id="rId1"/>
  <ignoredErrors>
    <ignoredError sqref="B4:B33" calculatedColumn="1"/>
  </ignoredError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DA6ADA2-7745-44DB-B05B-B41EC8257AEE}">
            <xm:f>NOT(ISNA(VLOOKUP($B3,Détails!$K$2:$K$16,1,0)))</xm:f>
            <x14:dxf>
              <fill>
                <patternFill>
                  <bgColor rgb="FF92D050"/>
                </patternFill>
              </fill>
            </x14:dxf>
          </x14:cfRule>
          <xm:sqref>A3:M33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80164728-BDF5-4AFD-9637-4FB97C1FCA28}">
          <x14:formula1>
            <xm:f>Synthèse!$B$1:$G$1</xm:f>
          </x14:formula1>
          <xm:sqref>C3:C33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3"/>
  <dimension ref="A1"/>
  <sheetViews>
    <sheetView workbookViewId="0">
      <selection activeCell="E4" sqref="E4"/>
    </sheetView>
  </sheetViews>
  <sheetFormatPr defaultColWidth="11.5703125" defaultRowHeight="14.25" x14ac:dyDescent="0.25"/>
  <cols>
    <col min="1" max="1" width="11.5703125" style="5"/>
    <col min="2" max="16384" width="11.5703125" style="4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4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5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6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7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8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9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10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Blad1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1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Blad1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14</vt:i4>
      </vt:variant>
      <vt:variant>
        <vt:lpstr>Benoemde bereiken</vt:lpstr>
      </vt:variant>
      <vt:variant>
        <vt:i4>2</vt:i4>
      </vt:variant>
    </vt:vector>
  </HeadingPairs>
  <TitlesOfParts>
    <vt:vector size="16" baseType="lpstr">
      <vt:lpstr>Détails</vt:lpstr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</vt:lpstr>
      <vt:lpstr>MesFeries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Bart Strubbe</cp:lastModifiedBy>
  <dcterms:created xsi:type="dcterms:W3CDTF">2015-06-05T18:19:34Z</dcterms:created>
  <dcterms:modified xsi:type="dcterms:W3CDTF">2024-06-10T09:50:47Z</dcterms:modified>
</cp:coreProperties>
</file>