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9B951B5-77A3-497E-B2EB-0641A1214D8D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Amortissements" sheetId="1" r:id="rId1"/>
    <sheet name="Transpose" sheetId="3" r:id="rId2"/>
    <sheet name="Année comptabl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3" l="1"/>
  <c r="K16" i="3"/>
  <c r="L16" i="3"/>
  <c r="J17" i="3"/>
  <c r="K17" i="3"/>
  <c r="L17" i="3"/>
  <c r="J18" i="3"/>
  <c r="K18" i="3"/>
  <c r="L18" i="3"/>
  <c r="J19" i="3"/>
  <c r="K19" i="3"/>
  <c r="L19" i="3"/>
  <c r="J20" i="3"/>
  <c r="K20" i="3"/>
  <c r="L20" i="3"/>
  <c r="J21" i="3"/>
  <c r="K21" i="3"/>
  <c r="L21" i="3"/>
  <c r="J22" i="3"/>
  <c r="K22" i="3"/>
  <c r="L22" i="3"/>
  <c r="J23" i="3"/>
  <c r="K23" i="3"/>
  <c r="L23" i="3"/>
  <c r="J24" i="3"/>
  <c r="K24" i="3"/>
  <c r="L24" i="3"/>
  <c r="J25" i="3"/>
  <c r="K25" i="3"/>
  <c r="L25" i="3"/>
  <c r="J26" i="3"/>
  <c r="K26" i="3"/>
  <c r="L26" i="3"/>
  <c r="J27" i="3"/>
  <c r="K27" i="3"/>
  <c r="L27" i="3"/>
  <c r="J28" i="3"/>
  <c r="K28" i="3"/>
  <c r="L28" i="3"/>
  <c r="J29" i="3"/>
  <c r="K29" i="3"/>
  <c r="L29" i="3"/>
  <c r="J30" i="3"/>
  <c r="K30" i="3"/>
  <c r="L30" i="3"/>
  <c r="J31" i="3"/>
  <c r="K31" i="3"/>
  <c r="L31" i="3"/>
  <c r="J32" i="3"/>
  <c r="K32" i="3"/>
  <c r="L32" i="3"/>
  <c r="J33" i="3"/>
  <c r="K33" i="3"/>
  <c r="L33" i="3"/>
  <c r="J34" i="3"/>
  <c r="K34" i="3"/>
  <c r="L34" i="3"/>
  <c r="K15" i="3"/>
  <c r="L15" i="3"/>
  <c r="J15" i="3"/>
  <c r="A1" i="3" a="1"/>
  <c r="A1" i="3" s="1"/>
  <c r="F15" i="3" a="1"/>
  <c r="F15" i="3" s="1"/>
  <c r="J4" i="1"/>
  <c r="S3" i="1"/>
  <c r="T2" i="1"/>
  <c r="U2" i="1" s="1"/>
  <c r="H5" i="1"/>
  <c r="H6" i="1"/>
  <c r="H4" i="1"/>
  <c r="M45" i="1"/>
  <c r="M44" i="1"/>
  <c r="M43" i="1"/>
  <c r="M42" i="1"/>
  <c r="M35" i="1"/>
  <c r="M34" i="1"/>
  <c r="M33" i="1"/>
  <c r="M32" i="1"/>
  <c r="M25" i="1"/>
  <c r="M24" i="1"/>
  <c r="M23" i="1"/>
  <c r="M22" i="1"/>
  <c r="M15" i="1"/>
  <c r="M14" i="1"/>
  <c r="M13" i="1"/>
  <c r="M12" i="1"/>
  <c r="K4" i="1" l="1"/>
  <c r="V2" i="1"/>
  <c r="U3" i="1"/>
  <c r="T3" i="1"/>
  <c r="K45" i="1"/>
  <c r="K44" i="1"/>
  <c r="K43" i="1"/>
  <c r="K42" i="1"/>
  <c r="K35" i="1"/>
  <c r="K34" i="1"/>
  <c r="K33" i="1"/>
  <c r="K32" i="1"/>
  <c r="K25" i="1"/>
  <c r="K24" i="1"/>
  <c r="K23" i="1"/>
  <c r="K22" i="1"/>
  <c r="K15" i="1"/>
  <c r="K14" i="1"/>
  <c r="K13" i="1"/>
  <c r="K12" i="1"/>
  <c r="F45" i="1"/>
  <c r="E45" i="1"/>
  <c r="G39" i="1"/>
  <c r="I45" i="1" s="1"/>
  <c r="B39" i="1"/>
  <c r="F35" i="1"/>
  <c r="E35" i="1"/>
  <c r="F34" i="1"/>
  <c r="E34" i="1"/>
  <c r="F33" i="1"/>
  <c r="E33" i="1"/>
  <c r="G29" i="1"/>
  <c r="I35" i="1" s="1"/>
  <c r="B29" i="1"/>
  <c r="F24" i="1"/>
  <c r="E24" i="1"/>
  <c r="G19" i="1"/>
  <c r="I25" i="1" s="1"/>
  <c r="E25" i="1" s="1"/>
  <c r="F25" i="1" s="1"/>
  <c r="B19" i="1"/>
  <c r="G9" i="1"/>
  <c r="I10" i="1" s="1"/>
  <c r="B9" i="1"/>
  <c r="G7" i="1"/>
  <c r="B43" i="1" s="1"/>
  <c r="G6" i="1"/>
  <c r="G5" i="1"/>
  <c r="G4" i="1"/>
  <c r="L4" i="1" l="1"/>
  <c r="M4" i="1"/>
  <c r="V5" i="1"/>
  <c r="L5" i="1"/>
  <c r="J5" i="1"/>
  <c r="K5" i="1" s="1"/>
  <c r="M5" i="1"/>
  <c r="L6" i="1"/>
  <c r="M6" i="1"/>
  <c r="J6" i="1"/>
  <c r="K6" i="1" s="1"/>
  <c r="B25" i="1"/>
  <c r="B34" i="1"/>
  <c r="W2" i="1"/>
  <c r="V3" i="1"/>
  <c r="I11" i="1"/>
  <c r="B42" i="1"/>
  <c r="B45" i="1"/>
  <c r="I40" i="1"/>
  <c r="I41" i="1" s="1"/>
  <c r="B44" i="1" s="1"/>
  <c r="I42" i="1"/>
  <c r="E42" i="1" s="1"/>
  <c r="F42" i="1" s="1"/>
  <c r="I43" i="1"/>
  <c r="E43" i="1" s="1"/>
  <c r="F43" i="1" s="1"/>
  <c r="I44" i="1"/>
  <c r="I12" i="1"/>
  <c r="E12" i="1" s="1"/>
  <c r="F12" i="1" s="1"/>
  <c r="I14" i="1"/>
  <c r="E14" i="1" s="1"/>
  <c r="F14" i="1" s="1"/>
  <c r="I15" i="1"/>
  <c r="E15" i="1" s="1"/>
  <c r="F15" i="1" s="1"/>
  <c r="I13" i="1"/>
  <c r="E13" i="1" s="1"/>
  <c r="F13" i="1" s="1"/>
  <c r="B15" i="1"/>
  <c r="B35" i="1"/>
  <c r="B33" i="1"/>
  <c r="I30" i="1"/>
  <c r="I31" i="1" s="1"/>
  <c r="B32" i="1" s="1"/>
  <c r="B24" i="1"/>
  <c r="B22" i="1"/>
  <c r="I20" i="1"/>
  <c r="I21" i="1" s="1"/>
  <c r="B23" i="1" s="1"/>
  <c r="I22" i="1"/>
  <c r="E22" i="1" s="1"/>
  <c r="F22" i="1" s="1"/>
  <c r="I23" i="1"/>
  <c r="I24" i="1"/>
  <c r="B12" i="1"/>
  <c r="B13" i="1"/>
  <c r="B14" i="1"/>
  <c r="I32" i="1"/>
  <c r="I33" i="1"/>
  <c r="I34" i="1"/>
  <c r="T6" i="1" l="1"/>
  <c r="U6" i="1"/>
  <c r="S6" i="1"/>
  <c r="W9" i="1"/>
  <c r="T9" i="1"/>
  <c r="X9" i="1"/>
  <c r="U9" i="1"/>
  <c r="V9" i="1"/>
  <c r="S9" i="1"/>
  <c r="T4" i="1"/>
  <c r="S4" i="1"/>
  <c r="U4" i="1"/>
  <c r="W4" i="1"/>
  <c r="W6" i="1"/>
  <c r="W5" i="1"/>
  <c r="T10" i="1"/>
  <c r="X10" i="1"/>
  <c r="S10" i="1"/>
  <c r="U10" i="1"/>
  <c r="V10" i="1"/>
  <c r="W10" i="1"/>
  <c r="V6" i="1"/>
  <c r="S5" i="1"/>
  <c r="T5" i="1"/>
  <c r="U5" i="1"/>
  <c r="V4" i="1"/>
  <c r="V8" i="1"/>
  <c r="W8" i="1"/>
  <c r="T8" i="1"/>
  <c r="U8" i="1"/>
  <c r="S8" i="1"/>
  <c r="W3" i="1"/>
  <c r="X2" i="1"/>
  <c r="E23" i="1"/>
  <c r="F23" i="1" s="1"/>
  <c r="E32" i="1"/>
  <c r="F32" i="1" s="1"/>
  <c r="E44" i="1"/>
  <c r="F44" i="1" s="1"/>
  <c r="B47" i="1"/>
  <c r="B37" i="1"/>
  <c r="B27" i="1"/>
  <c r="B17" i="1"/>
  <c r="X4" i="1" l="1"/>
  <c r="X6" i="1"/>
  <c r="X5" i="1"/>
  <c r="X8" i="1"/>
  <c r="Y2" i="1"/>
  <c r="X3" i="1"/>
  <c r="Y5" i="1" l="1"/>
  <c r="Y4" i="1"/>
  <c r="Y6" i="1"/>
  <c r="Y9" i="1"/>
  <c r="Y10" i="1"/>
  <c r="Y8" i="1"/>
  <c r="Z2" i="1"/>
  <c r="Y3" i="1"/>
  <c r="Z5" i="1" l="1"/>
  <c r="Z4" i="1"/>
  <c r="Z6" i="1"/>
  <c r="Z10" i="1"/>
  <c r="Z8" i="1"/>
  <c r="Z9" i="1"/>
  <c r="AA2" i="1"/>
  <c r="Z3" i="1"/>
  <c r="AA4" i="1" l="1"/>
  <c r="G12" i="1" s="1"/>
  <c r="AA5" i="1"/>
  <c r="G22" i="1" s="1"/>
  <c r="AA6" i="1"/>
  <c r="AA10" i="1"/>
  <c r="AA9" i="1"/>
  <c r="AA8" i="1"/>
  <c r="AA3" i="1"/>
  <c r="AB2" i="1"/>
  <c r="AB6" i="1" l="1"/>
  <c r="AB4" i="1"/>
  <c r="AB5" i="1"/>
  <c r="AB10" i="1"/>
  <c r="AB8" i="1"/>
  <c r="AB9" i="1"/>
  <c r="AC2" i="1"/>
  <c r="AB3" i="1"/>
  <c r="G23" i="1" l="1"/>
  <c r="G13" i="1"/>
  <c r="AC6" i="1"/>
  <c r="AC4" i="1"/>
  <c r="G14" i="1" s="1"/>
  <c r="AC5" i="1"/>
  <c r="G24" i="1" s="1"/>
  <c r="AC9" i="1"/>
  <c r="AC10" i="1"/>
  <c r="AC8" i="1"/>
  <c r="G33" i="1"/>
  <c r="AD2" i="1"/>
  <c r="AC3" i="1"/>
  <c r="G34" i="1" l="1"/>
  <c r="AD5" i="1"/>
  <c r="G25" i="1" s="1"/>
  <c r="AD6" i="1"/>
  <c r="G35" i="1" s="1"/>
  <c r="AD4" i="1"/>
  <c r="AD10" i="1"/>
  <c r="AD8" i="1"/>
  <c r="AD9" i="1"/>
  <c r="AE2" i="1"/>
  <c r="AD3" i="1"/>
  <c r="AE4" i="1" l="1"/>
  <c r="AE5" i="1"/>
  <c r="AE6" i="1"/>
  <c r="AE8" i="1"/>
  <c r="AE9" i="1"/>
  <c r="AE10" i="1"/>
  <c r="G15" i="1"/>
  <c r="AE3" i="1"/>
  <c r="AF2" i="1"/>
  <c r="AF6" i="1" l="1"/>
  <c r="AF4" i="1"/>
  <c r="AF5" i="1"/>
  <c r="AF9" i="1"/>
  <c r="AF10" i="1"/>
  <c r="AF8" i="1"/>
  <c r="AG2" i="1"/>
  <c r="AF3" i="1"/>
  <c r="AG6" i="1" l="1"/>
  <c r="AG4" i="1"/>
  <c r="AG5" i="1"/>
  <c r="AG10" i="1"/>
  <c r="AG8" i="1"/>
  <c r="AG9" i="1"/>
  <c r="AH2" i="1"/>
  <c r="AG3" i="1"/>
  <c r="AH5" i="1" l="1"/>
  <c r="AH6" i="1"/>
  <c r="AH4" i="1"/>
  <c r="AH9" i="1"/>
  <c r="AH10" i="1"/>
  <c r="AH8" i="1"/>
  <c r="AI2" i="1"/>
  <c r="AH3" i="1"/>
  <c r="AI5" i="1" l="1"/>
  <c r="AI4" i="1"/>
  <c r="AI6" i="1"/>
  <c r="AI10" i="1"/>
  <c r="AI8" i="1"/>
  <c r="AI9" i="1"/>
  <c r="AI3" i="1"/>
  <c r="AJ2" i="1"/>
  <c r="AJ4" i="1" l="1"/>
  <c r="AJ6" i="1"/>
  <c r="AJ5" i="1"/>
  <c r="AJ10" i="1"/>
  <c r="AJ9" i="1"/>
  <c r="AJ8" i="1"/>
  <c r="AK2" i="1"/>
  <c r="AJ3" i="1"/>
  <c r="AK4" i="1" l="1"/>
  <c r="AK6" i="1"/>
  <c r="AK5" i="1"/>
  <c r="AK10" i="1"/>
  <c r="AK8" i="1"/>
  <c r="AK9" i="1"/>
  <c r="AL2" i="1"/>
  <c r="AK3" i="1"/>
  <c r="AL5" i="1" l="1"/>
  <c r="AL4" i="1"/>
  <c r="AL6" i="1"/>
  <c r="AL8" i="1"/>
  <c r="AL9" i="1"/>
  <c r="AL10" i="1"/>
  <c r="AM2" i="1"/>
  <c r="AL3" i="1"/>
  <c r="AM5" i="1" l="1"/>
  <c r="AM4" i="1"/>
  <c r="AM6" i="1"/>
  <c r="AM9" i="1"/>
  <c r="AM10" i="1"/>
  <c r="AM8" i="1"/>
  <c r="AM3" i="1"/>
  <c r="AN2" i="1"/>
  <c r="AN4" i="1" l="1"/>
  <c r="AN6" i="1"/>
  <c r="AN5" i="1"/>
  <c r="AN8" i="1"/>
  <c r="AN9" i="1"/>
  <c r="AN10" i="1"/>
  <c r="AO2" i="1"/>
  <c r="AN3" i="1"/>
  <c r="AO4" i="1" l="1"/>
  <c r="AO6" i="1"/>
  <c r="AO5" i="1"/>
  <c r="AO9" i="1"/>
  <c r="AO10" i="1"/>
  <c r="AO8" i="1"/>
  <c r="AP2" i="1"/>
  <c r="AO3" i="1"/>
  <c r="AP5" i="1" l="1"/>
  <c r="P5" i="1" s="1"/>
  <c r="O5" i="1" s="1"/>
  <c r="AP4" i="1"/>
  <c r="P4" i="1" s="1"/>
  <c r="O4" i="1" s="1"/>
  <c r="AP6" i="1"/>
  <c r="P6" i="1" s="1"/>
  <c r="O6" i="1" s="1"/>
  <c r="AP10" i="1"/>
  <c r="AP9" i="1"/>
  <c r="AP8" i="1"/>
  <c r="P8" i="1" s="1"/>
  <c r="O8" i="1" s="1"/>
  <c r="AP3" i="1"/>
  <c r="G32" i="1" s="1"/>
  <c r="P9" i="1"/>
  <c r="O9" i="1" s="1"/>
  <c r="P10" i="1"/>
  <c r="O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tc={9A0BE510-7855-432A-84A2-2DAD7D7240D9}</author>
    <author>tc={33063028-937F-40C0-A9A6-5738C4F03197}</author>
    <author>tc={90D186B0-8C00-4647-B4AC-36CC371B812B}</author>
    <author>tc={F2F761E5-72F1-4D13-A6DA-3E43B6120DA7}</author>
    <author>tc={DDA6E4EE-94BD-4BB3-9095-6F6B4BD93135}</author>
    <author>tc={4D557F22-E539-46F7-9DE2-E82709C7A77B}</author>
    <author>tc={148AE359-2C2D-4880-B8D9-53E45BFE84A5}</author>
    <author>tc={EB8F35F6-D7BA-4BE6-A0DA-101939EB5193}</author>
    <author>tc={BF38983B-1188-4CA8-BB6C-69E3F9FD2E5C}</author>
    <author>tc={5570706A-4B0C-43CE-90FC-AC79A2D31B6E}</author>
    <author>tc={6C0A1B9F-C552-4AA9-BBBC-4B1E37DE56B9}</author>
  </authors>
  <commentList>
    <comment ref="A4" authorId="0" shapeId="0" xr:uid="{9A0BE510-7855-432A-84A2-2DAD7D7240D9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Amortissement 1</t>
      </text>
    </comment>
    <comment ref="A5" authorId="1" shapeId="0" xr:uid="{33063028-937F-40C0-A9A6-5738C4F03197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Amortissement 2</t>
      </text>
    </comment>
    <comment ref="A6" authorId="2" shapeId="0" xr:uid="{90D186B0-8C00-4647-B4AC-36CC371B812B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Amortissement 3</t>
      </text>
    </comment>
    <comment ref="A7" authorId="3" shapeId="0" xr:uid="{F2F761E5-72F1-4D13-A6DA-3E43B6120DA7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Amortissement 4</t>
      </text>
    </comment>
    <comment ref="C11" authorId="4" shapeId="0" xr:uid="{DDA6E4EE-94BD-4BB3-9095-6F6B4BD93135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Introduire la date d'achat dans la ligne correspondante au trimestre de l'achat. Uniquement si l'achat a lieu dans l'année comptable en cours, sinon, ne rien indiquer dans cette colonne.</t>
      </text>
    </comment>
    <comment ref="D11" authorId="5" shapeId="0" xr:uid="{4D557F22-E539-46F7-9DE2-E82709C7A77B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Introduire la date réelle de revente dans la ligne correspondante au trimestre de revente. Uniquement si la revente a lieu dans l'année comptable en cours, sinon, ne rien indiquer dans cette colonne.</t>
      </text>
    </comment>
    <comment ref="H12" authorId="6" shapeId="0" xr:uid="{148AE359-2C2D-4880-B8D9-53E45BFE84A5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Pour le calcul de la valeur résiduelle si revente anticipée</t>
      </text>
    </comment>
    <comment ref="J12" authorId="7" shapeId="0" xr:uid="{EB8F35F6-D7BA-4BE6-A0DA-101939EB5193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Pour le calcul de la durée de possession sur le trimestre concerné si revente anticipée</t>
      </text>
    </comment>
    <comment ref="L12" authorId="8" shapeId="0" xr:uid="{BF38983B-1188-4CA8-BB6C-69E3F9FD2E5C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Pour le calcul de la durée de possession dans le trimestre concerné si achat pendant l'année en cours</t>
      </text>
    </comment>
    <comment ref="B23" authorId="9" shapeId="0" xr:uid="{5570706A-4B0C-43CE-90FC-AC79A2D31B6E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Normalement ici ça devrait être 586,25€ car le trimestre est complet. J'ai essayé en modifiant la cellule K23 (année, mois, jour: jour=0 au lieu de 1), ça corrige l'erreur, en partie, mais alors ça pose problème si revente le dernier jour du trimestre, il compte 1 jour de trop, donc à choisir une erreur, je préfère laisser ainsi, sauf si solution simple.</t>
      </text>
    </comment>
    <comment ref="B32" authorId="10" shapeId="0" xr:uid="{6C0A1B9F-C552-4AA9-BBBC-4B1E37DE56B9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Normalement, ici ça devrait être 6,42€ car 1 jour de possession. Mais de toute façon, je doute qu'un investissement se revende dans le même trimestre que l'achat. Donc si pas de solution simple, on peut omettre.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<sst xmlns="http://schemas.openxmlformats.org/spreadsheetml/2006/main" count="161" uniqueCount="58">
  <si>
    <t>AMORTISSEMENTS</t>
  </si>
  <si>
    <t>Véhicule / Machine:</t>
  </si>
  <si>
    <t>Date achat:</t>
  </si>
  <si>
    <t>Durée (mois):</t>
  </si>
  <si>
    <t>Prix HTVA:</t>
  </si>
  <si>
    <t>% util. pro.:</t>
  </si>
  <si>
    <t>% déduct.:</t>
  </si>
  <si>
    <t>Amort. Total :</t>
  </si>
  <si>
    <t>Amortissement 1:</t>
  </si>
  <si>
    <t>Date de fin présumée :</t>
  </si>
  <si>
    <t>Calcul</t>
  </si>
  <si>
    <t>Amort.:</t>
  </si>
  <si>
    <t>Date revente :</t>
  </si>
  <si>
    <t>Valeur résid.:</t>
  </si>
  <si>
    <t>TVA 21 %:</t>
  </si>
  <si>
    <t>Val. /jour:</t>
  </si>
  <si>
    <t>Trimestre 1:</t>
  </si>
  <si>
    <t>Trimestre 2:</t>
  </si>
  <si>
    <t>Trimestre 3:</t>
  </si>
  <si>
    <t>Trimestre 4:</t>
  </si>
  <si>
    <t>Amortissement 2:</t>
  </si>
  <si>
    <t>Amortissement 3:</t>
  </si>
  <si>
    <t>Amortissement 4:</t>
  </si>
  <si>
    <t>T1. Jours restants jusqu'à date présumée:</t>
  </si>
  <si>
    <t>T2. Jours restants jusqu'à date présumée:</t>
  </si>
  <si>
    <t>T3. Jours restants jusqu'à date présumée:</t>
  </si>
  <si>
    <t>T4. Jours restants jusqu'à date présumée:</t>
  </si>
  <si>
    <t>Nb. Jours total de la durée présumée:</t>
  </si>
  <si>
    <t>Depuis début T1:</t>
  </si>
  <si>
    <t>Depuis début T2:</t>
  </si>
  <si>
    <t>Depuis début T3:</t>
  </si>
  <si>
    <t>Depuis début T4:</t>
  </si>
  <si>
    <t>Amort. Annuel :</t>
  </si>
  <si>
    <t>Jusqu'à fin T1:</t>
  </si>
  <si>
    <t>Jusqu'à fin T2:</t>
  </si>
  <si>
    <t>Jusqu'à fin T3:</t>
  </si>
  <si>
    <t>Jusqu'à fin T4:</t>
  </si>
  <si>
    <t>Voiture unetelle</t>
  </si>
  <si>
    <t>Exemple erreur 1</t>
  </si>
  <si>
    <t>Exemple erreur 2</t>
  </si>
  <si>
    <t>Date achat :</t>
  </si>
  <si>
    <t>valeur résid</t>
  </si>
  <si>
    <t>TVA 21%</t>
  </si>
  <si>
    <t>Date revente</t>
  </si>
  <si>
    <t>Date fin présumé</t>
  </si>
  <si>
    <t>date</t>
  </si>
  <si>
    <t>trimestre</t>
  </si>
  <si>
    <t>null</t>
  </si>
  <si>
    <t>prix jour</t>
  </si>
  <si>
    <t>prix trim</t>
  </si>
  <si>
    <t>24T1</t>
  </si>
  <si>
    <t>24T2</t>
  </si>
  <si>
    <t>24T3</t>
  </si>
  <si>
    <t>24T4</t>
  </si>
  <si>
    <t xml:space="preserve"> </t>
  </si>
  <si>
    <t>somme1</t>
  </si>
  <si>
    <t>somme2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</si>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</sst>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m/yyyy;@"/>
    <numFmt numFmtId="165" formatCode="0.0%"/>
    <numFmt numFmtId="166" formatCode="d/mm/yy;@"/>
    <numFmt numFmtId="167" formatCode="#,##0.00\ &quot;€&quot;;\-#,##0.00\ &quot;€&quot;;"/>
    <numFmt numFmtId="172" formatCode="dd/mm/yyyy;;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rgb="FF0070C0"/>
      </left>
      <right style="thin">
        <color theme="4" tint="-0.24994659260841701"/>
      </right>
      <top style="thin">
        <color rgb="FF0070C0"/>
      </top>
      <bottom style="thin">
        <color rgb="FF0070C0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44" fontId="3" fillId="0" borderId="4" xfId="0" applyNumberFormat="1" applyFont="1" applyBorder="1" applyAlignment="1" applyProtection="1">
      <alignment horizontal="right" vertical="center"/>
      <protection locked="0"/>
    </xf>
    <xf numFmtId="9" fontId="3" fillId="0" borderId="4" xfId="0" applyNumberFormat="1" applyFont="1" applyBorder="1" applyAlignment="1" applyProtection="1">
      <alignment horizontal="center" vertical="center"/>
      <protection locked="0"/>
    </xf>
    <xf numFmtId="165" fontId="3" fillId="0" borderId="4" xfId="0" applyNumberFormat="1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vertical="center"/>
    </xf>
    <xf numFmtId="0" fontId="3" fillId="0" borderId="9" xfId="0" applyFont="1" applyBorder="1"/>
    <xf numFmtId="0" fontId="8" fillId="0" borderId="9" xfId="0" applyFont="1" applyBorder="1"/>
    <xf numFmtId="0" fontId="4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3" fillId="0" borderId="13" xfId="0" applyFont="1" applyBorder="1"/>
    <xf numFmtId="44" fontId="3" fillId="3" borderId="14" xfId="0" applyNumberFormat="1" applyFont="1" applyFill="1" applyBorder="1"/>
    <xf numFmtId="164" fontId="7" fillId="0" borderId="15" xfId="0" applyNumberFormat="1" applyFont="1" applyBorder="1" applyAlignment="1" applyProtection="1">
      <alignment horizontal="center" vertical="center"/>
      <protection locked="0"/>
    </xf>
    <xf numFmtId="44" fontId="7" fillId="3" borderId="13" xfId="0" applyNumberFormat="1" applyFont="1" applyFill="1" applyBorder="1"/>
    <xf numFmtId="44" fontId="3" fillId="3" borderId="16" xfId="0" applyNumberFormat="1" applyFont="1" applyFill="1" applyBorder="1" applyAlignment="1">
      <alignment horizontal="center"/>
    </xf>
    <xf numFmtId="44" fontId="3" fillId="3" borderId="14" xfId="0" quotePrefix="1" applyNumberFormat="1" applyFont="1" applyFill="1" applyBorder="1"/>
    <xf numFmtId="0" fontId="3" fillId="0" borderId="17" xfId="0" applyFont="1" applyBorder="1"/>
    <xf numFmtId="44" fontId="7" fillId="3" borderId="18" xfId="0" applyNumberFormat="1" applyFont="1" applyFill="1" applyBorder="1"/>
    <xf numFmtId="44" fontId="7" fillId="0" borderId="19" xfId="0" applyNumberFormat="1" applyFont="1" applyBorder="1"/>
    <xf numFmtId="44" fontId="7" fillId="0" borderId="20" xfId="0" applyNumberFormat="1" applyFont="1" applyBorder="1"/>
    <xf numFmtId="0" fontId="7" fillId="0" borderId="20" xfId="0" applyFont="1" applyBorder="1"/>
    <xf numFmtId="0" fontId="3" fillId="0" borderId="21" xfId="0" applyFont="1" applyBorder="1"/>
    <xf numFmtId="0" fontId="0" fillId="0" borderId="10" xfId="0" applyBorder="1"/>
    <xf numFmtId="0" fontId="0" fillId="0" borderId="20" xfId="0" applyBorder="1"/>
    <xf numFmtId="0" fontId="3" fillId="0" borderId="22" xfId="0" applyFont="1" applyBorder="1"/>
    <xf numFmtId="0" fontId="0" fillId="0" borderId="21" xfId="0" applyBorder="1"/>
    <xf numFmtId="0" fontId="9" fillId="0" borderId="10" xfId="0" applyFont="1" applyBorder="1"/>
    <xf numFmtId="0" fontId="1" fillId="0" borderId="10" xfId="0" applyFont="1" applyBorder="1"/>
    <xf numFmtId="0" fontId="10" fillId="0" borderId="0" xfId="0" applyFont="1"/>
    <xf numFmtId="0" fontId="11" fillId="0" borderId="0" xfId="0" applyFont="1"/>
    <xf numFmtId="44" fontId="10" fillId="0" borderId="0" xfId="0" applyNumberFormat="1" applyFont="1"/>
    <xf numFmtId="0" fontId="10" fillId="0" borderId="0" xfId="0" applyFont="1" applyAlignment="1">
      <alignment horizontal="right"/>
    </xf>
    <xf numFmtId="0" fontId="4" fillId="0" borderId="23" xfId="0" applyFont="1" applyBorder="1" applyAlignment="1">
      <alignment horizontal="center" vertical="center"/>
    </xf>
    <xf numFmtId="44" fontId="3" fillId="3" borderId="23" xfId="0" applyNumberFormat="1" applyFont="1" applyFill="1" applyBorder="1" applyAlignment="1">
      <alignment horizontal="center" vertical="center"/>
    </xf>
    <xf numFmtId="164" fontId="7" fillId="3" borderId="24" xfId="0" applyNumberFormat="1" applyFont="1" applyFill="1" applyBorder="1" applyAlignment="1">
      <alignment vertical="center"/>
    </xf>
    <xf numFmtId="0" fontId="3" fillId="0" borderId="25" xfId="0" applyFont="1" applyBorder="1"/>
    <xf numFmtId="0" fontId="4" fillId="0" borderId="26" xfId="0" applyFont="1" applyBorder="1"/>
    <xf numFmtId="0" fontId="3" fillId="0" borderId="26" xfId="0" applyFont="1" applyBorder="1" applyProtection="1">
      <protection locked="0"/>
    </xf>
    <xf numFmtId="0" fontId="5" fillId="4" borderId="6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6" fillId="4" borderId="6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0" fontId="12" fillId="0" borderId="0" xfId="0" applyFont="1"/>
    <xf numFmtId="166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/>
    <xf numFmtId="0" fontId="4" fillId="0" borderId="28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12" fillId="0" borderId="0" xfId="0" applyFont="1" applyAlignment="1">
      <alignment shrinkToFit="1"/>
    </xf>
    <xf numFmtId="0" fontId="15" fillId="5" borderId="0" xfId="0" applyFont="1" applyFill="1"/>
    <xf numFmtId="0" fontId="16" fillId="5" borderId="0" xfId="0" applyFont="1" applyFill="1"/>
    <xf numFmtId="0" fontId="0" fillId="5" borderId="10" xfId="0" applyFill="1" applyBorder="1"/>
    <xf numFmtId="2" fontId="0" fillId="5" borderId="10" xfId="0" applyNumberFormat="1" applyFill="1" applyBorder="1"/>
    <xf numFmtId="167" fontId="13" fillId="5" borderId="0" xfId="0" applyNumberFormat="1" applyFont="1" applyFill="1" applyAlignment="1">
      <alignment shrinkToFit="1"/>
    </xf>
    <xf numFmtId="7" fontId="13" fillId="5" borderId="0" xfId="0" applyNumberFormat="1" applyFont="1" applyFill="1"/>
    <xf numFmtId="167" fontId="13" fillId="5" borderId="0" xfId="0" applyNumberFormat="1" applyFont="1" applyFill="1" applyAlignment="1">
      <alignment horizontal="center"/>
    </xf>
    <xf numFmtId="167" fontId="13" fillId="6" borderId="0" xfId="0" applyNumberFormat="1" applyFont="1" applyFill="1" applyAlignment="1">
      <alignment shrinkToFit="1"/>
    </xf>
    <xf numFmtId="7" fontId="13" fillId="6" borderId="0" xfId="0" applyNumberFormat="1" applyFont="1" applyFill="1"/>
    <xf numFmtId="167" fontId="13" fillId="6" borderId="0" xfId="0" applyNumberFormat="1" applyFont="1" applyFill="1" applyAlignment="1">
      <alignment horizontal="center"/>
    </xf>
    <xf numFmtId="166" fontId="17" fillId="0" borderId="0" xfId="0" applyNumberFormat="1" applyFont="1"/>
    <xf numFmtId="0" fontId="17" fillId="0" borderId="0" xfId="0" applyFont="1"/>
    <xf numFmtId="167" fontId="17" fillId="0" borderId="0" xfId="0" applyNumberFormat="1" applyFont="1"/>
    <xf numFmtId="167" fontId="0" fillId="0" borderId="0" xfId="0" applyNumberFormat="1"/>
    <xf numFmtId="1" fontId="17" fillId="0" borderId="0" xfId="0" applyNumberFormat="1" applyFont="1"/>
    <xf numFmtId="1" fontId="0" fillId="0" borderId="0" xfId="0" applyNumberFormat="1"/>
    <xf numFmtId="172" fontId="17" fillId="0" borderId="0" xfId="0" applyNumberFormat="1" applyFont="1"/>
    <xf numFmtId="172" fontId="0" fillId="0" borderId="0" xfId="0" applyNumberFormat="1"/>
    <xf numFmtId="167" fontId="0" fillId="7" borderId="0" xfId="0" applyNumberFormat="1" applyFill="1"/>
    <xf numFmtId="167" fontId="0" fillId="6" borderId="0" xfId="0" applyNumberFormat="1" applyFill="1"/>
    <xf numFmtId="0" fontId="17" fillId="0" borderId="29" xfId="0" applyFont="1" applyBorder="1"/>
    <xf numFmtId="172" fontId="0" fillId="0" borderId="29" xfId="0" applyNumberFormat="1" applyBorder="1"/>
    <xf numFmtId="1" fontId="0" fillId="0" borderId="29" xfId="0" applyNumberFormat="1" applyBorder="1"/>
    <xf numFmtId="0" fontId="0" fillId="0" borderId="29" xfId="0" applyBorder="1"/>
    <xf numFmtId="167" fontId="0" fillId="6" borderId="29" xfId="0" applyNumberFormat="1" applyFill="1" applyBorder="1"/>
  </cellXfs>
  <cellStyles count="1">
    <cellStyle name="Standaard" xfId="0" builtinId="0"/>
  </cellStyles>
  <dxfs count="1">
    <dxf>
      <border>
        <top style="thin">
          <color rgb="FFFF0000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thony Rigo" id="{447AAA9C-D340-4207-82B6-6333BC20F0F9}" userId="67b1497bf26c6090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" dT="2024-01-29T15:22:19.02" personId="{447AAA9C-D340-4207-82B6-6333BC20F0F9}" id="{9A0BE510-7855-432A-84A2-2DAD7D7240D9}">
    <text>Amortissement 1</text>
  </threadedComment>
  <threadedComment ref="A5" dT="2024-01-29T15:22:31.41" personId="{447AAA9C-D340-4207-82B6-6333BC20F0F9}" id="{33063028-937F-40C0-A9A6-5738C4F03197}">
    <text>Amortissement 2</text>
  </threadedComment>
  <threadedComment ref="A6" dT="2024-01-29T15:23:00.46" personId="{447AAA9C-D340-4207-82B6-6333BC20F0F9}" id="{90D186B0-8C00-4647-B4AC-36CC371B812B}">
    <text>Amortissement 3</text>
  </threadedComment>
  <threadedComment ref="A7" dT="2024-01-29T15:23:11.00" personId="{447AAA9C-D340-4207-82B6-6333BC20F0F9}" id="{F2F761E5-72F1-4D13-A6DA-3E43B6120DA7}">
    <text>Amortissement 4</text>
  </threadedComment>
  <threadedComment ref="C11" dT="2024-02-06T20:45:48.68" personId="{447AAA9C-D340-4207-82B6-6333BC20F0F9}" id="{DDA6E4EE-94BD-4BB3-9095-6F6B4BD93135}">
    <text>Introduire la date d'achat dans la ligne correspondante au trimestre de l'achat. Uniquement si l'achat a lieu dans l'année comptable en cours, sinon, ne rien indiquer dans cette colonne.</text>
  </threadedComment>
  <threadedComment ref="D11" dT="2024-02-06T20:46:38.23" personId="{447AAA9C-D340-4207-82B6-6333BC20F0F9}" id="{4D557F22-E539-46F7-9DE2-E82709C7A77B}">
    <text>Introduire la date réelle de revente dans la ligne correspondante au trimestre de revente. Uniquement si la revente a lieu dans l'année comptable en cours, sinon, ne rien indiquer dans cette colonne.</text>
  </threadedComment>
  <threadedComment ref="H12" dT="2024-01-29T15:47:38.62" personId="{447AAA9C-D340-4207-82B6-6333BC20F0F9}" id="{148AE359-2C2D-4880-B8D9-53E45BFE84A5}">
    <text>Pour le calcul de la valeur résiduelle si revente anticipée</text>
  </threadedComment>
  <threadedComment ref="J12" dT="2024-01-29T15:48:09.29" personId="{447AAA9C-D340-4207-82B6-6333BC20F0F9}" id="{EB8F35F6-D7BA-4BE6-A0DA-101939EB5193}">
    <text>Pour le calcul de la durée de possession sur le trimestre concerné si revente anticipée</text>
  </threadedComment>
  <threadedComment ref="L12" dT="2024-01-29T15:48:59.62" personId="{447AAA9C-D340-4207-82B6-6333BC20F0F9}" id="{BF38983B-1188-4CA8-BB6C-69E3F9FD2E5C}">
    <text>Pour le calcul de la durée de possession dans le trimestre concerné si achat pendant l'année en cours</text>
  </threadedComment>
  <threadedComment ref="B23" dT="2024-02-06T13:11:39.95" personId="{447AAA9C-D340-4207-82B6-6333BC20F0F9}" id="{5570706A-4B0C-43CE-90FC-AC79A2D31B6E}">
    <text>Normalement ici ça devrait être 586,25€ car le trimestre est complet. J'ai essayé en modifiant la cellule K23 (année, mois, jour: jour=0 au lieu de 1), ça corrige l'erreur, en partie, mais alors ça pose problème si revente le dernier jour du trimestre, il compte 1 jour de trop, donc à choisir une erreur, je préfère laisser ainsi, sauf si solution simple.</text>
  </threadedComment>
  <threadedComment ref="B32" dT="2024-02-06T13:11:10.89" personId="{447AAA9C-D340-4207-82B6-6333BC20F0F9}" id="{6C0A1B9F-C552-4AA9-BBBC-4B1E37DE56B9}">
    <text>Normalement, ici ça devrait être 6,42€ car 1 jour de possession. Mais de toute façon, je doute qu'un investissement se revende dans le même trimestre que l'achat. Donc si pas de solution simple, on peut omettre.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AR48"/>
  <sheetViews>
    <sheetView zoomScale="130" zoomScaleNormal="130" workbookViewId="0">
      <pane xSplit="12" ySplit="3" topLeftCell="M4" activePane="bottomRight" state="frozen"/>
      <selection pane="topRight" activeCell="M1" sqref="M1"/>
      <selection pane="bottomLeft" activeCell="A4" sqref="A4"/>
      <selection pane="bottomRight" activeCell="O4" sqref="O4"/>
    </sheetView>
  </sheetViews>
  <sheetFormatPr defaultColWidth="8.85546875" defaultRowHeight="15" x14ac:dyDescent="0.25"/>
  <cols>
    <col min="1" max="1" width="13.42578125" customWidth="1"/>
    <col min="2" max="7" width="10.7109375" customWidth="1"/>
    <col min="8" max="9" width="12" customWidth="1"/>
    <col min="10" max="10" width="11" bestFit="1" customWidth="1"/>
    <col min="11" max="11" width="9.85546875" customWidth="1"/>
    <col min="12" max="12" width="9.28515625" bestFit="1" customWidth="1"/>
    <col min="13" max="13" width="10.5703125" bestFit="1" customWidth="1"/>
    <col min="14" max="14" width="4.140625" customWidth="1"/>
    <col min="15" max="15" width="10.28515625" bestFit="1" customWidth="1"/>
    <col min="16" max="17" width="8.85546875" style="61"/>
  </cols>
  <sheetData>
    <row r="1" spans="1:44" x14ac:dyDescent="0.25">
      <c r="A1" s="48" t="s">
        <v>0</v>
      </c>
      <c r="B1" s="49"/>
      <c r="C1" s="49"/>
      <c r="D1" s="49"/>
      <c r="E1" s="49"/>
      <c r="F1" s="49"/>
      <c r="G1" s="50"/>
    </row>
    <row r="2" spans="1:44" x14ac:dyDescent="0.25">
      <c r="A2" s="40" t="s">
        <v>54</v>
      </c>
      <c r="B2" s="40" t="s">
        <v>54</v>
      </c>
      <c r="C2" s="40" t="s">
        <v>54</v>
      </c>
      <c r="D2" s="40" t="s">
        <v>54</v>
      </c>
      <c r="E2" s="40" t="s">
        <v>54</v>
      </c>
      <c r="F2" s="40" t="s">
        <v>54</v>
      </c>
      <c r="G2" s="40" t="s">
        <v>54</v>
      </c>
      <c r="H2" s="40" t="s">
        <v>54</v>
      </c>
      <c r="I2" s="40" t="s">
        <v>54</v>
      </c>
      <c r="J2" s="40" t="s">
        <v>54</v>
      </c>
      <c r="K2" s="40" t="s">
        <v>54</v>
      </c>
      <c r="L2" s="40" t="s">
        <v>54</v>
      </c>
      <c r="M2" s="40" t="s">
        <v>54</v>
      </c>
      <c r="N2" s="40" t="s">
        <v>54</v>
      </c>
      <c r="O2" s="40" t="s">
        <v>54</v>
      </c>
      <c r="P2" s="40" t="s">
        <v>54</v>
      </c>
      <c r="Q2" s="62" t="s">
        <v>45</v>
      </c>
      <c r="R2" s="55" t="s">
        <v>47</v>
      </c>
      <c r="S2" s="56">
        <v>44562</v>
      </c>
      <c r="T2" s="56">
        <f>+EDATE(S2,3)</f>
        <v>44652</v>
      </c>
      <c r="U2" s="56">
        <f t="shared" ref="U2:AP2" si="0">+EDATE(T2,3)</f>
        <v>44743</v>
      </c>
      <c r="V2" s="56">
        <f t="shared" si="0"/>
        <v>44835</v>
      </c>
      <c r="W2" s="56">
        <f t="shared" si="0"/>
        <v>44927</v>
      </c>
      <c r="X2" s="56">
        <f t="shared" si="0"/>
        <v>45017</v>
      </c>
      <c r="Y2" s="56">
        <f t="shared" si="0"/>
        <v>45108</v>
      </c>
      <c r="Z2" s="56">
        <f t="shared" si="0"/>
        <v>45200</v>
      </c>
      <c r="AA2" s="56">
        <f t="shared" si="0"/>
        <v>45292</v>
      </c>
      <c r="AB2" s="56">
        <f t="shared" si="0"/>
        <v>45383</v>
      </c>
      <c r="AC2" s="56">
        <f t="shared" si="0"/>
        <v>45474</v>
      </c>
      <c r="AD2" s="56">
        <f t="shared" si="0"/>
        <v>45566</v>
      </c>
      <c r="AE2" s="56">
        <f t="shared" si="0"/>
        <v>45658</v>
      </c>
      <c r="AF2" s="56">
        <f t="shared" si="0"/>
        <v>45748</v>
      </c>
      <c r="AG2" s="56">
        <f t="shared" si="0"/>
        <v>45839</v>
      </c>
      <c r="AH2" s="56">
        <f t="shared" si="0"/>
        <v>45931</v>
      </c>
      <c r="AI2" s="56">
        <f t="shared" si="0"/>
        <v>46023</v>
      </c>
      <c r="AJ2" s="56">
        <f t="shared" si="0"/>
        <v>46113</v>
      </c>
      <c r="AK2" s="56">
        <f t="shared" si="0"/>
        <v>46204</v>
      </c>
      <c r="AL2" s="56">
        <f t="shared" si="0"/>
        <v>46296</v>
      </c>
      <c r="AM2" s="56">
        <f t="shared" si="0"/>
        <v>46388</v>
      </c>
      <c r="AN2" s="56">
        <f t="shared" si="0"/>
        <v>46478</v>
      </c>
      <c r="AO2" s="56">
        <f t="shared" si="0"/>
        <v>46569</v>
      </c>
      <c r="AP2" s="56">
        <f t="shared" si="0"/>
        <v>46661</v>
      </c>
    </row>
    <row r="3" spans="1:44" x14ac:dyDescent="0.25">
      <c r="A3" s="41" t="s">
        <v>1</v>
      </c>
      <c r="B3" s="2" t="s">
        <v>2</v>
      </c>
      <c r="C3" s="2" t="s">
        <v>3</v>
      </c>
      <c r="D3" s="3" t="s">
        <v>4</v>
      </c>
      <c r="E3" s="3" t="s">
        <v>5</v>
      </c>
      <c r="F3" s="3" t="s">
        <v>6</v>
      </c>
      <c r="G3" s="37" t="s">
        <v>7</v>
      </c>
      <c r="H3" s="54" t="s">
        <v>44</v>
      </c>
      <c r="I3" s="2" t="s">
        <v>43</v>
      </c>
      <c r="J3" s="3" t="s">
        <v>41</v>
      </c>
      <c r="K3" s="3" t="s">
        <v>42</v>
      </c>
      <c r="L3" s="60" t="s">
        <v>48</v>
      </c>
      <c r="M3" s="60" t="s">
        <v>49</v>
      </c>
      <c r="N3" s="60" t="s">
        <v>54</v>
      </c>
      <c r="O3" s="53" t="s">
        <v>55</v>
      </c>
      <c r="P3" s="61" t="s">
        <v>56</v>
      </c>
      <c r="Q3" s="62" t="s">
        <v>46</v>
      </c>
      <c r="R3" s="55" t="s">
        <v>47</v>
      </c>
      <c r="S3" s="57" t="str">
        <f>MOD(YEAR(S2),100)&amp;"T" &amp; TRUNC((MONTH(S2)+2)/3)</f>
        <v>22T1</v>
      </c>
      <c r="T3" s="57" t="str">
        <f>MOD(YEAR(T2),100)&amp;"T" &amp; TRUNC((MONTH(T2)+2)/3)</f>
        <v>22T2</v>
      </c>
      <c r="U3" s="57" t="str">
        <f>MOD(YEAR(U2),100)&amp;"T" &amp; TRUNC((MONTH(U2)+2)/3)</f>
        <v>22T3</v>
      </c>
      <c r="V3" s="57" t="str">
        <f>MOD(YEAR(V2),100)&amp;"T" &amp; TRUNC((MONTH(V2)+2)/3)</f>
        <v>22T4</v>
      </c>
      <c r="W3" s="57" t="str">
        <f>MOD(YEAR(W2),100)&amp;"T" &amp; TRUNC((MONTH(W2)+2)/3)</f>
        <v>23T1</v>
      </c>
      <c r="X3" s="57" t="str">
        <f>MOD(YEAR(X2),100)&amp;"T" &amp; TRUNC((MONTH(X2)+2)/3)</f>
        <v>23T2</v>
      </c>
      <c r="Y3" s="57" t="str">
        <f>MOD(YEAR(Y2),100)&amp;"T" &amp; TRUNC((MONTH(Y2)+2)/3)</f>
        <v>23T3</v>
      </c>
      <c r="Z3" s="57" t="str">
        <f>MOD(YEAR(Z2),100)&amp;"T" &amp; TRUNC((MONTH(Z2)+2)/3)</f>
        <v>23T4</v>
      </c>
      <c r="AA3" s="57" t="str">
        <f>MOD(YEAR(AA2),100)&amp;"T" &amp; TRUNC((MONTH(AA2)+2)/3)</f>
        <v>24T1</v>
      </c>
      <c r="AB3" s="57" t="str">
        <f>MOD(YEAR(AB2),100)&amp;"T" &amp; TRUNC((MONTH(AB2)+2)/3)</f>
        <v>24T2</v>
      </c>
      <c r="AC3" s="57" t="str">
        <f>MOD(YEAR(AC2),100)&amp;"T" &amp; TRUNC((MONTH(AC2)+2)/3)</f>
        <v>24T3</v>
      </c>
      <c r="AD3" s="57" t="str">
        <f>MOD(YEAR(AD2),100)&amp;"T" &amp; TRUNC((MONTH(AD2)+2)/3)</f>
        <v>24T4</v>
      </c>
      <c r="AE3" s="57" t="str">
        <f>MOD(YEAR(AE2),100)&amp;"T" &amp; TRUNC((MONTH(AE2)+2)/3)</f>
        <v>25T1</v>
      </c>
      <c r="AF3" s="57" t="str">
        <f>MOD(YEAR(AF2),100)&amp;"T" &amp; TRUNC((MONTH(AF2)+2)/3)</f>
        <v>25T2</v>
      </c>
      <c r="AG3" s="57" t="str">
        <f>MOD(YEAR(AG2),100)&amp;"T" &amp; TRUNC((MONTH(AG2)+2)/3)</f>
        <v>25T3</v>
      </c>
      <c r="AH3" s="57" t="str">
        <f>MOD(YEAR(AH2),100)&amp;"T" &amp; TRUNC((MONTH(AH2)+2)/3)</f>
        <v>25T4</v>
      </c>
      <c r="AI3" s="57" t="str">
        <f>MOD(YEAR(AI2),100)&amp;"T" &amp; TRUNC((MONTH(AI2)+2)/3)</f>
        <v>26T1</v>
      </c>
      <c r="AJ3" s="57" t="str">
        <f>MOD(YEAR(AJ2),100)&amp;"T" &amp; TRUNC((MONTH(AJ2)+2)/3)</f>
        <v>26T2</v>
      </c>
      <c r="AK3" s="57" t="str">
        <f>MOD(YEAR(AK2),100)&amp;"T" &amp; TRUNC((MONTH(AK2)+2)/3)</f>
        <v>26T3</v>
      </c>
      <c r="AL3" s="57" t="str">
        <f>MOD(YEAR(AL2),100)&amp;"T" &amp; TRUNC((MONTH(AL2)+2)/3)</f>
        <v>26T4</v>
      </c>
      <c r="AM3" s="57" t="str">
        <f>MOD(YEAR(AM2),100)&amp;"T" &amp; TRUNC((MONTH(AM2)+2)/3)</f>
        <v>27T1</v>
      </c>
      <c r="AN3" s="57" t="str">
        <f>MOD(YEAR(AN2),100)&amp;"T" &amp; TRUNC((MONTH(AN2)+2)/3)</f>
        <v>27T2</v>
      </c>
      <c r="AO3" s="57" t="str">
        <f>MOD(YEAR(AO2),100)&amp;"T" &amp; TRUNC((MONTH(AO2)+2)/3)</f>
        <v>27T3</v>
      </c>
      <c r="AP3" s="57" t="str">
        <f>MOD(YEAR(AP2),100)&amp;"T" &amp; TRUNC((MONTH(AP2)+2)/3)</f>
        <v>27T4</v>
      </c>
      <c r="AQ3" s="58"/>
      <c r="AR3" s="58"/>
    </row>
    <row r="4" spans="1:44" x14ac:dyDescent="0.25">
      <c r="A4" s="42" t="s">
        <v>37</v>
      </c>
      <c r="B4" s="4">
        <v>44887</v>
      </c>
      <c r="C4" s="5">
        <v>36</v>
      </c>
      <c r="D4" s="6">
        <v>14000</v>
      </c>
      <c r="E4" s="7">
        <v>0.75</v>
      </c>
      <c r="F4" s="8">
        <v>0.67</v>
      </c>
      <c r="G4" s="38">
        <f>IF(D4,D4*E4*F4,"")</f>
        <v>7035</v>
      </c>
      <c r="H4" s="4">
        <f>+EDATE(B4,C4)</f>
        <v>45983</v>
      </c>
      <c r="I4" s="4"/>
      <c r="J4" s="6">
        <f>MAX(0,IF(I4&gt;B4,G4*(H4-I4)/(H4-B4),0))</f>
        <v>0</v>
      </c>
      <c r="K4" s="6">
        <f>J4*0.21</f>
        <v>0</v>
      </c>
      <c r="L4" s="6">
        <f>+G4/(H4-B4)</f>
        <v>6.4187956204379564</v>
      </c>
      <c r="M4">
        <f>+G4/C4*3</f>
        <v>586.25</v>
      </c>
      <c r="O4" s="67">
        <f>+P4+J4</f>
        <v>7035</v>
      </c>
      <c r="P4" s="67">
        <f>SUM(S4:AP4)</f>
        <v>7035</v>
      </c>
      <c r="Q4" s="67"/>
      <c r="R4" s="68">
        <v>0</v>
      </c>
      <c r="S4" s="69">
        <f>IF(MEDIAN(S$2,EDATE(S$2,3)-1,MIN($H4:$I4))=MIN($H4:$I4),$G4-$J4-SUM($R4:R4),MAX(0,MIN(EOMONTH(S$2,2)+1,$H4,$I4)-MAX(S$2,$B4))/(EDATE(S$2,3)-S$2)*$M4)</f>
        <v>0</v>
      </c>
      <c r="T4" s="69">
        <f>IF(MEDIAN(T$2,EDATE(T$2,3)-1,MIN($H4:$I4))=MIN($H4:$I4),$G4-$J4-SUM($R4:S4),MAX(0,MIN(EOMONTH(T$2,2)+1,$H4,$I4)-MAX(T$2,$B4))/(EDATE(T$2,3)-T$2)*$M4)</f>
        <v>0</v>
      </c>
      <c r="U4" s="69">
        <f>IF(MEDIAN(U$2,EDATE(U$2,3)-1,MIN($H4:$I4))=MIN($H4:$I4),$G4-$J4-SUM($R4:T4),MAX(0,MIN(EOMONTH(U$2,2)+1,$H4,$I4)-MAX(U$2,$B4))/(EDATE(U$2,3)-U$2)*$M4)</f>
        <v>0</v>
      </c>
      <c r="V4" s="69">
        <f>IF(MEDIAN(V$2,EDATE(V$2,3)-1,MIN($H4:$I4))=MIN($H4:$I4),$G4-$J4-SUM($R4:U4),MAX(0,MIN(EOMONTH(V$2,2)+1,$H4,$I4)-MAX(V$2,$B4))/(EDATE(V$2,3)-V$2)*$M4)</f>
        <v>254.89130434782609</v>
      </c>
      <c r="W4" s="69">
        <f>IF(MEDIAN(W$2,EDATE(W$2,3)-1,MIN($H4:$I4))=MIN($H4:$I4),$G4-$J4-SUM($R4:V4),MAX(0,MIN(EOMONTH(W$2,2)+1,$H4,$I4)-MAX(W$2,$B4))/(EDATE(W$2,3)-W$2)*$M4)</f>
        <v>586.25</v>
      </c>
      <c r="X4" s="69">
        <f>IF(MEDIAN(X$2,EDATE(X$2,3)-1,MIN($H4:$I4))=MIN($H4:$I4),$G4-$J4-SUM($R4:W4),MAX(0,MIN(EOMONTH(X$2,2)+1,$H4,$I4)-MAX(X$2,$B4))/(EDATE(X$2,3)-X$2)*$M4)</f>
        <v>586.25</v>
      </c>
      <c r="Y4" s="69">
        <f>IF(MEDIAN(Y$2,EDATE(Y$2,3)-1,MIN($H4:$I4))=MIN($H4:$I4),$G4-$J4-SUM($R4:X4),MAX(0,MIN(EOMONTH(Y$2,2)+1,$H4,$I4)-MAX(Y$2,$B4))/(EDATE(Y$2,3)-Y$2)*$M4)</f>
        <v>586.25</v>
      </c>
      <c r="Z4" s="69">
        <f>IF(MEDIAN(Z$2,EDATE(Z$2,3)-1,MIN($H4:$I4))=MIN($H4:$I4),$G4-$J4-SUM($R4:Y4),MAX(0,MIN(EOMONTH(Z$2,2)+1,$H4,$I4)-MAX(Z$2,$B4))/(EDATE(Z$2,3)-Z$2)*$M4)</f>
        <v>586.25</v>
      </c>
      <c r="AA4" s="69">
        <f>IF(MEDIAN(AA$2,EDATE(AA$2,3)-1,MIN($H4:$I4))=MIN($H4:$I4),$G4-$J4-SUM($R4:Z4),MAX(0,MIN(EOMONTH(AA$2,2)+1,$H4,$I4)-MAX(AA$2,$B4))/(EDATE(AA$2,3)-AA$2)*$M4)</f>
        <v>586.25</v>
      </c>
      <c r="AB4" s="69">
        <f>IF(MEDIAN(AB$2,EDATE(AB$2,3)-1,MIN($H4:$I4))=MIN($H4:$I4),$G4-$J4-SUM($R4:AA4),MAX(0,MIN(EOMONTH(AB$2,2)+1,$H4,$I4)-MAX(AB$2,$B4))/(EDATE(AB$2,3)-AB$2)*$M4)</f>
        <v>586.25</v>
      </c>
      <c r="AC4" s="69">
        <f>IF(MEDIAN(AC$2,EDATE(AC$2,3)-1,MIN($H4:$I4))=MIN($H4:$I4),$G4-$J4-SUM($R4:AB4),MAX(0,MIN(EOMONTH(AC$2,2)+1,$H4,$I4)-MAX(AC$2,$B4))/(EDATE(AC$2,3)-AC$2)*$M4)</f>
        <v>586.25</v>
      </c>
      <c r="AD4" s="69">
        <f>IF(MEDIAN(AD$2,EDATE(AD$2,3)-1,MIN($H4:$I4))=MIN($H4:$I4),$G4-$J4-SUM($R4:AC4),MAX(0,MIN(EOMONTH(AD$2,2)+1,$H4,$I4)-MAX(AD$2,$B4))/(EDATE(AD$2,3)-AD$2)*$M4)</f>
        <v>586.25</v>
      </c>
      <c r="AE4" s="69">
        <f>IF(MEDIAN(AE$2,EDATE(AE$2,3)-1,MIN($H4:$I4))=MIN($H4:$I4),$G4-$J4-SUM($R4:AD4),MAX(0,MIN(EOMONTH(AE$2,2)+1,$H4,$I4)-MAX(AE$2,$B4))/(EDATE(AE$2,3)-AE$2)*$M4)</f>
        <v>586.25</v>
      </c>
      <c r="AF4" s="69">
        <f>IF(MEDIAN(AF$2,EDATE(AF$2,3)-1,MIN($H4:$I4))=MIN($H4:$I4),$G4-$J4-SUM($R4:AE4),MAX(0,MIN(EOMONTH(AF$2,2)+1,$H4,$I4)-MAX(AF$2,$B4))/(EDATE(AF$2,3)-AF$2)*$M4)</f>
        <v>586.25</v>
      </c>
      <c r="AG4" s="69">
        <f>IF(MEDIAN(AG$2,EDATE(AG$2,3)-1,MIN($H4:$I4))=MIN($H4:$I4),$G4-$J4-SUM($R4:AF4),MAX(0,MIN(EOMONTH(AG$2,2)+1,$H4,$I4)-MAX(AG$2,$B4))/(EDATE(AG$2,3)-AG$2)*$M4)</f>
        <v>586.25</v>
      </c>
      <c r="AH4" s="69">
        <f>IF(MEDIAN(AH$2,EDATE(AH$2,3)-1,MIN($H4:$I4))=MIN($H4:$I4),$G4-$J4-SUM($R4:AG4),MAX(0,MIN(EOMONTH(AH$2,2)+1,$H4,$I4)-MAX(AH$2,$B4))/(EDATE(AH$2,3)-AH$2)*$M4)</f>
        <v>331.35869565217399</v>
      </c>
      <c r="AI4" s="69">
        <f>IF(MEDIAN(AI$2,EDATE(AI$2,3)-1,MIN($H4:$I4))=MIN($H4:$I4),$G4-$J4-SUM($R4:AH4),MAX(0,MIN(EOMONTH(AI$2,2)+1,$H4,$I4)-MAX(AI$2,$B4))/(EDATE(AI$2,3)-AI$2)*$M4)</f>
        <v>0</v>
      </c>
      <c r="AJ4" s="69">
        <f>IF(MEDIAN(AJ$2,EDATE(AJ$2,3)-1,MIN($H4:$I4))=MIN($H4:$I4),$G4-$J4-SUM($R4:AI4),MAX(0,MIN(EOMONTH(AJ$2,2)+1,$H4,$I4)-MAX(AJ$2,$B4))/(EDATE(AJ$2,3)-AJ$2)*$M4)</f>
        <v>0</v>
      </c>
      <c r="AK4" s="69">
        <f>IF(MEDIAN(AK$2,EDATE(AK$2,3)-1,MIN($H4:$I4))=MIN($H4:$I4),$G4-$J4-SUM($R4:AJ4),MAX(0,MIN(EOMONTH(AK$2,2)+1,$H4,$I4)-MAX(AK$2,$B4))/(EDATE(AK$2,3)-AK$2)*$M4)</f>
        <v>0</v>
      </c>
      <c r="AL4" s="69">
        <f>IF(MEDIAN(AL$2,EDATE(AL$2,3)-1,MIN($H4:$I4))=MIN($H4:$I4),$G4-$J4-SUM($R4:AK4),MAX(0,MIN(EOMONTH(AL$2,2)+1,$H4,$I4)-MAX(AL$2,$B4))/(EDATE(AL$2,3)-AL$2)*$M4)</f>
        <v>0</v>
      </c>
      <c r="AM4" s="69">
        <f>IF(MEDIAN(AM$2,EDATE(AM$2,3)-1,MIN($H4:$I4))=MIN($H4:$I4),$G4-$J4-SUM($R4:AL4),MAX(0,MIN(EOMONTH(AM$2,2)+1,$H4,$I4)-MAX(AM$2,$B4))/(EDATE(AM$2,3)-AM$2)*$M4)</f>
        <v>0</v>
      </c>
      <c r="AN4" s="69">
        <f>IF(MEDIAN(AN$2,EDATE(AN$2,3)-1,MIN($H4:$I4))=MIN($H4:$I4),$G4-$J4-SUM($R4:AM4),MAX(0,MIN(EOMONTH(AN$2,2)+1,$H4,$I4)-MAX(AN$2,$B4))/(EDATE(AN$2,3)-AN$2)*$M4)</f>
        <v>0</v>
      </c>
      <c r="AO4" s="69">
        <f>IF(MEDIAN(AO$2,EDATE(AO$2,3)-1,MIN($H4:$I4))=MIN($H4:$I4),$G4-$J4-SUM($R4:AN4),MAX(0,MIN(EOMONTH(AO$2,2)+1,$H4,$I4)-MAX(AO$2,$B4))/(EDATE(AO$2,3)-AO$2)*$M4)</f>
        <v>0</v>
      </c>
      <c r="AP4" s="69">
        <f>IF(MEDIAN(AP$2,EDATE(AP$2,3)-1,MIN($H4:$I4))=MIN($H4:$I4),$G4-$J4-SUM($R4:AO4),MAX(0,MIN(EOMONTH(AP$2,2)+1,$H4,$I4)-MAX(AP$2,$B4))/(EDATE(AP$2,3)-AP$2)*$M4)</f>
        <v>0</v>
      </c>
    </row>
    <row r="5" spans="1:44" x14ac:dyDescent="0.25">
      <c r="A5" s="42" t="s">
        <v>38</v>
      </c>
      <c r="B5" s="4">
        <v>45297</v>
      </c>
      <c r="C5" s="5">
        <v>36</v>
      </c>
      <c r="D5" s="6">
        <v>14000</v>
      </c>
      <c r="E5" s="7">
        <v>0.75</v>
      </c>
      <c r="F5" s="8">
        <v>0.67</v>
      </c>
      <c r="G5" s="38">
        <f>IF(D5,D5*E5*F5,"")</f>
        <v>7035</v>
      </c>
      <c r="H5" s="4">
        <f t="shared" ref="H5:H6" si="1">+EDATE(B5,C5)</f>
        <v>46393</v>
      </c>
      <c r="I5" s="4">
        <v>45473</v>
      </c>
      <c r="J5" s="6">
        <f t="shared" ref="J5:J6" si="2">MAX(0,IF(I5&gt;B5,G5*(H5-I5)/(H5-B5),0))</f>
        <v>5905.2919708029194</v>
      </c>
      <c r="K5" s="6">
        <f t="shared" ref="K5:K6" si="3">J5*0.21</f>
        <v>1240.111313868613</v>
      </c>
      <c r="L5" s="6">
        <f t="shared" ref="L5:L6" si="4">+G5/(H5-B5)</f>
        <v>6.4187956204379564</v>
      </c>
      <c r="M5">
        <f t="shared" ref="M5:M6" si="5">+G5/C5*3</f>
        <v>586.25</v>
      </c>
      <c r="O5" s="67">
        <f>+P5+J5</f>
        <v>7035</v>
      </c>
      <c r="P5" s="67">
        <f t="shared" ref="P5:P6" si="6">SUM(S5:AP5)</f>
        <v>1129.7080291970806</v>
      </c>
      <c r="Q5" s="67"/>
      <c r="R5" s="68">
        <v>0</v>
      </c>
      <c r="S5" s="69">
        <f>IF(MEDIAN(S$2,EDATE(S$2,3)-1,MIN($H5:$I5))=MIN($H5:$I5),$G5-$J5-SUM($R5:R5),MAX(0,MIN(EOMONTH(S$2,2)+1,$H5,$I5)-MAX(S$2,$B5))/(EDATE(S$2,3)-S$2)*$M5)</f>
        <v>0</v>
      </c>
      <c r="T5" s="69">
        <f>IF(MEDIAN(T$2,EDATE(T$2,3)-1,MIN($H5:$I5))=MIN($H5:$I5),$G5-$J5-SUM($R5:S5),MAX(0,MIN(EOMONTH(T$2,2)+1,$H5,$I5)-MAX(T$2,$B5))/(EDATE(T$2,3)-T$2)*$M5)</f>
        <v>0</v>
      </c>
      <c r="U5" s="69">
        <f>IF(MEDIAN(U$2,EDATE(U$2,3)-1,MIN($H5:$I5))=MIN($H5:$I5),$G5-$J5-SUM($R5:T5),MAX(0,MIN(EOMONTH(U$2,2)+1,$H5,$I5)-MAX(U$2,$B5))/(EDATE(U$2,3)-U$2)*$M5)</f>
        <v>0</v>
      </c>
      <c r="V5" s="69">
        <f>IF(MEDIAN(V$2,EDATE(V$2,3)-1,MIN($H5:$I5))=MIN($H5:$I5),$G5-$J5-SUM($R5:U5),MAX(0,MIN(EOMONTH(V$2,2)+1,$H5,$I5)-MAX(V$2,$B5))/(EDATE(V$2,3)-V$2)*$M5)</f>
        <v>0</v>
      </c>
      <c r="W5" s="69">
        <f>IF(MEDIAN(W$2,EDATE(W$2,3)-1,MIN($H5:$I5))=MIN($H5:$I5),$G5-$J5-SUM($R5:V5),MAX(0,MIN(EOMONTH(W$2,2)+1,$H5,$I5)-MAX(W$2,$B5))/(EDATE(W$2,3)-W$2)*$M5)</f>
        <v>0</v>
      </c>
      <c r="X5" s="69">
        <f>IF(MEDIAN(X$2,EDATE(X$2,3)-1,MIN($H5:$I5))=MIN($H5:$I5),$G5-$J5-SUM($R5:W5),MAX(0,MIN(EOMONTH(X$2,2)+1,$H5,$I5)-MAX(X$2,$B5))/(EDATE(X$2,3)-X$2)*$M5)</f>
        <v>0</v>
      </c>
      <c r="Y5" s="69">
        <f>IF(MEDIAN(Y$2,EDATE(Y$2,3)-1,MIN($H5:$I5))=MIN($H5:$I5),$G5-$J5-SUM($R5:X5),MAX(0,MIN(EOMONTH(Y$2,2)+1,$H5,$I5)-MAX(Y$2,$B5))/(EDATE(Y$2,3)-Y$2)*$M5)</f>
        <v>0</v>
      </c>
      <c r="Z5" s="69">
        <f>IF(MEDIAN(Z$2,EDATE(Z$2,3)-1,MIN($H5:$I5))=MIN($H5:$I5),$G5-$J5-SUM($R5:Y5),MAX(0,MIN(EOMONTH(Z$2,2)+1,$H5,$I5)-MAX(Z$2,$B5))/(EDATE(Z$2,3)-Z$2)*$M5)</f>
        <v>0</v>
      </c>
      <c r="AA5" s="69">
        <f>IF(MEDIAN(AA$2,EDATE(AA$2,3)-1,MIN($H5:$I5))=MIN($H5:$I5),$G5-$J5-SUM($R5:Z5),MAX(0,MIN(EOMONTH(AA$2,2)+1,$H5,$I5)-MAX(AA$2,$B5))/(EDATE(AA$2,3)-AA$2)*$M5)</f>
        <v>554.03846153846155</v>
      </c>
      <c r="AB5" s="69">
        <f>IF(MEDIAN(AB$2,EDATE(AB$2,3)-1,MIN($H5:$I5))=MIN($H5:$I5),$G5-$J5-SUM($R5:AA5),MAX(0,MIN(EOMONTH(AB$2,2)+1,$H5,$I5)-MAX(AB$2,$B5))/(EDATE(AB$2,3)-AB$2)*$M5)</f>
        <v>575.66956765861903</v>
      </c>
      <c r="AC5" s="69">
        <f>IF(MEDIAN(AC$2,EDATE(AC$2,3)-1,MIN($H5:$I5))=MIN($H5:$I5),$G5-$J5-SUM($R5:AB5),MAX(0,MIN(EOMONTH(AC$2,2)+1,$H5,$I5)-MAX(AC$2,$B5))/(EDATE(AC$2,3)-AC$2)*$M5)</f>
        <v>0</v>
      </c>
      <c r="AD5" s="69">
        <f>IF(MEDIAN(AD$2,EDATE(AD$2,3)-1,MIN($H5:$I5))=MIN($H5:$I5),$G5-$J5-SUM($R5:AC5),MAX(0,MIN(EOMONTH(AD$2,2)+1,$H5,$I5)-MAX(AD$2,$B5))/(EDATE(AD$2,3)-AD$2)*$M5)</f>
        <v>0</v>
      </c>
      <c r="AE5" s="69">
        <f>IF(MEDIAN(AE$2,EDATE(AE$2,3)-1,MIN($H5:$I5))=MIN($H5:$I5),$G5-$J5-SUM($R5:AD5),MAX(0,MIN(EOMONTH(AE$2,2)+1,$H5,$I5)-MAX(AE$2,$B5))/(EDATE(AE$2,3)-AE$2)*$M5)</f>
        <v>0</v>
      </c>
      <c r="AF5" s="69">
        <f>IF(MEDIAN(AF$2,EDATE(AF$2,3)-1,MIN($H5:$I5))=MIN($H5:$I5),$G5-$J5-SUM($R5:AE5),MAX(0,MIN(EOMONTH(AF$2,2)+1,$H5,$I5)-MAX(AF$2,$B5))/(EDATE(AF$2,3)-AF$2)*$M5)</f>
        <v>0</v>
      </c>
      <c r="AG5" s="69">
        <f>IF(MEDIAN(AG$2,EDATE(AG$2,3)-1,MIN($H5:$I5))=MIN($H5:$I5),$G5-$J5-SUM($R5:AF5),MAX(0,MIN(EOMONTH(AG$2,2)+1,$H5,$I5)-MAX(AG$2,$B5))/(EDATE(AG$2,3)-AG$2)*$M5)</f>
        <v>0</v>
      </c>
      <c r="AH5" s="69">
        <f>IF(MEDIAN(AH$2,EDATE(AH$2,3)-1,MIN($H5:$I5))=MIN($H5:$I5),$G5-$J5-SUM($R5:AG5),MAX(0,MIN(EOMONTH(AH$2,2)+1,$H5,$I5)-MAX(AH$2,$B5))/(EDATE(AH$2,3)-AH$2)*$M5)</f>
        <v>0</v>
      </c>
      <c r="AI5" s="69">
        <f>IF(MEDIAN(AI$2,EDATE(AI$2,3)-1,MIN($H5:$I5))=MIN($H5:$I5),$G5-$J5-SUM($R5:AH5),MAX(0,MIN(EOMONTH(AI$2,2)+1,$H5,$I5)-MAX(AI$2,$B5))/(EDATE(AI$2,3)-AI$2)*$M5)</f>
        <v>0</v>
      </c>
      <c r="AJ5" s="69">
        <f>IF(MEDIAN(AJ$2,EDATE(AJ$2,3)-1,MIN($H5:$I5))=MIN($H5:$I5),$G5-$J5-SUM($R5:AI5),MAX(0,MIN(EOMONTH(AJ$2,2)+1,$H5,$I5)-MAX(AJ$2,$B5))/(EDATE(AJ$2,3)-AJ$2)*$M5)</f>
        <v>0</v>
      </c>
      <c r="AK5" s="69">
        <f>IF(MEDIAN(AK$2,EDATE(AK$2,3)-1,MIN($H5:$I5))=MIN($H5:$I5),$G5-$J5-SUM($R5:AJ5),MAX(0,MIN(EOMONTH(AK$2,2)+1,$H5,$I5)-MAX(AK$2,$B5))/(EDATE(AK$2,3)-AK$2)*$M5)</f>
        <v>0</v>
      </c>
      <c r="AL5" s="69">
        <f>IF(MEDIAN(AL$2,EDATE(AL$2,3)-1,MIN($H5:$I5))=MIN($H5:$I5),$G5-$J5-SUM($R5:AK5),MAX(0,MIN(EOMONTH(AL$2,2)+1,$H5,$I5)-MAX(AL$2,$B5))/(EDATE(AL$2,3)-AL$2)*$M5)</f>
        <v>0</v>
      </c>
      <c r="AM5" s="69">
        <f>IF(MEDIAN(AM$2,EDATE(AM$2,3)-1,MIN($H5:$I5))=MIN($H5:$I5),$G5-$J5-SUM($R5:AL5),MAX(0,MIN(EOMONTH(AM$2,2)+1,$H5,$I5)-MAX(AM$2,$B5))/(EDATE(AM$2,3)-AM$2)*$M5)</f>
        <v>0</v>
      </c>
      <c r="AN5" s="69">
        <f>IF(MEDIAN(AN$2,EDATE(AN$2,3)-1,MIN($H5:$I5))=MIN($H5:$I5),$G5-$J5-SUM($R5:AM5),MAX(0,MIN(EOMONTH(AN$2,2)+1,$H5,$I5)-MAX(AN$2,$B5))/(EDATE(AN$2,3)-AN$2)*$M5)</f>
        <v>0</v>
      </c>
      <c r="AO5" s="69">
        <f>IF(MEDIAN(AO$2,EDATE(AO$2,3)-1,MIN($H5:$I5))=MIN($H5:$I5),$G5-$J5-SUM($R5:AN5),MAX(0,MIN(EOMONTH(AO$2,2)+1,$H5,$I5)-MAX(AO$2,$B5))/(EDATE(AO$2,3)-AO$2)*$M5)</f>
        <v>0</v>
      </c>
      <c r="AP5" s="69">
        <f>IF(MEDIAN(AP$2,EDATE(AP$2,3)-1,MIN($H5:$I5))=MIN($H5:$I5),$G5-$J5-SUM($R5:AO5),MAX(0,MIN(EOMONTH(AP$2,2)+1,$H5,$I5)-MAX(AP$2,$B5))/(EDATE(AP$2,3)-AP$2)*$M5)</f>
        <v>0</v>
      </c>
    </row>
    <row r="6" spans="1:44" x14ac:dyDescent="0.25">
      <c r="A6" s="42" t="s">
        <v>39</v>
      </c>
      <c r="B6" s="4">
        <v>45297</v>
      </c>
      <c r="C6" s="5">
        <v>36</v>
      </c>
      <c r="D6" s="6">
        <v>14000</v>
      </c>
      <c r="E6" s="7">
        <v>0.75</v>
      </c>
      <c r="F6" s="8">
        <v>0.67</v>
      </c>
      <c r="G6" s="38">
        <f>IF(D6,D6*E6*F6,"")</f>
        <v>7035</v>
      </c>
      <c r="H6" s="4">
        <f t="shared" si="1"/>
        <v>46393</v>
      </c>
      <c r="I6" s="4">
        <v>45298</v>
      </c>
      <c r="J6" s="6">
        <f t="shared" si="2"/>
        <v>7028.5812043795622</v>
      </c>
      <c r="K6" s="6">
        <f t="shared" si="3"/>
        <v>1476.0020529197079</v>
      </c>
      <c r="L6" s="6">
        <f t="shared" si="4"/>
        <v>6.4187956204379564</v>
      </c>
      <c r="M6">
        <f t="shared" si="5"/>
        <v>586.25</v>
      </c>
      <c r="O6" s="67">
        <f>+P6+J6</f>
        <v>7035</v>
      </c>
      <c r="P6" s="67">
        <f t="shared" si="6"/>
        <v>6.418795620437777</v>
      </c>
      <c r="Q6" s="67"/>
      <c r="R6" s="68">
        <v>0</v>
      </c>
      <c r="S6" s="69">
        <f>IF(MEDIAN(S$2,EDATE(S$2,3)-1,MIN($H6:$I6))=MIN($H6:$I6),$G6-$J6-SUM($R6:R6),MAX(0,MIN(EOMONTH(S$2,2)+1,$H6,$I6)-MAX(S$2,$B6))/(EDATE(S$2,3)-S$2)*$M6)</f>
        <v>0</v>
      </c>
      <c r="T6" s="69">
        <f>IF(MEDIAN(T$2,EDATE(T$2,3)-1,MIN($H6:$I6))=MIN($H6:$I6),$G6-$J6-SUM($R6:S6),MAX(0,MIN(EOMONTH(T$2,2)+1,$H6,$I6)-MAX(T$2,$B6))/(EDATE(T$2,3)-T$2)*$M6)</f>
        <v>0</v>
      </c>
      <c r="U6" s="69">
        <f>IF(MEDIAN(U$2,EDATE(U$2,3)-1,MIN($H6:$I6))=MIN($H6:$I6),$G6-$J6-SUM($R6:T6),MAX(0,MIN(EOMONTH(U$2,2)+1,$H6,$I6)-MAX(U$2,$B6))/(EDATE(U$2,3)-U$2)*$M6)</f>
        <v>0</v>
      </c>
      <c r="V6" s="69">
        <f>IF(MEDIAN(V$2,EDATE(V$2,3)-1,MIN($H6:$I6))=MIN($H6:$I6),$G6-$J6-SUM($R6:U6),MAX(0,MIN(EOMONTH(V$2,2)+1,$H6,$I6)-MAX(V$2,$B6))/(EDATE(V$2,3)-V$2)*$M6)</f>
        <v>0</v>
      </c>
      <c r="W6" s="69">
        <f>IF(MEDIAN(W$2,EDATE(W$2,3)-1,MIN($H6:$I6))=MIN($H6:$I6),$G6-$J6-SUM($R6:V6),MAX(0,MIN(EOMONTH(W$2,2)+1,$H6,$I6)-MAX(W$2,$B6))/(EDATE(W$2,3)-W$2)*$M6)</f>
        <v>0</v>
      </c>
      <c r="X6" s="69">
        <f>IF(MEDIAN(X$2,EDATE(X$2,3)-1,MIN($H6:$I6))=MIN($H6:$I6),$G6-$J6-SUM($R6:W6),MAX(0,MIN(EOMONTH(X$2,2)+1,$H6,$I6)-MAX(X$2,$B6))/(EDATE(X$2,3)-X$2)*$M6)</f>
        <v>0</v>
      </c>
      <c r="Y6" s="69">
        <f>IF(MEDIAN(Y$2,EDATE(Y$2,3)-1,MIN($H6:$I6))=MIN($H6:$I6),$G6-$J6-SUM($R6:X6),MAX(0,MIN(EOMONTH(Y$2,2)+1,$H6,$I6)-MAX(Y$2,$B6))/(EDATE(Y$2,3)-Y$2)*$M6)</f>
        <v>0</v>
      </c>
      <c r="Z6" s="69">
        <f>IF(MEDIAN(Z$2,EDATE(Z$2,3)-1,MIN($H6:$I6))=MIN($H6:$I6),$G6-$J6-SUM($R6:Y6),MAX(0,MIN(EOMONTH(Z$2,2)+1,$H6,$I6)-MAX(Z$2,$B6))/(EDATE(Z$2,3)-Z$2)*$M6)</f>
        <v>0</v>
      </c>
      <c r="AA6" s="69">
        <f>IF(MEDIAN(AA$2,EDATE(AA$2,3)-1,MIN($H6:$I6))=MIN($H6:$I6),$G6-$J6-SUM($R6:Z6),MAX(0,MIN(EOMONTH(AA$2,2)+1,$H6,$I6)-MAX(AA$2,$B6))/(EDATE(AA$2,3)-AA$2)*$M6)</f>
        <v>6.418795620437777</v>
      </c>
      <c r="AB6" s="69">
        <f>IF(MEDIAN(AB$2,EDATE(AB$2,3)-1,MIN($H6:$I6))=MIN($H6:$I6),$G6-$J6-SUM($R6:AA6),MAX(0,MIN(EOMONTH(AB$2,2)+1,$H6,$I6)-MAX(AB$2,$B6))/(EDATE(AB$2,3)-AB$2)*$M6)</f>
        <v>0</v>
      </c>
      <c r="AC6" s="69">
        <f>IF(MEDIAN(AC$2,EDATE(AC$2,3)-1,MIN($H6:$I6))=MIN($H6:$I6),$G6-$J6-SUM($R6:AB6),MAX(0,MIN(EOMONTH(AC$2,2)+1,$H6,$I6)-MAX(AC$2,$B6))/(EDATE(AC$2,3)-AC$2)*$M6)</f>
        <v>0</v>
      </c>
      <c r="AD6" s="69">
        <f>IF(MEDIAN(AD$2,EDATE(AD$2,3)-1,MIN($H6:$I6))=MIN($H6:$I6),$G6-$J6-SUM($R6:AC6),MAX(0,MIN(EOMONTH(AD$2,2)+1,$H6,$I6)-MAX(AD$2,$B6))/(EDATE(AD$2,3)-AD$2)*$M6)</f>
        <v>0</v>
      </c>
      <c r="AE6" s="69">
        <f>IF(MEDIAN(AE$2,EDATE(AE$2,3)-1,MIN($H6:$I6))=MIN($H6:$I6),$G6-$J6-SUM($R6:AD6),MAX(0,MIN(EOMONTH(AE$2,2)+1,$H6,$I6)-MAX(AE$2,$B6))/(EDATE(AE$2,3)-AE$2)*$M6)</f>
        <v>0</v>
      </c>
      <c r="AF6" s="69">
        <f>IF(MEDIAN(AF$2,EDATE(AF$2,3)-1,MIN($H6:$I6))=MIN($H6:$I6),$G6-$J6-SUM($R6:AE6),MAX(0,MIN(EOMONTH(AF$2,2)+1,$H6,$I6)-MAX(AF$2,$B6))/(EDATE(AF$2,3)-AF$2)*$M6)</f>
        <v>0</v>
      </c>
      <c r="AG6" s="69">
        <f>IF(MEDIAN(AG$2,EDATE(AG$2,3)-1,MIN($H6:$I6))=MIN($H6:$I6),$G6-$J6-SUM($R6:AF6),MAX(0,MIN(EOMONTH(AG$2,2)+1,$H6,$I6)-MAX(AG$2,$B6))/(EDATE(AG$2,3)-AG$2)*$M6)</f>
        <v>0</v>
      </c>
      <c r="AH6" s="69">
        <f>IF(MEDIAN(AH$2,EDATE(AH$2,3)-1,MIN($H6:$I6))=MIN($H6:$I6),$G6-$J6-SUM($R6:AG6),MAX(0,MIN(EOMONTH(AH$2,2)+1,$H6,$I6)-MAX(AH$2,$B6))/(EDATE(AH$2,3)-AH$2)*$M6)</f>
        <v>0</v>
      </c>
      <c r="AI6" s="69">
        <f>IF(MEDIAN(AI$2,EDATE(AI$2,3)-1,MIN($H6:$I6))=MIN($H6:$I6),$G6-$J6-SUM($R6:AH6),MAX(0,MIN(EOMONTH(AI$2,2)+1,$H6,$I6)-MAX(AI$2,$B6))/(EDATE(AI$2,3)-AI$2)*$M6)</f>
        <v>0</v>
      </c>
      <c r="AJ6" s="69">
        <f>IF(MEDIAN(AJ$2,EDATE(AJ$2,3)-1,MIN($H6:$I6))=MIN($H6:$I6),$G6-$J6-SUM($R6:AI6),MAX(0,MIN(EOMONTH(AJ$2,2)+1,$H6,$I6)-MAX(AJ$2,$B6))/(EDATE(AJ$2,3)-AJ$2)*$M6)</f>
        <v>0</v>
      </c>
      <c r="AK6" s="69">
        <f>IF(MEDIAN(AK$2,EDATE(AK$2,3)-1,MIN($H6:$I6))=MIN($H6:$I6),$G6-$J6-SUM($R6:AJ6),MAX(0,MIN(EOMONTH(AK$2,2)+1,$H6,$I6)-MAX(AK$2,$B6))/(EDATE(AK$2,3)-AK$2)*$M6)</f>
        <v>0</v>
      </c>
      <c r="AL6" s="69">
        <f>IF(MEDIAN(AL$2,EDATE(AL$2,3)-1,MIN($H6:$I6))=MIN($H6:$I6),$G6-$J6-SUM($R6:AK6),MAX(0,MIN(EOMONTH(AL$2,2)+1,$H6,$I6)-MAX(AL$2,$B6))/(EDATE(AL$2,3)-AL$2)*$M6)</f>
        <v>0</v>
      </c>
      <c r="AM6" s="69">
        <f>IF(MEDIAN(AM$2,EDATE(AM$2,3)-1,MIN($H6:$I6))=MIN($H6:$I6),$G6-$J6-SUM($R6:AL6),MAX(0,MIN(EOMONTH(AM$2,2)+1,$H6,$I6)-MAX(AM$2,$B6))/(EDATE(AM$2,3)-AM$2)*$M6)</f>
        <v>0</v>
      </c>
      <c r="AN6" s="69">
        <f>IF(MEDIAN(AN$2,EDATE(AN$2,3)-1,MIN($H6:$I6))=MIN($H6:$I6),$G6-$J6-SUM($R6:AM6),MAX(0,MIN(EOMONTH(AN$2,2)+1,$H6,$I6)-MAX(AN$2,$B6))/(EDATE(AN$2,3)-AN$2)*$M6)</f>
        <v>0</v>
      </c>
      <c r="AO6" s="69">
        <f>IF(MEDIAN(AO$2,EDATE(AO$2,3)-1,MIN($H6:$I6))=MIN($H6:$I6),$G6-$J6-SUM($R6:AN6),MAX(0,MIN(EOMONTH(AO$2,2)+1,$H6,$I6)-MAX(AO$2,$B6))/(EDATE(AO$2,3)-AO$2)*$M6)</f>
        <v>0</v>
      </c>
      <c r="AP6" s="69">
        <f>IF(MEDIAN(AP$2,EDATE(AP$2,3)-1,MIN($H6:$I6))=MIN($H6:$I6),$G6-$J6-SUM($R6:AO6),MAX(0,MIN(EOMONTH(AP$2,2)+1,$H6,$I6)-MAX(AP$2,$B6))/(EDATE(AP$2,3)-AP$2)*$M6)</f>
        <v>0</v>
      </c>
    </row>
    <row r="7" spans="1:44" x14ac:dyDescent="0.25">
      <c r="A7" s="42"/>
      <c r="B7" s="4"/>
      <c r="C7" s="5"/>
      <c r="D7" s="6"/>
      <c r="E7" s="7"/>
      <c r="F7" s="8"/>
      <c r="G7" s="38" t="str">
        <f>IF(D7,D7*E7*F7,"")</f>
        <v/>
      </c>
      <c r="H7" s="4"/>
      <c r="I7" s="4"/>
      <c r="J7" s="6"/>
      <c r="K7" s="6"/>
      <c r="L7" s="6"/>
    </row>
    <row r="8" spans="1:44" ht="15.75" thickBot="1" x14ac:dyDescent="0.3">
      <c r="A8" s="1"/>
      <c r="B8" s="1"/>
      <c r="C8" s="1"/>
      <c r="D8" s="1"/>
      <c r="E8" s="1"/>
      <c r="F8" s="1"/>
      <c r="G8" s="1"/>
      <c r="O8" s="70">
        <f>+J4+P8</f>
        <v>7035</v>
      </c>
      <c r="P8" s="70">
        <f>SUM(S8:AP8)</f>
        <v>7035</v>
      </c>
      <c r="Q8" s="70"/>
      <c r="R8" s="71"/>
      <c r="S8" s="72">
        <f>MAX(0,MIN(EOMONTH(S$2,2)+1,$H4,$I4)-MAX(S$2,$B4))*$L4</f>
        <v>0</v>
      </c>
      <c r="T8" s="72">
        <f>MAX(0,MIN(EOMONTH(T$2,2)+1,$H4,$I4)-MAX(T$2,$B4))*$L4</f>
        <v>0</v>
      </c>
      <c r="U8" s="72">
        <f>MAX(0,MIN(EOMONTH(U$2,2)+1,$H4,$I4)-MAX(U$2,$B4))*$L4</f>
        <v>0</v>
      </c>
      <c r="V8" s="72">
        <f>MAX(0,MIN(EOMONTH(V$2,2)+1,$H4,$I4)-MAX(V$2,$B4))*$L4</f>
        <v>256.75182481751824</v>
      </c>
      <c r="W8" s="72">
        <f>MAX(0,MIN(EOMONTH(W$2,2)+1,$H4,$I4)-MAX(W$2,$B4))*$L4</f>
        <v>577.69160583941607</v>
      </c>
      <c r="X8" s="72">
        <f>MAX(0,MIN(EOMONTH(X$2,2)+1,$H4,$I4)-MAX(X$2,$B4))*$L4</f>
        <v>584.11040145985407</v>
      </c>
      <c r="Y8" s="72">
        <f>MAX(0,MIN(EOMONTH(Y$2,2)+1,$H4,$I4)-MAX(Y$2,$B4))*$L4</f>
        <v>590.52919708029196</v>
      </c>
      <c r="Z8" s="72">
        <f>MAX(0,MIN(EOMONTH(Z$2,2)+1,$H4,$I4)-MAX(Z$2,$B4))*$L4</f>
        <v>590.52919708029196</v>
      </c>
      <c r="AA8" s="72">
        <f>MAX(0,MIN(EOMONTH(AA$2,2)+1,$H4,$I4)-MAX(AA$2,$B4))*$L4</f>
        <v>584.11040145985407</v>
      </c>
      <c r="AB8" s="72">
        <f>MAX(0,MIN(EOMONTH(AB$2,2)+1,$H4,$I4)-MAX(AB$2,$B4))*$L4</f>
        <v>584.11040145985407</v>
      </c>
      <c r="AC8" s="72">
        <f>MAX(0,MIN(EOMONTH(AC$2,2)+1,$H4,$I4)-MAX(AC$2,$B4))*$L4</f>
        <v>590.52919708029196</v>
      </c>
      <c r="AD8" s="72">
        <f>MAX(0,MIN(EOMONTH(AD$2,2)+1,$H4,$I4)-MAX(AD$2,$B4))*$L4</f>
        <v>590.52919708029196</v>
      </c>
      <c r="AE8" s="72">
        <f>MAX(0,MIN(EOMONTH(AE$2,2)+1,$H4,$I4)-MAX(AE$2,$B4))*$L4</f>
        <v>577.69160583941607</v>
      </c>
      <c r="AF8" s="72">
        <f>MAX(0,MIN(EOMONTH(AF$2,2)+1,$H4,$I4)-MAX(AF$2,$B4))*$L4</f>
        <v>584.11040145985407</v>
      </c>
      <c r="AG8" s="72">
        <f>MAX(0,MIN(EOMONTH(AG$2,2)+1,$H4,$I4)-MAX(AG$2,$B4))*$L4</f>
        <v>590.52919708029196</v>
      </c>
      <c r="AH8" s="72">
        <f>MAX(0,MIN(EOMONTH(AH$2,2)+1,$H4,$I4)-MAX(AH$2,$B4))*$L4</f>
        <v>333.77737226277372</v>
      </c>
      <c r="AI8" s="72">
        <f>MAX(0,MIN(EOMONTH(AI$2,2)+1,$H4,$I4)-MAX(AI$2,$B4))*$L4</f>
        <v>0</v>
      </c>
      <c r="AJ8" s="72">
        <f>MAX(0,MIN(EOMONTH(AJ$2,2)+1,$H4,$I4)-MAX(AJ$2,$B4))*$L4</f>
        <v>0</v>
      </c>
      <c r="AK8" s="72">
        <f>MAX(0,MIN(EOMONTH(AK$2,2)+1,$H4,$I4)-MAX(AK$2,$B4))*$L4</f>
        <v>0</v>
      </c>
      <c r="AL8" s="72">
        <f>MAX(0,MIN(EOMONTH(AL$2,2)+1,$H4,$I4)-MAX(AL$2,$B4))*$L4</f>
        <v>0</v>
      </c>
      <c r="AM8" s="72">
        <f>MAX(0,MIN(EOMONTH(AM$2,2)+1,$H4,$I4)-MAX(AM$2,$B4))*$L4</f>
        <v>0</v>
      </c>
      <c r="AN8" s="72">
        <f>MAX(0,MIN(EOMONTH(AN$2,2)+1,$H4,$I4)-MAX(AN$2,$B4))*$L4</f>
        <v>0</v>
      </c>
      <c r="AO8" s="72">
        <f>MAX(0,MIN(EOMONTH(AO$2,2)+1,$H4,$I4)-MAX(AO$2,$B4))*$L4</f>
        <v>0</v>
      </c>
      <c r="AP8" s="72">
        <f>MAX(0,MIN(EOMONTH(AP$2,2)+1,$H4,$I4)-MAX(AP$2,$B4))*$L4</f>
        <v>0</v>
      </c>
      <c r="AQ8" s="59"/>
      <c r="AR8" s="59"/>
    </row>
    <row r="9" spans="1:44" x14ac:dyDescent="0.25">
      <c r="A9" s="9" t="s">
        <v>8</v>
      </c>
      <c r="B9" s="43" t="str">
        <f>IF(OR(A4=""),"",A4)</f>
        <v>Voiture unetelle</v>
      </c>
      <c r="C9" s="44"/>
      <c r="D9" s="45"/>
      <c r="E9" s="51" t="s">
        <v>9</v>
      </c>
      <c r="F9" s="52"/>
      <c r="G9" s="39">
        <f>IF(C4,EDATE(B4,C4),"")</f>
        <v>45983</v>
      </c>
      <c r="O9" s="70">
        <f>+J5+P9</f>
        <v>7035</v>
      </c>
      <c r="P9" s="70">
        <f t="shared" ref="P9:P10" si="7">SUM(S9:AP9)</f>
        <v>1129.7080291970804</v>
      </c>
      <c r="Q9" s="70"/>
      <c r="R9" s="71"/>
      <c r="S9" s="72">
        <f>MAX(0,MIN(EOMONTH(S$2,2)+1,$H5,$I5)-MAX(S$2,$B5))*$L5</f>
        <v>0</v>
      </c>
      <c r="T9" s="72">
        <f>MAX(0,MIN(EOMONTH(T$2,2)+1,$H5,$I5)-MAX(T$2,$B5))*$L5</f>
        <v>0</v>
      </c>
      <c r="U9" s="72">
        <f>MAX(0,MIN(EOMONTH(U$2,2)+1,$H5,$I5)-MAX(U$2,$B5))*$L5</f>
        <v>0</v>
      </c>
      <c r="V9" s="72">
        <f>MAX(0,MIN(EOMONTH(V$2,2)+1,$H5,$I5)-MAX(V$2,$B5))*$L5</f>
        <v>0</v>
      </c>
      <c r="W9" s="72">
        <f>MAX(0,MIN(EOMONTH(W$2,2)+1,$H5,$I5)-MAX(W$2,$B5))*$L5</f>
        <v>0</v>
      </c>
      <c r="X9" s="72">
        <f>MAX(0,MIN(EOMONTH(X$2,2)+1,$H5,$I5)-MAX(X$2,$B5))*$L5</f>
        <v>0</v>
      </c>
      <c r="Y9" s="72">
        <f>MAX(0,MIN(EOMONTH(Y$2,2)+1,$H5,$I5)-MAX(Y$2,$B5))*$L5</f>
        <v>0</v>
      </c>
      <c r="Z9" s="72">
        <f>MAX(0,MIN(EOMONTH(Z$2,2)+1,$H5,$I5)-MAX(Z$2,$B5))*$L5</f>
        <v>0</v>
      </c>
      <c r="AA9" s="72">
        <f>MAX(0,MIN(EOMONTH(AA$2,2)+1,$H5,$I5)-MAX(AA$2,$B5))*$L5</f>
        <v>552.01642335766428</v>
      </c>
      <c r="AB9" s="72">
        <f>MAX(0,MIN(EOMONTH(AB$2,2)+1,$H5,$I5)-MAX(AB$2,$B5))*$L5</f>
        <v>577.69160583941607</v>
      </c>
      <c r="AC9" s="72">
        <f>MAX(0,MIN(EOMONTH(AC$2,2)+1,$H5,$I5)-MAX(AC$2,$B5))*$L5</f>
        <v>0</v>
      </c>
      <c r="AD9" s="72">
        <f>MAX(0,MIN(EOMONTH(AD$2,2)+1,$H5,$I5)-MAX(AD$2,$B5))*$L5</f>
        <v>0</v>
      </c>
      <c r="AE9" s="72">
        <f>MAX(0,MIN(EOMONTH(AE$2,2)+1,$H5,$I5)-MAX(AE$2,$B5))*$L5</f>
        <v>0</v>
      </c>
      <c r="AF9" s="72">
        <f>MAX(0,MIN(EOMONTH(AF$2,2)+1,$H5,$I5)-MAX(AF$2,$B5))*$L5</f>
        <v>0</v>
      </c>
      <c r="AG9" s="72">
        <f>MAX(0,MIN(EOMONTH(AG$2,2)+1,$H5,$I5)-MAX(AG$2,$B5))*$L5</f>
        <v>0</v>
      </c>
      <c r="AH9" s="72">
        <f>MAX(0,MIN(EOMONTH(AH$2,2)+1,$H5,$I5)-MAX(AH$2,$B5))*$L5</f>
        <v>0</v>
      </c>
      <c r="AI9" s="72">
        <f>MAX(0,MIN(EOMONTH(AI$2,2)+1,$H5,$I5)-MAX(AI$2,$B5))*$L5</f>
        <v>0</v>
      </c>
      <c r="AJ9" s="72">
        <f>MAX(0,MIN(EOMONTH(AJ$2,2)+1,$H5,$I5)-MAX(AJ$2,$B5))*$L5</f>
        <v>0</v>
      </c>
      <c r="AK9" s="72">
        <f>MAX(0,MIN(EOMONTH(AK$2,2)+1,$H5,$I5)-MAX(AK$2,$B5))*$L5</f>
        <v>0</v>
      </c>
      <c r="AL9" s="72">
        <f>MAX(0,MIN(EOMONTH(AL$2,2)+1,$H5,$I5)-MAX(AL$2,$B5))*$L5</f>
        <v>0</v>
      </c>
      <c r="AM9" s="72">
        <f>MAX(0,MIN(EOMONTH(AM$2,2)+1,$H5,$I5)-MAX(AM$2,$B5))*$L5</f>
        <v>0</v>
      </c>
      <c r="AN9" s="72">
        <f>MAX(0,MIN(EOMONTH(AN$2,2)+1,$H5,$I5)-MAX(AN$2,$B5))*$L5</f>
        <v>0</v>
      </c>
      <c r="AO9" s="72">
        <f>MAX(0,MIN(EOMONTH(AO$2,2)+1,$H5,$I5)-MAX(AO$2,$B5))*$L5</f>
        <v>0</v>
      </c>
      <c r="AP9" s="72">
        <f>MAX(0,MIN(EOMONTH(AP$2,2)+1,$H5,$I5)-MAX(AP$2,$B5))*$L5</f>
        <v>0</v>
      </c>
    </row>
    <row r="10" spans="1:44" x14ac:dyDescent="0.25">
      <c r="A10" s="10"/>
      <c r="B10" s="1"/>
      <c r="C10" s="1"/>
      <c r="D10" s="1"/>
      <c r="E10" s="1"/>
      <c r="F10" s="1"/>
      <c r="G10" s="27"/>
      <c r="H10" s="33" t="s">
        <v>27</v>
      </c>
      <c r="I10" s="33">
        <f>G9-B4</f>
        <v>1096</v>
      </c>
      <c r="J10" s="34"/>
      <c r="K10" s="34"/>
      <c r="L10" s="34"/>
      <c r="O10" s="70">
        <f>+J6+P10</f>
        <v>7035</v>
      </c>
      <c r="P10" s="70">
        <f t="shared" si="7"/>
        <v>6.4187956204379564</v>
      </c>
      <c r="Q10" s="70"/>
      <c r="R10" s="71"/>
      <c r="S10" s="72">
        <f>MAX(0,MIN(EOMONTH(S$2,2)+1,$H6,$I6)-MAX(S$2,$B6))*$L6</f>
        <v>0</v>
      </c>
      <c r="T10" s="72">
        <f>MAX(0,MIN(EOMONTH(T$2,2)+1,$H6,$I6)-MAX(T$2,$B6))*$L6</f>
        <v>0</v>
      </c>
      <c r="U10" s="72">
        <f>MAX(0,MIN(EOMONTH(U$2,2)+1,$H6,$I6)-MAX(U$2,$B6))*$L6</f>
        <v>0</v>
      </c>
      <c r="V10" s="72">
        <f>MAX(0,MIN(EOMONTH(V$2,2)+1,$H6,$I6)-MAX(V$2,$B6))*$L6</f>
        <v>0</v>
      </c>
      <c r="W10" s="72">
        <f>MAX(0,MIN(EOMONTH(W$2,2)+1,$H6,$I6)-MAX(W$2,$B6))*$L6</f>
        <v>0</v>
      </c>
      <c r="X10" s="72">
        <f>MAX(0,MIN(EOMONTH(X$2,2)+1,$H6,$I6)-MAX(X$2,$B6))*$L6</f>
        <v>0</v>
      </c>
      <c r="Y10" s="72">
        <f>MAX(0,MIN(EOMONTH(Y$2,2)+1,$H6,$I6)-MAX(Y$2,$B6))*$L6</f>
        <v>0</v>
      </c>
      <c r="Z10" s="72">
        <f>MAX(0,MIN(EOMONTH(Z$2,2)+1,$H6,$I6)-MAX(Z$2,$B6))*$L6</f>
        <v>0</v>
      </c>
      <c r="AA10" s="72">
        <f>MAX(0,MIN(EOMONTH(AA$2,2)+1,$H6,$I6)-MAX(AA$2,$B6))*$L6</f>
        <v>6.4187956204379564</v>
      </c>
      <c r="AB10" s="72">
        <f>MAX(0,MIN(EOMONTH(AB$2,2)+1,$H6,$I6)-MAX(AB$2,$B6))*$L6</f>
        <v>0</v>
      </c>
      <c r="AC10" s="72">
        <f>MAX(0,MIN(EOMONTH(AC$2,2)+1,$H6,$I6)-MAX(AC$2,$B6))*$L6</f>
        <v>0</v>
      </c>
      <c r="AD10" s="72">
        <f>MAX(0,MIN(EOMONTH(AD$2,2)+1,$H6,$I6)-MAX(AD$2,$B6))*$L6</f>
        <v>0</v>
      </c>
      <c r="AE10" s="72">
        <f>MAX(0,MIN(EOMONTH(AE$2,2)+1,$H6,$I6)-MAX(AE$2,$B6))*$L6</f>
        <v>0</v>
      </c>
      <c r="AF10" s="72">
        <f>MAX(0,MIN(EOMONTH(AF$2,2)+1,$H6,$I6)-MAX(AF$2,$B6))*$L6</f>
        <v>0</v>
      </c>
      <c r="AG10" s="72">
        <f>MAX(0,MIN(EOMONTH(AG$2,2)+1,$H6,$I6)-MAX(AG$2,$B6))*$L6</f>
        <v>0</v>
      </c>
      <c r="AH10" s="72">
        <f>MAX(0,MIN(EOMONTH(AH$2,2)+1,$H6,$I6)-MAX(AH$2,$B6))*$L6</f>
        <v>0</v>
      </c>
      <c r="AI10" s="72">
        <f>MAX(0,MIN(EOMONTH(AI$2,2)+1,$H6,$I6)-MAX(AI$2,$B6))*$L6</f>
        <v>0</v>
      </c>
      <c r="AJ10" s="72">
        <f>MAX(0,MIN(EOMONTH(AJ$2,2)+1,$H6,$I6)-MAX(AJ$2,$B6))*$L6</f>
        <v>0</v>
      </c>
      <c r="AK10" s="72">
        <f>MAX(0,MIN(EOMONTH(AK$2,2)+1,$H6,$I6)-MAX(AK$2,$B6))*$L6</f>
        <v>0</v>
      </c>
      <c r="AL10" s="72">
        <f>MAX(0,MIN(EOMONTH(AL$2,2)+1,$H6,$I6)-MAX(AL$2,$B6))*$L6</f>
        <v>0</v>
      </c>
      <c r="AM10" s="72">
        <f>MAX(0,MIN(EOMONTH(AM$2,2)+1,$H6,$I6)-MAX(AM$2,$B6))*$L6</f>
        <v>0</v>
      </c>
      <c r="AN10" s="72">
        <f>MAX(0,MIN(EOMONTH(AN$2,2)+1,$H6,$I6)-MAX(AN$2,$B6))*$L6</f>
        <v>0</v>
      </c>
      <c r="AO10" s="72">
        <f>MAX(0,MIN(EOMONTH(AO$2,2)+1,$H6,$I6)-MAX(AO$2,$B6))*$L6</f>
        <v>0</v>
      </c>
      <c r="AP10" s="72">
        <f>MAX(0,MIN(EOMONTH(AP$2,2)+1,$H6,$I6)-MAX(AP$2,$B6))*$L6</f>
        <v>0</v>
      </c>
    </row>
    <row r="11" spans="1:44" ht="15.75" thickBot="1" x14ac:dyDescent="0.3">
      <c r="A11" s="11" t="s">
        <v>10</v>
      </c>
      <c r="B11" s="12" t="s">
        <v>11</v>
      </c>
      <c r="C11" s="13" t="s">
        <v>40</v>
      </c>
      <c r="D11" s="13" t="s">
        <v>12</v>
      </c>
      <c r="E11" s="13" t="s">
        <v>13</v>
      </c>
      <c r="F11" s="14" t="s">
        <v>14</v>
      </c>
      <c r="G11" s="27"/>
      <c r="H11" s="33" t="s">
        <v>15</v>
      </c>
      <c r="I11" s="35">
        <f>G4/I10</f>
        <v>6.4187956204379564</v>
      </c>
      <c r="J11" s="34"/>
      <c r="K11" s="34"/>
      <c r="L11" s="34"/>
    </row>
    <row r="12" spans="1:44" ht="15.75" thickBot="1" x14ac:dyDescent="0.3">
      <c r="A12" s="15" t="s">
        <v>16</v>
      </c>
      <c r="B12" s="16">
        <f>IF(D$4="","",IF(D12="",G$4/C$4*3,I$11*K12))</f>
        <v>586.25</v>
      </c>
      <c r="C12" s="17"/>
      <c r="D12" s="17"/>
      <c r="E12" s="18" t="str">
        <f>IF(D12,I11*I12,"")</f>
        <v/>
      </c>
      <c r="F12" s="19" t="str">
        <f>IF(D12,E12*21%,"")</f>
        <v/>
      </c>
      <c r="G12" s="65">
        <f>INDEX($S$4:$AP$4,MATCH(N12,$S$3:$AP$3,0))</f>
        <v>586.25</v>
      </c>
      <c r="H12" s="33" t="s">
        <v>23</v>
      </c>
      <c r="I12" s="33">
        <f>G9-D12</f>
        <v>45983</v>
      </c>
      <c r="J12" s="36" t="s">
        <v>28</v>
      </c>
      <c r="K12" s="33">
        <f>D12-DATE('Année comptable'!A1,1,1)</f>
        <v>-45292</v>
      </c>
      <c r="L12" s="36" t="s">
        <v>33</v>
      </c>
      <c r="M12" s="33">
        <f>DATE('Année comptable'!A1,3,32)-B4</f>
        <v>496</v>
      </c>
      <c r="N12" s="63" t="s">
        <v>50</v>
      </c>
    </row>
    <row r="13" spans="1:44" ht="15.75" thickBot="1" x14ac:dyDescent="0.3">
      <c r="A13" s="15" t="s">
        <v>17</v>
      </c>
      <c r="B13" s="20">
        <f>IF(OR(D$4="",COUNTA(D$12:D12)&gt;=1),"",IF(D13="",G$4/C$4*3,I$11*K13))</f>
        <v>586.25</v>
      </c>
      <c r="C13" s="17"/>
      <c r="D13" s="17"/>
      <c r="E13" s="18" t="str">
        <f>IF(D13,I11*I13,"")</f>
        <v/>
      </c>
      <c r="F13" s="19" t="str">
        <f t="shared" ref="F13:F15" si="8">IF(D13,E13*21%,"")</f>
        <v/>
      </c>
      <c r="G13" s="65">
        <f t="shared" ref="G13:G15" si="9">INDEX($S$4:$AP$4,MATCH(N13,$S$3:$AP$3,0))</f>
        <v>586.25</v>
      </c>
      <c r="H13" s="33" t="s">
        <v>24</v>
      </c>
      <c r="I13" s="33">
        <f>G9-D13</f>
        <v>45983</v>
      </c>
      <c r="J13" s="36" t="s">
        <v>29</v>
      </c>
      <c r="K13" s="33">
        <f>D13-DATE('Année comptable'!A1,4,1)</f>
        <v>-45383</v>
      </c>
      <c r="L13" s="36" t="s">
        <v>34</v>
      </c>
      <c r="M13" s="33">
        <f>DATE('Année comptable'!A1,6,31)-B4</f>
        <v>587</v>
      </c>
      <c r="N13" s="63" t="s">
        <v>51</v>
      </c>
    </row>
    <row r="14" spans="1:44" ht="15.75" thickBot="1" x14ac:dyDescent="0.3">
      <c r="A14" s="15" t="s">
        <v>18</v>
      </c>
      <c r="B14" s="20">
        <f>IF(OR(D$4="",COUNTA(D$12:D13)&gt;=1),"",IF(D14="",G$4/C$4*3,I$11*K14))</f>
        <v>586.25</v>
      </c>
      <c r="C14" s="17"/>
      <c r="D14" s="17"/>
      <c r="E14" s="18" t="str">
        <f>IF(D14,I11*I14,"")</f>
        <v/>
      </c>
      <c r="F14" s="19" t="str">
        <f t="shared" si="8"/>
        <v/>
      </c>
      <c r="G14" s="65">
        <f t="shared" si="9"/>
        <v>586.25</v>
      </c>
      <c r="H14" s="33" t="s">
        <v>25</v>
      </c>
      <c r="I14" s="33">
        <f>G9-D14</f>
        <v>45983</v>
      </c>
      <c r="J14" s="36" t="s">
        <v>30</v>
      </c>
      <c r="K14" s="33">
        <f>D14-DATE('Année comptable'!A1,7,1)</f>
        <v>-45474</v>
      </c>
      <c r="L14" s="36" t="s">
        <v>35</v>
      </c>
      <c r="M14" s="33">
        <f>DATE('Année comptable'!A1,9,31)-B4</f>
        <v>679</v>
      </c>
      <c r="N14" s="63" t="s">
        <v>52</v>
      </c>
    </row>
    <row r="15" spans="1:44" ht="15.75" thickBot="1" x14ac:dyDescent="0.3">
      <c r="A15" s="15" t="s">
        <v>19</v>
      </c>
      <c r="B15" s="20">
        <f>IF(OR(D$4="",COUNTA(D$12:D14)&gt;=1),"",IF(D15="",G$4/C$4*3,I$11*K15))</f>
        <v>586.25</v>
      </c>
      <c r="C15" s="17"/>
      <c r="D15" s="17"/>
      <c r="E15" s="18" t="str">
        <f>IF(D15,I11*I15,"")</f>
        <v/>
      </c>
      <c r="F15" s="19" t="str">
        <f t="shared" si="8"/>
        <v/>
      </c>
      <c r="G15" s="65">
        <f t="shared" si="9"/>
        <v>586.25</v>
      </c>
      <c r="H15" s="33" t="s">
        <v>26</v>
      </c>
      <c r="I15" s="33">
        <f>G9-D15</f>
        <v>45983</v>
      </c>
      <c r="J15" s="36" t="s">
        <v>31</v>
      </c>
      <c r="K15" s="33">
        <f>D15-DATE('Année comptable'!A1,10,1)</f>
        <v>-45566</v>
      </c>
      <c r="L15" s="36" t="s">
        <v>36</v>
      </c>
      <c r="M15" s="33">
        <f>DATE('Année comptable'!A1,12,32)-B4</f>
        <v>771</v>
      </c>
      <c r="N15" s="63" t="s">
        <v>53</v>
      </c>
    </row>
    <row r="16" spans="1:44" x14ac:dyDescent="0.25">
      <c r="A16" s="10"/>
      <c r="G16" s="31"/>
      <c r="H16" s="34"/>
      <c r="I16" s="34"/>
      <c r="J16" s="34"/>
      <c r="K16" s="34"/>
      <c r="L16" s="34"/>
      <c r="M16" s="33"/>
      <c r="N16" s="63"/>
    </row>
    <row r="17" spans="1:14" ht="15.75" thickBot="1" x14ac:dyDescent="0.3">
      <c r="A17" s="21" t="s">
        <v>32</v>
      </c>
      <c r="B17" s="22">
        <f>SUM(B12:B15)</f>
        <v>2345</v>
      </c>
      <c r="C17" s="23"/>
      <c r="D17" s="24"/>
      <c r="E17" s="24"/>
      <c r="F17" s="25"/>
      <c r="G17" s="26"/>
      <c r="H17" s="34"/>
      <c r="I17" s="34"/>
      <c r="J17" s="34"/>
      <c r="K17" s="34"/>
      <c r="N17" s="64"/>
    </row>
    <row r="18" spans="1:14" ht="15.75" thickBot="1" x14ac:dyDescent="0.3">
      <c r="A18" s="1"/>
      <c r="B18" s="1"/>
      <c r="C18" s="1"/>
      <c r="D18" s="1"/>
      <c r="E18" s="1"/>
      <c r="F18" s="1"/>
      <c r="G18" s="1"/>
      <c r="H18" s="34"/>
      <c r="I18" s="34"/>
      <c r="J18" s="34"/>
      <c r="K18" s="34"/>
      <c r="L18" s="34"/>
      <c r="N18" s="64"/>
    </row>
    <row r="19" spans="1:14" x14ac:dyDescent="0.25">
      <c r="A19" s="9" t="s">
        <v>20</v>
      </c>
      <c r="B19" s="43" t="str">
        <f>IF(OR(A5=""),"",A5)</f>
        <v>Exemple erreur 1</v>
      </c>
      <c r="C19" s="44"/>
      <c r="D19" s="45"/>
      <c r="E19" s="46" t="s">
        <v>9</v>
      </c>
      <c r="F19" s="47"/>
      <c r="G19" s="39">
        <f>IF(C5,EDATE(B5,C5),"")</f>
        <v>46393</v>
      </c>
      <c r="H19" s="34"/>
      <c r="I19" s="34"/>
      <c r="J19" s="34"/>
      <c r="K19" s="34"/>
      <c r="L19" s="34"/>
      <c r="N19" s="64"/>
    </row>
    <row r="20" spans="1:14" x14ac:dyDescent="0.25">
      <c r="A20" s="10"/>
      <c r="B20" s="1"/>
      <c r="C20" s="1"/>
      <c r="D20" s="1"/>
      <c r="E20" s="1"/>
      <c r="F20" s="1"/>
      <c r="G20" s="31"/>
      <c r="H20" s="33" t="s">
        <v>27</v>
      </c>
      <c r="I20" s="33">
        <f>G19-B5</f>
        <v>1096</v>
      </c>
      <c r="J20" s="34"/>
      <c r="K20" s="34"/>
      <c r="L20" s="34"/>
      <c r="N20" s="64"/>
    </row>
    <row r="21" spans="1:14" ht="15.75" thickBot="1" x14ac:dyDescent="0.3">
      <c r="A21" s="11" t="s">
        <v>10</v>
      </c>
      <c r="B21" s="12" t="s">
        <v>11</v>
      </c>
      <c r="C21" s="13" t="s">
        <v>40</v>
      </c>
      <c r="D21" s="13" t="s">
        <v>12</v>
      </c>
      <c r="E21" s="13" t="s">
        <v>13</v>
      </c>
      <c r="F21" s="14" t="s">
        <v>14</v>
      </c>
      <c r="G21" s="31"/>
      <c r="H21" s="33" t="s">
        <v>15</v>
      </c>
      <c r="I21" s="35">
        <f>G5/I20</f>
        <v>6.4187956204379564</v>
      </c>
      <c r="J21" s="34"/>
      <c r="K21" s="34"/>
      <c r="L21" s="34"/>
      <c r="N21" s="64"/>
    </row>
    <row r="22" spans="1:14" ht="15.75" thickBot="1" x14ac:dyDescent="0.3">
      <c r="A22" s="15" t="s">
        <v>16</v>
      </c>
      <c r="B22" s="16">
        <f>IF(D$5="","",IF(D22="",G$5/C$5*3,I$21*K22))</f>
        <v>586.25</v>
      </c>
      <c r="C22" s="17"/>
      <c r="D22" s="17"/>
      <c r="E22" s="18" t="str">
        <f>IF(D22,I21*I22,"")</f>
        <v/>
      </c>
      <c r="F22" s="19" t="str">
        <f>IF(D22,E22*21%,"")</f>
        <v/>
      </c>
      <c r="G22" s="66">
        <f>INDEX($S$5:$AP$5,MATCH(N22,$S$3:$AP$3,0))</f>
        <v>554.03846153846155</v>
      </c>
      <c r="H22" s="33" t="s">
        <v>23</v>
      </c>
      <c r="I22" s="33">
        <f>G19-D22</f>
        <v>46393</v>
      </c>
      <c r="J22" s="36" t="s">
        <v>28</v>
      </c>
      <c r="K22" s="33">
        <f>D22-DATE('Année comptable'!A1,1,1)</f>
        <v>-45292</v>
      </c>
      <c r="L22" s="36" t="s">
        <v>33</v>
      </c>
      <c r="M22" s="33">
        <f>DATE('Année comptable'!A1,3,32)-B5</f>
        <v>86</v>
      </c>
      <c r="N22" s="63" t="s">
        <v>50</v>
      </c>
    </row>
    <row r="23" spans="1:14" ht="15.75" thickBot="1" x14ac:dyDescent="0.3">
      <c r="A23" s="15" t="s">
        <v>17</v>
      </c>
      <c r="B23" s="16">
        <f>IF(OR(D$5="",COUNTA(D$22:D22)&gt;=1),"",IF(D23="",G$5/C$5*3,I$21*K23))</f>
        <v>577.69160583941607</v>
      </c>
      <c r="C23" s="17"/>
      <c r="D23" s="17">
        <v>45473</v>
      </c>
      <c r="E23" s="18">
        <f>IF(D23,I21*I23,"")</f>
        <v>5905.2919708029194</v>
      </c>
      <c r="F23" s="19">
        <f t="shared" ref="F23:F25" si="10">IF(D23,E23*21%,"")</f>
        <v>1240.111313868613</v>
      </c>
      <c r="G23" s="66">
        <f t="shared" ref="G23:G25" si="11">INDEX($S$5:$AP$5,MATCH(N23,$S$3:$AP$3,0))</f>
        <v>575.66956765861903</v>
      </c>
      <c r="H23" s="33" t="s">
        <v>24</v>
      </c>
      <c r="I23" s="33">
        <f>G19-D23</f>
        <v>920</v>
      </c>
      <c r="J23" s="36" t="s">
        <v>29</v>
      </c>
      <c r="K23" s="33">
        <f>D23-DATE('Année comptable'!A1,4,1)</f>
        <v>90</v>
      </c>
      <c r="L23" s="36" t="s">
        <v>34</v>
      </c>
      <c r="M23" s="33">
        <f>DATE('Année comptable'!A1,6,31)-B5</f>
        <v>177</v>
      </c>
      <c r="N23" s="63" t="s">
        <v>51</v>
      </c>
    </row>
    <row r="24" spans="1:14" ht="15.75" thickBot="1" x14ac:dyDescent="0.3">
      <c r="A24" s="15" t="s">
        <v>18</v>
      </c>
      <c r="B24" s="16" t="str">
        <f>IF(OR(D$5="",COUNTA(D$22:D23)&gt;=1),"",IF(D24="",G$5/C$5*3,I$21*K24))</f>
        <v/>
      </c>
      <c r="C24" s="17"/>
      <c r="D24" s="17"/>
      <c r="E24" s="18" t="str">
        <f>IF(D24,I21*I24,"")</f>
        <v/>
      </c>
      <c r="F24" s="19" t="str">
        <f t="shared" si="10"/>
        <v/>
      </c>
      <c r="G24" s="66">
        <f t="shared" si="11"/>
        <v>0</v>
      </c>
      <c r="H24" s="33" t="s">
        <v>25</v>
      </c>
      <c r="I24" s="33">
        <f>G19-D24</f>
        <v>46393</v>
      </c>
      <c r="J24" s="36" t="s">
        <v>30</v>
      </c>
      <c r="K24" s="33">
        <f>D24-DATE('Année comptable'!A1,7,1)</f>
        <v>-45474</v>
      </c>
      <c r="L24" s="36" t="s">
        <v>35</v>
      </c>
      <c r="M24" s="33">
        <f>DATE('Année comptable'!A1,9,31)-B5</f>
        <v>269</v>
      </c>
      <c r="N24" s="63" t="s">
        <v>52</v>
      </c>
    </row>
    <row r="25" spans="1:14" ht="15.75" thickBot="1" x14ac:dyDescent="0.3">
      <c r="A25" s="15" t="s">
        <v>19</v>
      </c>
      <c r="B25" s="16" t="str">
        <f>IF(OR(D$5="",COUNTA(D$22:D24)&gt;=1),"",IF(D25="",G$5/C$5*3,I$21*K25))</f>
        <v/>
      </c>
      <c r="C25" s="17"/>
      <c r="D25" s="17"/>
      <c r="E25" s="18" t="str">
        <f>IF(D25,I21*I25,"")</f>
        <v/>
      </c>
      <c r="F25" s="19" t="str">
        <f t="shared" si="10"/>
        <v/>
      </c>
      <c r="G25" s="66">
        <f t="shared" si="11"/>
        <v>0</v>
      </c>
      <c r="H25" s="33" t="s">
        <v>26</v>
      </c>
      <c r="I25" s="33">
        <f>G19-D25</f>
        <v>46393</v>
      </c>
      <c r="J25" s="36" t="s">
        <v>31</v>
      </c>
      <c r="K25" s="33">
        <f>D25-DATE('Année comptable'!A1,10,1)</f>
        <v>-45566</v>
      </c>
      <c r="L25" s="36" t="s">
        <v>36</v>
      </c>
      <c r="M25" s="33">
        <f>DATE('Année comptable'!A1,12,32)-B5</f>
        <v>361</v>
      </c>
      <c r="N25" s="63" t="s">
        <v>53</v>
      </c>
    </row>
    <row r="26" spans="1:14" x14ac:dyDescent="0.25">
      <c r="A26" s="10"/>
      <c r="G26" s="32"/>
      <c r="H26" s="34"/>
      <c r="I26" s="34"/>
      <c r="J26" s="34"/>
      <c r="K26" s="34"/>
      <c r="L26" s="34"/>
      <c r="N26" s="64"/>
    </row>
    <row r="27" spans="1:14" ht="15.75" thickBot="1" x14ac:dyDescent="0.3">
      <c r="A27" s="21" t="s">
        <v>32</v>
      </c>
      <c r="B27" s="22">
        <f>SUM(B22:B25)</f>
        <v>1163.9416058394161</v>
      </c>
      <c r="C27" s="23"/>
      <c r="D27" s="24"/>
      <c r="E27" s="25"/>
      <c r="F27" s="28"/>
      <c r="G27" s="30"/>
      <c r="H27" s="34"/>
      <c r="I27" s="34"/>
      <c r="J27" s="34"/>
      <c r="K27" s="34"/>
      <c r="N27" s="64"/>
    </row>
    <row r="28" spans="1:14" ht="15.75" thickBot="1" x14ac:dyDescent="0.3">
      <c r="A28" s="1"/>
      <c r="B28" s="1"/>
      <c r="C28" s="1"/>
      <c r="D28" s="1"/>
      <c r="E28" s="1"/>
      <c r="F28" s="1"/>
      <c r="G28" s="29"/>
      <c r="H28" s="34"/>
      <c r="I28" s="34"/>
      <c r="J28" s="34"/>
      <c r="K28" s="34"/>
      <c r="L28" s="34"/>
      <c r="N28" s="64"/>
    </row>
    <row r="29" spans="1:14" x14ac:dyDescent="0.25">
      <c r="A29" s="9" t="s">
        <v>21</v>
      </c>
      <c r="B29" s="43" t="str">
        <f>IF(OR(A6=""),"",A6)</f>
        <v>Exemple erreur 2</v>
      </c>
      <c r="C29" s="44"/>
      <c r="D29" s="45"/>
      <c r="E29" s="46" t="s">
        <v>9</v>
      </c>
      <c r="F29" s="47"/>
      <c r="G29" s="39">
        <f>IF(C6,EDATE(B6,C6),"")</f>
        <v>46393</v>
      </c>
      <c r="H29" s="34"/>
      <c r="I29" s="34"/>
      <c r="J29" s="34"/>
      <c r="K29" s="34"/>
      <c r="L29" s="34"/>
      <c r="N29" s="64"/>
    </row>
    <row r="30" spans="1:14" x14ac:dyDescent="0.25">
      <c r="A30" s="10"/>
      <c r="B30" s="1"/>
      <c r="C30" s="1"/>
      <c r="D30" s="1"/>
      <c r="E30" s="1"/>
      <c r="F30" s="1"/>
      <c r="G30" s="31"/>
      <c r="H30" s="33" t="s">
        <v>27</v>
      </c>
      <c r="I30" s="33">
        <f>G29-B6</f>
        <v>1096</v>
      </c>
      <c r="J30" s="34"/>
      <c r="K30" s="34"/>
      <c r="L30" s="34"/>
      <c r="N30" s="64"/>
    </row>
    <row r="31" spans="1:14" ht="15.75" thickBot="1" x14ac:dyDescent="0.3">
      <c r="A31" s="11" t="s">
        <v>10</v>
      </c>
      <c r="B31" s="12" t="s">
        <v>11</v>
      </c>
      <c r="C31" s="13" t="s">
        <v>40</v>
      </c>
      <c r="D31" s="13" t="s">
        <v>12</v>
      </c>
      <c r="E31" s="13" t="s">
        <v>13</v>
      </c>
      <c r="F31" s="14" t="s">
        <v>14</v>
      </c>
      <c r="G31" s="31"/>
      <c r="H31" s="33" t="s">
        <v>15</v>
      </c>
      <c r="I31" s="35">
        <f>G6/I30</f>
        <v>6.4187956204379564</v>
      </c>
      <c r="J31" s="34"/>
      <c r="K31" s="34"/>
      <c r="L31" s="34"/>
      <c r="N31" s="64"/>
    </row>
    <row r="32" spans="1:14" ht="15.75" thickBot="1" x14ac:dyDescent="0.3">
      <c r="A32" s="15" t="s">
        <v>16</v>
      </c>
      <c r="B32" s="16">
        <f>IF(D$6="","",IF(D32="",G$6/C$6*3,I$31*K32))</f>
        <v>38.512773722627742</v>
      </c>
      <c r="C32" s="17"/>
      <c r="D32" s="17">
        <v>45298</v>
      </c>
      <c r="E32" s="18">
        <f>IF(D32,I31*I32,"")</f>
        <v>7028.5812043795622</v>
      </c>
      <c r="F32" s="19">
        <f>IF(D32,E32*21%,"")</f>
        <v>1476.0020529197079</v>
      </c>
      <c r="G32" s="66">
        <f>INDEX($S$6:$AP$6,MATCH(N32,$S$3:$AP$3,0))</f>
        <v>6.418795620437777</v>
      </c>
      <c r="H32" s="33" t="s">
        <v>23</v>
      </c>
      <c r="I32" s="33">
        <f>G29-D32</f>
        <v>1095</v>
      </c>
      <c r="J32" s="36" t="s">
        <v>28</v>
      </c>
      <c r="K32" s="33">
        <f>D32-DATE('Année comptable'!A1,1,1)</f>
        <v>6</v>
      </c>
      <c r="L32" s="36" t="s">
        <v>33</v>
      </c>
      <c r="M32" s="33">
        <f>DATE('Année comptable'!A1,3,32)-B6</f>
        <v>86</v>
      </c>
      <c r="N32" s="63" t="s">
        <v>50</v>
      </c>
    </row>
    <row r="33" spans="1:14" ht="15.75" thickBot="1" x14ac:dyDescent="0.3">
      <c r="A33" s="15" t="s">
        <v>17</v>
      </c>
      <c r="B33" s="16" t="str">
        <f>IF(OR(D$6="",COUNTA(D$32:D32)&gt;=1),"",IF(D33="",G$6/C$6*3,I$31*K33))</f>
        <v/>
      </c>
      <c r="C33" s="17"/>
      <c r="D33" s="17"/>
      <c r="E33" s="18" t="str">
        <f>IF(D33,I31*I33,"")</f>
        <v/>
      </c>
      <c r="F33" s="19" t="str">
        <f t="shared" ref="F33:F35" si="12">IF(D33,E33*21%,"")</f>
        <v/>
      </c>
      <c r="G33" s="66">
        <f t="shared" ref="G33:G35" si="13">INDEX($S$6:$AP$6,MATCH(N33,$S$3:$AP$3,0))</f>
        <v>0</v>
      </c>
      <c r="H33" s="33" t="s">
        <v>24</v>
      </c>
      <c r="I33" s="33">
        <f>G29-D33</f>
        <v>46393</v>
      </c>
      <c r="J33" s="36" t="s">
        <v>29</v>
      </c>
      <c r="K33" s="33">
        <f>D33-DATE('Année comptable'!A1,4,1)</f>
        <v>-45383</v>
      </c>
      <c r="L33" s="36" t="s">
        <v>34</v>
      </c>
      <c r="M33" s="33">
        <f>DATE('Année comptable'!A1,6,31)-B6</f>
        <v>177</v>
      </c>
      <c r="N33" s="63" t="s">
        <v>51</v>
      </c>
    </row>
    <row r="34" spans="1:14" ht="15.75" thickBot="1" x14ac:dyDescent="0.3">
      <c r="A34" s="15" t="s">
        <v>18</v>
      </c>
      <c r="B34" s="16" t="str">
        <f>IF(OR(D$6="",COUNTA(D$32:D33)&gt;=1),"",IF(D34="",G$6/C$6*3,I$31*K34))</f>
        <v/>
      </c>
      <c r="C34" s="17"/>
      <c r="D34" s="17"/>
      <c r="E34" s="18" t="str">
        <f>IF(D34,I31*I34,"")</f>
        <v/>
      </c>
      <c r="F34" s="19" t="str">
        <f t="shared" si="12"/>
        <v/>
      </c>
      <c r="G34" s="66">
        <f t="shared" si="13"/>
        <v>0</v>
      </c>
      <c r="H34" s="33" t="s">
        <v>25</v>
      </c>
      <c r="I34" s="33">
        <f>G29-D34</f>
        <v>46393</v>
      </c>
      <c r="J34" s="36" t="s">
        <v>30</v>
      </c>
      <c r="K34" s="33">
        <f>D34-DATE('Année comptable'!A1,7,1)</f>
        <v>-45474</v>
      </c>
      <c r="L34" s="36" t="s">
        <v>35</v>
      </c>
      <c r="M34" s="33">
        <f>DATE('Année comptable'!A1,9,31)-B6</f>
        <v>269</v>
      </c>
      <c r="N34" s="63" t="s">
        <v>52</v>
      </c>
    </row>
    <row r="35" spans="1:14" ht="15.75" thickBot="1" x14ac:dyDescent="0.3">
      <c r="A35" s="15" t="s">
        <v>19</v>
      </c>
      <c r="B35" s="16" t="str">
        <f>IF(OR(D$6="",COUNTA(D$32:D34)&gt;=1),"",IF(D35="",G$6/C$6*3,I$31*K35))</f>
        <v/>
      </c>
      <c r="C35" s="17"/>
      <c r="D35" s="17"/>
      <c r="E35" s="18" t="str">
        <f>IF(D35,I31*I35,"")</f>
        <v/>
      </c>
      <c r="F35" s="19" t="str">
        <f t="shared" si="12"/>
        <v/>
      </c>
      <c r="G35" s="66">
        <f t="shared" si="13"/>
        <v>0</v>
      </c>
      <c r="H35" s="33" t="s">
        <v>26</v>
      </c>
      <c r="I35" s="33">
        <f>G29-D35</f>
        <v>46393</v>
      </c>
      <c r="J35" s="36" t="s">
        <v>31</v>
      </c>
      <c r="K35" s="33">
        <f>D35-DATE('Année comptable'!A1,10,1)</f>
        <v>-45566</v>
      </c>
      <c r="L35" s="36" t="s">
        <v>36</v>
      </c>
      <c r="M35" s="33">
        <f>DATE('Année comptable'!A1,12,32)-B6</f>
        <v>361</v>
      </c>
      <c r="N35" s="63" t="s">
        <v>53</v>
      </c>
    </row>
    <row r="36" spans="1:14" x14ac:dyDescent="0.25">
      <c r="A36" s="10"/>
      <c r="G36" s="32"/>
      <c r="H36" s="34"/>
      <c r="I36" s="34"/>
      <c r="J36" s="34"/>
      <c r="K36" s="34"/>
      <c r="L36" s="34"/>
    </row>
    <row r="37" spans="1:14" ht="15.75" thickBot="1" x14ac:dyDescent="0.3">
      <c r="A37" s="21" t="s">
        <v>32</v>
      </c>
      <c r="B37" s="22">
        <f>SUM(B32:B35)</f>
        <v>38.512773722627742</v>
      </c>
      <c r="C37" s="23"/>
      <c r="D37" s="24"/>
      <c r="E37" s="25"/>
      <c r="F37" s="28"/>
      <c r="G37" s="30"/>
      <c r="H37" s="34"/>
      <c r="I37" s="34"/>
      <c r="J37" s="34"/>
      <c r="K37" s="34"/>
    </row>
    <row r="38" spans="1:14" ht="15.75" thickBot="1" x14ac:dyDescent="0.3">
      <c r="A38" s="1"/>
      <c r="B38" s="1"/>
      <c r="C38" s="1"/>
      <c r="D38" s="1"/>
      <c r="E38" s="1"/>
      <c r="F38" s="1"/>
      <c r="G38" s="1"/>
      <c r="H38" s="34"/>
      <c r="I38" s="34"/>
      <c r="J38" s="34"/>
      <c r="K38" s="34"/>
      <c r="L38" s="34"/>
    </row>
    <row r="39" spans="1:14" x14ac:dyDescent="0.25">
      <c r="A39" s="9" t="s">
        <v>22</v>
      </c>
      <c r="B39" s="43" t="str">
        <f>IF(OR(A7=""),"",A7)</f>
        <v/>
      </c>
      <c r="C39" s="44"/>
      <c r="D39" s="45"/>
      <c r="E39" s="46" t="s">
        <v>9</v>
      </c>
      <c r="F39" s="47"/>
      <c r="G39" s="39" t="str">
        <f>IF(C7,EDATE(B7,C7),"")</f>
        <v/>
      </c>
      <c r="H39" s="34"/>
      <c r="I39" s="34"/>
      <c r="J39" s="34"/>
      <c r="K39" s="34"/>
      <c r="L39" s="34"/>
    </row>
    <row r="40" spans="1:14" x14ac:dyDescent="0.25">
      <c r="A40" s="10"/>
      <c r="B40" s="1"/>
      <c r="C40" s="1"/>
      <c r="D40" s="1"/>
      <c r="E40" s="1"/>
      <c r="F40" s="1"/>
      <c r="G40" s="31"/>
      <c r="H40" s="33" t="s">
        <v>27</v>
      </c>
      <c r="I40" s="33" t="e">
        <f>G39-B7</f>
        <v>#VALUE!</v>
      </c>
      <c r="J40" s="34"/>
      <c r="K40" s="34"/>
      <c r="L40" s="34"/>
    </row>
    <row r="41" spans="1:14" ht="15.75" thickBot="1" x14ac:dyDescent="0.3">
      <c r="A41" s="11" t="s">
        <v>10</v>
      </c>
      <c r="B41" s="12" t="s">
        <v>11</v>
      </c>
      <c r="C41" s="13" t="s">
        <v>40</v>
      </c>
      <c r="D41" s="13" t="s">
        <v>12</v>
      </c>
      <c r="E41" s="13" t="s">
        <v>13</v>
      </c>
      <c r="F41" s="14" t="s">
        <v>14</v>
      </c>
      <c r="G41" s="31"/>
      <c r="H41" s="33" t="s">
        <v>15</v>
      </c>
      <c r="I41" s="35" t="e">
        <f>G7/I40</f>
        <v>#VALUE!</v>
      </c>
      <c r="J41" s="34"/>
      <c r="K41" s="34"/>
      <c r="L41" s="34"/>
    </row>
    <row r="42" spans="1:14" ht="15.75" thickBot="1" x14ac:dyDescent="0.3">
      <c r="A42" s="15" t="s">
        <v>16</v>
      </c>
      <c r="B42" s="16" t="str">
        <f>IF(D$7="","",IF(D42="",G$7/C$7*3,I$41*K42))</f>
        <v/>
      </c>
      <c r="C42" s="17"/>
      <c r="D42" s="17"/>
      <c r="E42" s="18" t="str">
        <f>IF(D42,I41*I42,"")</f>
        <v/>
      </c>
      <c r="F42" s="19" t="str">
        <f>IF(D42,E42*21%,"")</f>
        <v/>
      </c>
      <c r="G42" s="31"/>
      <c r="H42" s="33" t="s">
        <v>23</v>
      </c>
      <c r="I42" s="33" t="e">
        <f>G39-D42</f>
        <v>#VALUE!</v>
      </c>
      <c r="J42" s="36" t="s">
        <v>28</v>
      </c>
      <c r="K42" s="33">
        <f>D42-DATE('Année comptable'!A1,1,1)</f>
        <v>-45292</v>
      </c>
      <c r="L42" s="36" t="s">
        <v>33</v>
      </c>
      <c r="M42" s="33">
        <f>DATE('Année comptable'!A1,3,32)-B7</f>
        <v>45383</v>
      </c>
      <c r="N42" s="33"/>
    </row>
    <row r="43" spans="1:14" ht="15.75" thickBot="1" x14ac:dyDescent="0.3">
      <c r="A43" s="15" t="s">
        <v>17</v>
      </c>
      <c r="B43" s="16" t="str">
        <f>IF(OR(D$7="",COUNTA(D$42:D42)&gt;=1),"",IF(D43="",G$7/C$7*3,I$41*K43))</f>
        <v/>
      </c>
      <c r="C43" s="17"/>
      <c r="D43" s="17"/>
      <c r="E43" s="18" t="str">
        <f>IF(D43,I41*I43,"")</f>
        <v/>
      </c>
      <c r="F43" s="19" t="str">
        <f t="shared" ref="F43:F45" si="14">IF(D43,E43*21%,"")</f>
        <v/>
      </c>
      <c r="G43" s="31"/>
      <c r="H43" s="33" t="s">
        <v>24</v>
      </c>
      <c r="I43" s="33" t="e">
        <f>G39-D43</f>
        <v>#VALUE!</v>
      </c>
      <c r="J43" s="36" t="s">
        <v>29</v>
      </c>
      <c r="K43" s="33">
        <f>D43-DATE('Année comptable'!A1,4,1)</f>
        <v>-45383</v>
      </c>
      <c r="L43" s="36" t="s">
        <v>34</v>
      </c>
      <c r="M43" s="33">
        <f>DATE('Année comptable'!A1,6,31)-B7</f>
        <v>45474</v>
      </c>
      <c r="N43" s="33"/>
    </row>
    <row r="44" spans="1:14" ht="15.75" thickBot="1" x14ac:dyDescent="0.3">
      <c r="A44" s="15" t="s">
        <v>18</v>
      </c>
      <c r="B44" s="16" t="str">
        <f>IF(OR(D$7="",COUNTA(D$42:D43)&gt;=1),"",IF(D44="",G$7/C$7*3,I$41*K44))</f>
        <v/>
      </c>
      <c r="C44" s="17"/>
      <c r="D44" s="17"/>
      <c r="E44" s="18" t="str">
        <f>IF(D44,I41*I44,"")</f>
        <v/>
      </c>
      <c r="F44" s="19" t="str">
        <f t="shared" si="14"/>
        <v/>
      </c>
      <c r="G44" s="31"/>
      <c r="H44" s="33" t="s">
        <v>25</v>
      </c>
      <c r="I44" s="33" t="e">
        <f>G39-D44</f>
        <v>#VALUE!</v>
      </c>
      <c r="J44" s="36" t="s">
        <v>30</v>
      </c>
      <c r="K44" s="33">
        <f>D44-DATE('Année comptable'!A1,7,1)</f>
        <v>-45474</v>
      </c>
      <c r="L44" s="36" t="s">
        <v>35</v>
      </c>
      <c r="M44" s="33">
        <f>DATE('Année comptable'!A1,9,31)-B7</f>
        <v>45566</v>
      </c>
      <c r="N44" s="33"/>
    </row>
    <row r="45" spans="1:14" ht="15.75" thickBot="1" x14ac:dyDescent="0.3">
      <c r="A45" s="15" t="s">
        <v>19</v>
      </c>
      <c r="B45" s="16" t="str">
        <f>IF(OR(D$7="",COUNTA(D$42:D44)&gt;=1),"",IF(D45="",G$7/C$7*3,I$41*K45))</f>
        <v/>
      </c>
      <c r="C45" s="17"/>
      <c r="D45" s="17"/>
      <c r="E45" s="18" t="str">
        <f>IF(D45,I41*I45,"")</f>
        <v/>
      </c>
      <c r="F45" s="19" t="str">
        <f t="shared" si="14"/>
        <v/>
      </c>
      <c r="G45" s="31"/>
      <c r="H45" s="33" t="s">
        <v>26</v>
      </c>
      <c r="I45" s="33" t="e">
        <f>G39-D45</f>
        <v>#VALUE!</v>
      </c>
      <c r="J45" s="36" t="s">
        <v>31</v>
      </c>
      <c r="K45" s="33">
        <f>D45-DATE('Année comptable'!A1,10,1)</f>
        <v>-45566</v>
      </c>
      <c r="L45" s="36" t="s">
        <v>36</v>
      </c>
      <c r="M45" s="33">
        <f>DATE('Année comptable'!A1,12,32)-B7</f>
        <v>45658</v>
      </c>
      <c r="N45" s="33"/>
    </row>
    <row r="46" spans="1:14" x14ac:dyDescent="0.25">
      <c r="A46" s="10"/>
      <c r="G46" s="32"/>
      <c r="H46" s="34"/>
      <c r="I46" s="34"/>
      <c r="J46" s="34"/>
      <c r="K46" s="34"/>
      <c r="L46" s="34"/>
    </row>
    <row r="47" spans="1:14" ht="15.75" thickBot="1" x14ac:dyDescent="0.3">
      <c r="A47" s="21" t="s">
        <v>32</v>
      </c>
      <c r="B47" s="22">
        <f>SUM(B42:B45)</f>
        <v>0</v>
      </c>
      <c r="C47" s="23"/>
      <c r="D47" s="24"/>
      <c r="E47" s="25"/>
      <c r="F47" s="28"/>
      <c r="G47" s="30"/>
      <c r="H47" s="34"/>
      <c r="I47" s="34"/>
      <c r="J47" s="34"/>
      <c r="K47" s="34"/>
    </row>
    <row r="48" spans="1:14" x14ac:dyDescent="0.25">
      <c r="H48" s="34"/>
      <c r="I48" s="34"/>
      <c r="J48" s="34"/>
      <c r="K48" s="34"/>
      <c r="L48" s="34"/>
    </row>
  </sheetData>
  <mergeCells count="9">
    <mergeCell ref="B39:D39"/>
    <mergeCell ref="E39:F39"/>
    <mergeCell ref="A1:G1"/>
    <mergeCell ref="B9:D9"/>
    <mergeCell ref="E9:F9"/>
    <mergeCell ref="B19:D19"/>
    <mergeCell ref="E19:F19"/>
    <mergeCell ref="B29:D29"/>
    <mergeCell ref="E29:F29"/>
  </mergeCells>
  <phoneticPr fontId="14" type="noConversion"/>
  <pageMargins left="0.7" right="0.7" top="0.75" bottom="0.75" header="0.3" footer="0.3"/>
  <pageSetup paperSize="9" orientation="portrait" r:id="rId1"/>
  <ignoredErrors>
    <ignoredError sqref="I45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3DE24-AEEB-4176-8924-CDED747791E9}">
  <sheetPr codeName="Blad3">
    <tabColor rgb="FF00B050"/>
  </sheetPr>
  <dimension ref="A1:L42"/>
  <sheetViews>
    <sheetView tabSelected="1" workbookViewId="0">
      <selection activeCell="I24" sqref="I24"/>
    </sheetView>
  </sheetViews>
  <sheetFormatPr defaultRowHeight="15.75" x14ac:dyDescent="0.25"/>
  <cols>
    <col min="1" max="1" width="9.5703125" style="73" bestFit="1" customWidth="1"/>
    <col min="2" max="2" width="21" style="74" bestFit="1" customWidth="1"/>
    <col min="3" max="3" width="17.28515625" style="76" bestFit="1" customWidth="1"/>
    <col min="4" max="5" width="18.42578125" style="76" bestFit="1" customWidth="1"/>
    <col min="6" max="6" width="9.5703125" style="86" bestFit="1" customWidth="1"/>
    <col min="7" max="8" width="9.5703125" bestFit="1" customWidth="1"/>
  </cols>
  <sheetData>
    <row r="1" spans="1:12" s="74" customFormat="1" x14ac:dyDescent="0.25">
      <c r="A1" s="73" t="str" cm="1">
        <f t="array" ref="A1:E42">TRANSPOSE(Amortissements!A2:AP6)</f>
        <v xml:space="preserve"> </v>
      </c>
      <c r="B1" s="74" t="str">
        <v>Véhicule / Machine:</v>
      </c>
      <c r="C1" s="75" t="str">
        <v>Voiture unetelle</v>
      </c>
      <c r="D1" s="75" t="str">
        <v>Exemple erreur 1</v>
      </c>
      <c r="E1" s="75" t="str">
        <v>Exemple erreur 2</v>
      </c>
      <c r="F1" s="83"/>
    </row>
    <row r="2" spans="1:12" s="80" customFormat="1" x14ac:dyDescent="0.25">
      <c r="A2" s="79" t="str">
        <v xml:space="preserve"> </v>
      </c>
      <c r="B2" s="79" t="str">
        <v>Date achat:</v>
      </c>
      <c r="C2" s="80">
        <v>44887</v>
      </c>
      <c r="D2" s="80">
        <v>45297</v>
      </c>
      <c r="E2" s="80">
        <v>45297</v>
      </c>
      <c r="F2" s="84"/>
    </row>
    <row r="3" spans="1:12" s="78" customFormat="1" x14ac:dyDescent="0.25">
      <c r="A3" s="77" t="str">
        <v xml:space="preserve"> </v>
      </c>
      <c r="B3" s="77" t="str">
        <v>Durée (mois):</v>
      </c>
      <c r="C3" s="78">
        <v>36</v>
      </c>
      <c r="D3" s="78">
        <v>36</v>
      </c>
      <c r="E3" s="78">
        <v>36</v>
      </c>
      <c r="F3" s="85"/>
    </row>
    <row r="4" spans="1:12" x14ac:dyDescent="0.25">
      <c r="A4" s="73" t="str">
        <v xml:space="preserve"> </v>
      </c>
      <c r="B4" s="74" t="str">
        <v>Prix HTVA:</v>
      </c>
      <c r="C4" s="76">
        <v>14000</v>
      </c>
      <c r="D4" s="76">
        <v>14000</v>
      </c>
      <c r="E4" s="76">
        <v>14000</v>
      </c>
    </row>
    <row r="5" spans="1:12" x14ac:dyDescent="0.25">
      <c r="A5" s="73" t="str">
        <v xml:space="preserve"> </v>
      </c>
      <c r="B5" s="74" t="str">
        <v>% util. pro.:</v>
      </c>
      <c r="C5" s="76">
        <v>0.75</v>
      </c>
      <c r="D5" s="76">
        <v>0.75</v>
      </c>
      <c r="E5" s="76">
        <v>0.75</v>
      </c>
    </row>
    <row r="6" spans="1:12" x14ac:dyDescent="0.25">
      <c r="A6" s="73" t="str">
        <v xml:space="preserve"> </v>
      </c>
      <c r="B6" s="74" t="str">
        <v>% déduct.:</v>
      </c>
      <c r="C6" s="76">
        <v>0.67</v>
      </c>
      <c r="D6" s="76">
        <v>0.67</v>
      </c>
      <c r="E6" s="76">
        <v>0.67</v>
      </c>
    </row>
    <row r="7" spans="1:12" x14ac:dyDescent="0.25">
      <c r="A7" s="73" t="str">
        <v xml:space="preserve"> </v>
      </c>
      <c r="B7" s="74" t="str">
        <v>Amort. Total :</v>
      </c>
      <c r="C7" s="76">
        <v>7035</v>
      </c>
      <c r="D7" s="76">
        <v>7035</v>
      </c>
      <c r="E7" s="76">
        <v>7035</v>
      </c>
    </row>
    <row r="8" spans="1:12" s="80" customFormat="1" x14ac:dyDescent="0.25">
      <c r="A8" s="79" t="str">
        <v xml:space="preserve"> </v>
      </c>
      <c r="B8" s="79" t="str">
        <v>Date fin présumé</v>
      </c>
      <c r="C8" s="80">
        <v>45983</v>
      </c>
      <c r="D8" s="80">
        <v>46393</v>
      </c>
      <c r="E8" s="80">
        <v>46393</v>
      </c>
      <c r="F8" s="84"/>
    </row>
    <row r="9" spans="1:12" s="80" customFormat="1" x14ac:dyDescent="0.25">
      <c r="A9" s="79" t="str">
        <v xml:space="preserve"> </v>
      </c>
      <c r="B9" s="79" t="str">
        <v>Date revente</v>
      </c>
      <c r="C9" s="80">
        <v>0</v>
      </c>
      <c r="D9" s="80">
        <v>45473</v>
      </c>
      <c r="E9" s="80">
        <v>45298</v>
      </c>
      <c r="F9" s="84"/>
    </row>
    <row r="10" spans="1:12" x14ac:dyDescent="0.25">
      <c r="A10" s="73" t="str">
        <v xml:space="preserve"> </v>
      </c>
      <c r="B10" s="74" t="str">
        <v>valeur résid</v>
      </c>
      <c r="C10" s="76">
        <v>0</v>
      </c>
      <c r="D10" s="76">
        <v>5905.2919708029194</v>
      </c>
      <c r="E10" s="76">
        <v>7028.5812043795622</v>
      </c>
    </row>
    <row r="11" spans="1:12" x14ac:dyDescent="0.25">
      <c r="A11" s="73" t="str">
        <v xml:space="preserve"> </v>
      </c>
      <c r="B11" s="74" t="str">
        <v>TVA 21%</v>
      </c>
      <c r="C11" s="76">
        <v>0</v>
      </c>
      <c r="D11" s="76">
        <v>1240.111313868613</v>
      </c>
      <c r="E11" s="76">
        <v>1476.0020529197079</v>
      </c>
    </row>
    <row r="12" spans="1:12" x14ac:dyDescent="0.25">
      <c r="A12" s="73" t="str">
        <v xml:space="preserve"> </v>
      </c>
      <c r="B12" s="74" t="str">
        <v>prix jour</v>
      </c>
      <c r="C12" s="76">
        <v>6.4187956204379564</v>
      </c>
      <c r="D12" s="76">
        <v>6.4187956204379564</v>
      </c>
      <c r="E12" s="76">
        <v>6.4187956204379564</v>
      </c>
    </row>
    <row r="13" spans="1:12" x14ac:dyDescent="0.25">
      <c r="A13" s="73" t="str">
        <v xml:space="preserve"> </v>
      </c>
      <c r="B13" s="74" t="str">
        <v>prix trim</v>
      </c>
      <c r="C13" s="76">
        <v>586.25</v>
      </c>
      <c r="D13" s="76">
        <v>586.25</v>
      </c>
      <c r="E13" s="76">
        <v>586.25</v>
      </c>
    </row>
    <row r="14" spans="1:12" x14ac:dyDescent="0.25">
      <c r="A14" s="73" t="str">
        <v xml:space="preserve"> </v>
      </c>
      <c r="B14" s="74" t="str">
        <v xml:space="preserve"> </v>
      </c>
      <c r="C14" s="76">
        <v>0</v>
      </c>
      <c r="D14" s="76">
        <v>0</v>
      </c>
      <c r="E14" s="76">
        <v>0</v>
      </c>
      <c r="J14" t="s">
        <v>57</v>
      </c>
    </row>
    <row r="15" spans="1:12" x14ac:dyDescent="0.25">
      <c r="A15" s="73" t="str">
        <v xml:space="preserve"> </v>
      </c>
      <c r="B15" s="74" t="str">
        <v>somme1</v>
      </c>
      <c r="C15" s="81">
        <v>7035</v>
      </c>
      <c r="D15" s="81">
        <v>7035</v>
      </c>
      <c r="E15" s="81">
        <v>7035</v>
      </c>
      <c r="F15" s="87" cm="1">
        <f t="array" ref="F15:H42">TRANSPOSE(Amortissements!O8:AP10)</f>
        <v>7035</v>
      </c>
      <c r="G15" s="82">
        <v>7035</v>
      </c>
      <c r="H15" s="82">
        <v>7035</v>
      </c>
      <c r="J15" s="76">
        <f>+C15-F15</f>
        <v>0</v>
      </c>
      <c r="K15" s="76">
        <f t="shared" ref="K15:L15" si="0">+D15-G15</f>
        <v>0</v>
      </c>
      <c r="L15" s="76">
        <f t="shared" si="0"/>
        <v>0</v>
      </c>
    </row>
    <row r="16" spans="1:12" x14ac:dyDescent="0.25">
      <c r="A16" s="73" t="str">
        <v xml:space="preserve"> </v>
      </c>
      <c r="B16" s="74" t="str">
        <v>somme2</v>
      </c>
      <c r="C16" s="81">
        <v>7035</v>
      </c>
      <c r="D16" s="81">
        <v>1129.7080291970806</v>
      </c>
      <c r="E16" s="81">
        <v>6.418795620437777</v>
      </c>
      <c r="F16" s="87">
        <v>7035</v>
      </c>
      <c r="G16" s="82">
        <v>1129.7080291970804</v>
      </c>
      <c r="H16" s="82">
        <v>6.4187956204379564</v>
      </c>
      <c r="J16" s="76">
        <f t="shared" ref="J16:J34" si="1">+C16-F16</f>
        <v>0</v>
      </c>
      <c r="K16" s="76">
        <f t="shared" ref="K16:K34" si="2">+D16-G16</f>
        <v>0</v>
      </c>
      <c r="L16" s="76">
        <f t="shared" ref="L16:L34" si="3">+E16-H16</f>
        <v>-1.794120407794253E-13</v>
      </c>
    </row>
    <row r="17" spans="1:12" x14ac:dyDescent="0.25">
      <c r="A17" s="73" t="str">
        <v>date</v>
      </c>
      <c r="B17" s="74" t="str">
        <v>trimestre</v>
      </c>
      <c r="C17" s="81">
        <v>0</v>
      </c>
      <c r="D17" s="81">
        <v>0</v>
      </c>
      <c r="E17" s="81">
        <v>0</v>
      </c>
      <c r="F17" s="87">
        <v>0</v>
      </c>
      <c r="G17" s="82">
        <v>0</v>
      </c>
      <c r="H17" s="82">
        <v>0</v>
      </c>
      <c r="J17" s="76">
        <f t="shared" si="1"/>
        <v>0</v>
      </c>
      <c r="K17" s="76">
        <f t="shared" si="2"/>
        <v>0</v>
      </c>
      <c r="L17" s="76">
        <f t="shared" si="3"/>
        <v>0</v>
      </c>
    </row>
    <row r="18" spans="1:12" x14ac:dyDescent="0.25">
      <c r="A18" s="73" t="str">
        <v>null</v>
      </c>
      <c r="B18" s="74" t="str">
        <v>null</v>
      </c>
      <c r="C18" s="81">
        <v>0</v>
      </c>
      <c r="D18" s="81">
        <v>0</v>
      </c>
      <c r="E18" s="81">
        <v>0</v>
      </c>
      <c r="F18" s="87">
        <v>0</v>
      </c>
      <c r="G18" s="82">
        <v>0</v>
      </c>
      <c r="H18" s="82">
        <v>0</v>
      </c>
      <c r="J18" s="76">
        <f t="shared" si="1"/>
        <v>0</v>
      </c>
      <c r="K18" s="76">
        <f t="shared" si="2"/>
        <v>0</v>
      </c>
      <c r="L18" s="76">
        <f t="shared" si="3"/>
        <v>0</v>
      </c>
    </row>
    <row r="19" spans="1:12" x14ac:dyDescent="0.25">
      <c r="A19" s="73">
        <v>44562</v>
      </c>
      <c r="B19" s="74" t="str">
        <v>22T1</v>
      </c>
      <c r="C19" s="81">
        <v>0</v>
      </c>
      <c r="D19" s="81">
        <v>0</v>
      </c>
      <c r="E19" s="81">
        <v>0</v>
      </c>
      <c r="F19" s="87">
        <v>0</v>
      </c>
      <c r="G19" s="82">
        <v>0</v>
      </c>
      <c r="H19" s="82">
        <v>0</v>
      </c>
      <c r="J19" s="76">
        <f t="shared" si="1"/>
        <v>0</v>
      </c>
      <c r="K19" s="76">
        <f t="shared" si="2"/>
        <v>0</v>
      </c>
      <c r="L19" s="76">
        <f t="shared" si="3"/>
        <v>0</v>
      </c>
    </row>
    <row r="20" spans="1:12" x14ac:dyDescent="0.25">
      <c r="A20" s="73">
        <v>44652</v>
      </c>
      <c r="B20" s="74" t="str">
        <v>22T2</v>
      </c>
      <c r="C20" s="81">
        <v>0</v>
      </c>
      <c r="D20" s="81">
        <v>0</v>
      </c>
      <c r="E20" s="81">
        <v>0</v>
      </c>
      <c r="F20" s="87">
        <v>0</v>
      </c>
      <c r="G20" s="82">
        <v>0</v>
      </c>
      <c r="H20" s="82">
        <v>0</v>
      </c>
      <c r="J20" s="76">
        <f t="shared" si="1"/>
        <v>0</v>
      </c>
      <c r="K20" s="76">
        <f t="shared" si="2"/>
        <v>0</v>
      </c>
      <c r="L20" s="76">
        <f t="shared" si="3"/>
        <v>0</v>
      </c>
    </row>
    <row r="21" spans="1:12" x14ac:dyDescent="0.25">
      <c r="A21" s="73">
        <v>44743</v>
      </c>
      <c r="B21" s="74" t="str">
        <v>22T3</v>
      </c>
      <c r="C21" s="81">
        <v>0</v>
      </c>
      <c r="D21" s="81">
        <v>0</v>
      </c>
      <c r="E21" s="81">
        <v>0</v>
      </c>
      <c r="F21" s="87">
        <v>0</v>
      </c>
      <c r="G21" s="82">
        <v>0</v>
      </c>
      <c r="H21" s="82">
        <v>0</v>
      </c>
      <c r="J21" s="76">
        <f t="shared" si="1"/>
        <v>0</v>
      </c>
      <c r="K21" s="76">
        <f t="shared" si="2"/>
        <v>0</v>
      </c>
      <c r="L21" s="76">
        <f t="shared" si="3"/>
        <v>0</v>
      </c>
    </row>
    <row r="22" spans="1:12" x14ac:dyDescent="0.25">
      <c r="A22" s="73">
        <v>44835</v>
      </c>
      <c r="B22" s="74" t="str">
        <v>22T4</v>
      </c>
      <c r="C22" s="81">
        <v>254.89130434782609</v>
      </c>
      <c r="D22" s="81">
        <v>0</v>
      </c>
      <c r="E22" s="81">
        <v>0</v>
      </c>
      <c r="F22" s="87">
        <v>256.75182481751824</v>
      </c>
      <c r="G22" s="82">
        <v>0</v>
      </c>
      <c r="H22" s="82">
        <v>0</v>
      </c>
      <c r="J22" s="76">
        <f t="shared" si="1"/>
        <v>-1.8605204696921476</v>
      </c>
      <c r="K22" s="76">
        <f t="shared" si="2"/>
        <v>0</v>
      </c>
      <c r="L22" s="76">
        <f t="shared" si="3"/>
        <v>0</v>
      </c>
    </row>
    <row r="23" spans="1:12" x14ac:dyDescent="0.25">
      <c r="A23" s="73">
        <v>44927</v>
      </c>
      <c r="B23" s="74" t="str">
        <v>23T1</v>
      </c>
      <c r="C23" s="81">
        <v>586.25</v>
      </c>
      <c r="D23" s="81">
        <v>0</v>
      </c>
      <c r="E23" s="81">
        <v>0</v>
      </c>
      <c r="F23" s="87">
        <v>577.69160583941607</v>
      </c>
      <c r="G23" s="82">
        <v>0</v>
      </c>
      <c r="H23" s="82">
        <v>0</v>
      </c>
      <c r="J23" s="76">
        <f t="shared" si="1"/>
        <v>8.55839416058393</v>
      </c>
      <c r="K23" s="76">
        <f t="shared" si="2"/>
        <v>0</v>
      </c>
      <c r="L23" s="76">
        <f t="shared" si="3"/>
        <v>0</v>
      </c>
    </row>
    <row r="24" spans="1:12" x14ac:dyDescent="0.25">
      <c r="A24" s="73">
        <v>45017</v>
      </c>
      <c r="B24" s="74" t="str">
        <v>23T2</v>
      </c>
      <c r="C24" s="81">
        <v>586.25</v>
      </c>
      <c r="D24" s="81">
        <v>0</v>
      </c>
      <c r="E24" s="81">
        <v>0</v>
      </c>
      <c r="F24" s="87">
        <v>584.11040145985407</v>
      </c>
      <c r="G24" s="82">
        <v>0</v>
      </c>
      <c r="H24" s="82">
        <v>0</v>
      </c>
      <c r="J24" s="76">
        <f t="shared" si="1"/>
        <v>2.1395985401459257</v>
      </c>
      <c r="K24" s="76">
        <f t="shared" si="2"/>
        <v>0</v>
      </c>
      <c r="L24" s="76">
        <f t="shared" si="3"/>
        <v>0</v>
      </c>
    </row>
    <row r="25" spans="1:12" x14ac:dyDescent="0.25">
      <c r="A25" s="73">
        <v>45108</v>
      </c>
      <c r="B25" s="74" t="str">
        <v>23T3</v>
      </c>
      <c r="C25" s="81">
        <v>586.25</v>
      </c>
      <c r="D25" s="81">
        <v>0</v>
      </c>
      <c r="E25" s="81">
        <v>0</v>
      </c>
      <c r="F25" s="87">
        <v>590.52919708029196</v>
      </c>
      <c r="G25" s="82">
        <v>0</v>
      </c>
      <c r="H25" s="82">
        <v>0</v>
      </c>
      <c r="J25" s="76">
        <f t="shared" si="1"/>
        <v>-4.279197080291965</v>
      </c>
      <c r="K25" s="76">
        <f t="shared" si="2"/>
        <v>0</v>
      </c>
      <c r="L25" s="76">
        <f t="shared" si="3"/>
        <v>0</v>
      </c>
    </row>
    <row r="26" spans="1:12" x14ac:dyDescent="0.25">
      <c r="A26" s="73">
        <v>45200</v>
      </c>
      <c r="B26" s="74" t="str">
        <v>23T4</v>
      </c>
      <c r="C26" s="81">
        <v>586.25</v>
      </c>
      <c r="D26" s="81">
        <v>0</v>
      </c>
      <c r="E26" s="81">
        <v>0</v>
      </c>
      <c r="F26" s="87">
        <v>590.52919708029196</v>
      </c>
      <c r="G26" s="82">
        <v>0</v>
      </c>
      <c r="H26" s="82">
        <v>0</v>
      </c>
      <c r="J26" s="76">
        <f t="shared" si="1"/>
        <v>-4.279197080291965</v>
      </c>
      <c r="K26" s="76">
        <f t="shared" si="2"/>
        <v>0</v>
      </c>
      <c r="L26" s="76">
        <f t="shared" si="3"/>
        <v>0</v>
      </c>
    </row>
    <row r="27" spans="1:12" x14ac:dyDescent="0.25">
      <c r="A27" s="73">
        <v>45292</v>
      </c>
      <c r="B27" s="74" t="str">
        <v>24T1</v>
      </c>
      <c r="C27" s="81">
        <v>586.25</v>
      </c>
      <c r="D27" s="81">
        <v>554.03846153846155</v>
      </c>
      <c r="E27" s="81">
        <v>6.418795620437777</v>
      </c>
      <c r="F27" s="87">
        <v>584.11040145985407</v>
      </c>
      <c r="G27" s="82">
        <v>552.01642335766428</v>
      </c>
      <c r="H27" s="82">
        <v>6.4187956204379564</v>
      </c>
      <c r="J27" s="76">
        <f t="shared" si="1"/>
        <v>2.1395985401459257</v>
      </c>
      <c r="K27" s="76">
        <f t="shared" si="2"/>
        <v>2.0220381807972672</v>
      </c>
      <c r="L27" s="76">
        <f t="shared" si="3"/>
        <v>-1.794120407794253E-13</v>
      </c>
    </row>
    <row r="28" spans="1:12" x14ac:dyDescent="0.25">
      <c r="A28" s="73">
        <v>45383</v>
      </c>
      <c r="B28" s="74" t="str">
        <v>24T2</v>
      </c>
      <c r="C28" s="81">
        <v>586.25</v>
      </c>
      <c r="D28" s="81">
        <v>575.66956765861903</v>
      </c>
      <c r="E28" s="81">
        <v>0</v>
      </c>
      <c r="F28" s="87">
        <v>584.11040145985407</v>
      </c>
      <c r="G28" s="82">
        <v>577.69160583941607</v>
      </c>
      <c r="H28" s="82">
        <v>0</v>
      </c>
      <c r="J28" s="76">
        <f t="shared" si="1"/>
        <v>2.1395985401459257</v>
      </c>
      <c r="K28" s="76">
        <f t="shared" si="2"/>
        <v>-2.0220381807970398</v>
      </c>
      <c r="L28" s="76">
        <f t="shared" si="3"/>
        <v>0</v>
      </c>
    </row>
    <row r="29" spans="1:12" x14ac:dyDescent="0.25">
      <c r="A29" s="73">
        <v>45474</v>
      </c>
      <c r="B29" s="74" t="str">
        <v>24T3</v>
      </c>
      <c r="C29" s="81">
        <v>586.25</v>
      </c>
      <c r="D29" s="81">
        <v>0</v>
      </c>
      <c r="E29" s="81">
        <v>0</v>
      </c>
      <c r="F29" s="87">
        <v>590.52919708029196</v>
      </c>
      <c r="G29" s="82">
        <v>0</v>
      </c>
      <c r="H29" s="82">
        <v>0</v>
      </c>
      <c r="J29" s="76">
        <f t="shared" si="1"/>
        <v>-4.279197080291965</v>
      </c>
      <c r="K29" s="76">
        <f t="shared" si="2"/>
        <v>0</v>
      </c>
      <c r="L29" s="76">
        <f t="shared" si="3"/>
        <v>0</v>
      </c>
    </row>
    <row r="30" spans="1:12" x14ac:dyDescent="0.25">
      <c r="A30" s="73">
        <v>45566</v>
      </c>
      <c r="B30" s="74" t="str">
        <v>24T4</v>
      </c>
      <c r="C30" s="81">
        <v>586.25</v>
      </c>
      <c r="D30" s="81">
        <v>0</v>
      </c>
      <c r="E30" s="81">
        <v>0</v>
      </c>
      <c r="F30" s="87">
        <v>590.52919708029196</v>
      </c>
      <c r="G30" s="82">
        <v>0</v>
      </c>
      <c r="H30" s="82">
        <v>0</v>
      </c>
      <c r="J30" s="76">
        <f t="shared" si="1"/>
        <v>-4.279197080291965</v>
      </c>
      <c r="K30" s="76">
        <f t="shared" si="2"/>
        <v>0</v>
      </c>
      <c r="L30" s="76">
        <f t="shared" si="3"/>
        <v>0</v>
      </c>
    </row>
    <row r="31" spans="1:12" x14ac:dyDescent="0.25">
      <c r="A31" s="73">
        <v>45658</v>
      </c>
      <c r="B31" s="74" t="str">
        <v>25T1</v>
      </c>
      <c r="C31" s="81">
        <v>586.25</v>
      </c>
      <c r="D31" s="81">
        <v>0</v>
      </c>
      <c r="E31" s="81">
        <v>0</v>
      </c>
      <c r="F31" s="87">
        <v>577.69160583941607</v>
      </c>
      <c r="G31" s="82">
        <v>0</v>
      </c>
      <c r="H31" s="82">
        <v>0</v>
      </c>
      <c r="J31" s="76">
        <f t="shared" si="1"/>
        <v>8.55839416058393</v>
      </c>
      <c r="K31" s="76">
        <f t="shared" si="2"/>
        <v>0</v>
      </c>
      <c r="L31" s="76">
        <f t="shared" si="3"/>
        <v>0</v>
      </c>
    </row>
    <row r="32" spans="1:12" x14ac:dyDescent="0.25">
      <c r="A32" s="73">
        <v>45748</v>
      </c>
      <c r="B32" s="74" t="str">
        <v>25T2</v>
      </c>
      <c r="C32" s="81">
        <v>586.25</v>
      </c>
      <c r="D32" s="81">
        <v>0</v>
      </c>
      <c r="E32" s="81">
        <v>0</v>
      </c>
      <c r="F32" s="87">
        <v>584.11040145985407</v>
      </c>
      <c r="G32" s="82">
        <v>0</v>
      </c>
      <c r="H32" s="82">
        <v>0</v>
      </c>
      <c r="J32" s="76">
        <f t="shared" si="1"/>
        <v>2.1395985401459257</v>
      </c>
      <c r="K32" s="76">
        <f t="shared" si="2"/>
        <v>0</v>
      </c>
      <c r="L32" s="76">
        <f t="shared" si="3"/>
        <v>0</v>
      </c>
    </row>
    <row r="33" spans="1:12" x14ac:dyDescent="0.25">
      <c r="A33" s="73">
        <v>45839</v>
      </c>
      <c r="B33" s="74" t="str">
        <v>25T3</v>
      </c>
      <c r="C33" s="81">
        <v>586.25</v>
      </c>
      <c r="D33" s="81">
        <v>0</v>
      </c>
      <c r="E33" s="81">
        <v>0</v>
      </c>
      <c r="F33" s="87">
        <v>590.52919708029196</v>
      </c>
      <c r="G33" s="82">
        <v>0</v>
      </c>
      <c r="H33" s="82">
        <v>0</v>
      </c>
      <c r="J33" s="76">
        <f t="shared" si="1"/>
        <v>-4.279197080291965</v>
      </c>
      <c r="K33" s="76">
        <f t="shared" si="2"/>
        <v>0</v>
      </c>
      <c r="L33" s="76">
        <f t="shared" si="3"/>
        <v>0</v>
      </c>
    </row>
    <row r="34" spans="1:12" x14ac:dyDescent="0.25">
      <c r="A34" s="73">
        <v>45931</v>
      </c>
      <c r="B34" s="74" t="str">
        <v>25T4</v>
      </c>
      <c r="C34" s="81">
        <v>331.35869565217399</v>
      </c>
      <c r="D34" s="81">
        <v>0</v>
      </c>
      <c r="E34" s="81">
        <v>0</v>
      </c>
      <c r="F34" s="87">
        <v>333.77737226277372</v>
      </c>
      <c r="G34" s="82">
        <v>0</v>
      </c>
      <c r="H34" s="82">
        <v>0</v>
      </c>
      <c r="J34" s="76">
        <f t="shared" si="1"/>
        <v>-2.4186766105997322</v>
      </c>
      <c r="K34" s="76">
        <f t="shared" si="2"/>
        <v>0</v>
      </c>
      <c r="L34" s="76">
        <f t="shared" si="3"/>
        <v>0</v>
      </c>
    </row>
    <row r="35" spans="1:12" x14ac:dyDescent="0.25">
      <c r="A35" s="73">
        <v>46023</v>
      </c>
      <c r="B35" s="74" t="str">
        <v>26T1</v>
      </c>
      <c r="C35" s="81">
        <v>0</v>
      </c>
      <c r="D35" s="81">
        <v>0</v>
      </c>
      <c r="E35" s="81">
        <v>0</v>
      </c>
      <c r="F35" s="87">
        <v>0</v>
      </c>
      <c r="G35" s="82">
        <v>0</v>
      </c>
      <c r="H35" s="82">
        <v>0</v>
      </c>
    </row>
    <row r="36" spans="1:12" x14ac:dyDescent="0.25">
      <c r="A36" s="73">
        <v>46113</v>
      </c>
      <c r="B36" s="74" t="str">
        <v>26T2</v>
      </c>
      <c r="C36" s="81">
        <v>0</v>
      </c>
      <c r="D36" s="81">
        <v>0</v>
      </c>
      <c r="E36" s="81">
        <v>0</v>
      </c>
      <c r="F36" s="87">
        <v>0</v>
      </c>
      <c r="G36" s="82">
        <v>0</v>
      </c>
      <c r="H36" s="82">
        <v>0</v>
      </c>
    </row>
    <row r="37" spans="1:12" x14ac:dyDescent="0.25">
      <c r="A37" s="73">
        <v>46204</v>
      </c>
      <c r="B37" s="74" t="str">
        <v>26T3</v>
      </c>
      <c r="C37" s="81">
        <v>0</v>
      </c>
      <c r="D37" s="81">
        <v>0</v>
      </c>
      <c r="E37" s="81">
        <v>0</v>
      </c>
      <c r="F37" s="87">
        <v>0</v>
      </c>
      <c r="G37" s="82">
        <v>0</v>
      </c>
      <c r="H37" s="82">
        <v>0</v>
      </c>
    </row>
    <row r="38" spans="1:12" x14ac:dyDescent="0.25">
      <c r="A38" s="73">
        <v>46296</v>
      </c>
      <c r="B38" s="74" t="str">
        <v>26T4</v>
      </c>
      <c r="C38" s="81">
        <v>0</v>
      </c>
      <c r="D38" s="81">
        <v>0</v>
      </c>
      <c r="E38" s="81">
        <v>0</v>
      </c>
      <c r="F38" s="87">
        <v>0</v>
      </c>
      <c r="G38" s="82">
        <v>0</v>
      </c>
      <c r="H38" s="82">
        <v>0</v>
      </c>
    </row>
    <row r="39" spans="1:12" x14ac:dyDescent="0.25">
      <c r="A39" s="73">
        <v>46388</v>
      </c>
      <c r="B39" s="74" t="str">
        <v>27T1</v>
      </c>
      <c r="C39" s="81">
        <v>0</v>
      </c>
      <c r="D39" s="81">
        <v>0</v>
      </c>
      <c r="E39" s="81">
        <v>0</v>
      </c>
      <c r="F39" s="87">
        <v>0</v>
      </c>
      <c r="G39" s="82">
        <v>0</v>
      </c>
      <c r="H39" s="82">
        <v>0</v>
      </c>
    </row>
    <row r="40" spans="1:12" x14ac:dyDescent="0.25">
      <c r="A40" s="73">
        <v>46478</v>
      </c>
      <c r="B40" s="74" t="str">
        <v>27T2</v>
      </c>
      <c r="C40" s="81">
        <v>0</v>
      </c>
      <c r="D40" s="81">
        <v>0</v>
      </c>
      <c r="E40" s="81">
        <v>0</v>
      </c>
      <c r="F40" s="87">
        <v>0</v>
      </c>
      <c r="G40" s="82">
        <v>0</v>
      </c>
      <c r="H40" s="82">
        <v>0</v>
      </c>
    </row>
    <row r="41" spans="1:12" x14ac:dyDescent="0.25">
      <c r="A41" s="73">
        <v>46569</v>
      </c>
      <c r="B41" s="74" t="str">
        <v>27T3</v>
      </c>
      <c r="C41" s="81">
        <v>0</v>
      </c>
      <c r="D41" s="81">
        <v>0</v>
      </c>
      <c r="E41" s="81">
        <v>0</v>
      </c>
      <c r="F41" s="87">
        <v>0</v>
      </c>
      <c r="G41" s="82">
        <v>0</v>
      </c>
      <c r="H41" s="82">
        <v>0</v>
      </c>
    </row>
    <row r="42" spans="1:12" x14ac:dyDescent="0.25">
      <c r="A42" s="73">
        <v>46661</v>
      </c>
      <c r="B42" s="74" t="str">
        <v>27T4</v>
      </c>
      <c r="C42" s="81">
        <v>0</v>
      </c>
      <c r="D42" s="81">
        <v>0</v>
      </c>
      <c r="E42" s="81">
        <v>0</v>
      </c>
      <c r="F42" s="87">
        <v>0</v>
      </c>
      <c r="G42" s="82">
        <v>0</v>
      </c>
      <c r="H42" s="82">
        <v>0</v>
      </c>
    </row>
  </sheetData>
  <conditionalFormatting sqref="A19:H42">
    <cfRule type="expression" dxfId="0" priority="1">
      <formula>RIGHT($B19,1)="1"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DBBB9-7957-4D79-A999-5A660EB7E130}">
  <sheetPr codeName="Blad2"/>
  <dimension ref="A1"/>
  <sheetViews>
    <sheetView workbookViewId="0"/>
  </sheetViews>
  <sheetFormatPr defaultColWidth="11.42578125" defaultRowHeight="15" x14ac:dyDescent="0.25"/>
  <sheetData>
    <row r="1" spans="1:1" x14ac:dyDescent="0.25">
      <c r="A1">
        <v>2024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Amortissements</vt:lpstr>
      <vt:lpstr>Transpose</vt:lpstr>
      <vt:lpstr>Année comptable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BSA</cp:lastModifiedBy>
  <cp:lastPrinted>2024-02-06T20:57:01Z</cp:lastPrinted>
  <dcterms:created xsi:type="dcterms:W3CDTF">2015-06-05T18:19:34Z</dcterms:created>
  <dcterms:modified xsi:type="dcterms:W3CDTF">2024-02-06T23:47:35Z</dcterms:modified>
</cp:coreProperties>
</file>