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93CB6A1-DAE4-40FF-997E-8D93CB7F2C56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Amortissements" sheetId="1" r:id="rId1"/>
    <sheet name="Re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  <c r="J6" i="1"/>
  <c r="J7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O3" i="1"/>
  <c r="H6" i="1"/>
  <c r="H7" i="1"/>
  <c r="H5" i="1"/>
  <c r="G7" i="1"/>
  <c r="G6" i="1"/>
  <c r="G5" i="1"/>
  <c r="L5" i="1" l="1"/>
  <c r="W5" i="1" s="1"/>
  <c r="B2" i="2" s="1"/>
  <c r="L7" i="1"/>
  <c r="AW7" i="1" s="1"/>
  <c r="K6" i="1"/>
  <c r="K5" i="1"/>
  <c r="K7" i="1"/>
  <c r="L6" i="1"/>
  <c r="AZ6" i="1" s="1"/>
  <c r="AG5" i="1" l="1"/>
  <c r="AX5" i="1"/>
  <c r="Z7" i="1"/>
  <c r="D5" i="2" s="1"/>
  <c r="AM7" i="1"/>
  <c r="Q5" i="1"/>
  <c r="R5" i="1"/>
  <c r="AA5" i="1"/>
  <c r="AV7" i="1"/>
  <c r="AW5" i="1"/>
  <c r="AL7" i="1"/>
  <c r="AH5" i="1"/>
  <c r="AM5" i="1"/>
  <c r="BA7" i="1"/>
  <c r="AR7" i="1"/>
  <c r="AK5" i="1"/>
  <c r="AK7" i="1"/>
  <c r="AT5" i="1"/>
  <c r="AQ5" i="1"/>
  <c r="AF7" i="1"/>
  <c r="W7" i="1"/>
  <c r="D2" i="2" s="1"/>
  <c r="R7" i="1"/>
  <c r="P7" i="1"/>
  <c r="BA5" i="1"/>
  <c r="U5" i="1"/>
  <c r="U7" i="1"/>
  <c r="AD5" i="1"/>
  <c r="AM6" i="1"/>
  <c r="AD6" i="1"/>
  <c r="AR6" i="1"/>
  <c r="AY6" i="1"/>
  <c r="S6" i="1"/>
  <c r="AI7" i="1"/>
  <c r="AP6" i="1"/>
  <c r="AH7" i="1"/>
  <c r="AF6" i="1"/>
  <c r="Y7" i="1"/>
  <c r="D4" i="2" s="1"/>
  <c r="AO7" i="1"/>
  <c r="AR5" i="1"/>
  <c r="AF5" i="1"/>
  <c r="T5" i="1"/>
  <c r="AV5" i="1"/>
  <c r="AJ5" i="1"/>
  <c r="X5" i="1"/>
  <c r="B3" i="2" s="1"/>
  <c r="AZ5" i="1"/>
  <c r="AN5" i="1"/>
  <c r="AB5" i="1"/>
  <c r="P5" i="1"/>
  <c r="AN7" i="1"/>
  <c r="X7" i="1"/>
  <c r="D3" i="2" s="1"/>
  <c r="AU6" i="1"/>
  <c r="AE6" i="1"/>
  <c r="O6" i="1"/>
  <c r="AU7" i="1"/>
  <c r="AE7" i="1"/>
  <c r="O7" i="1"/>
  <c r="AL6" i="1"/>
  <c r="V6" i="1"/>
  <c r="AS5" i="1"/>
  <c r="AC5" i="1"/>
  <c r="AX7" i="1"/>
  <c r="AD7" i="1"/>
  <c r="T6" i="1"/>
  <c r="AJ6" i="1"/>
  <c r="AC7" i="1"/>
  <c r="AS7" i="1"/>
  <c r="V5" i="1"/>
  <c r="AL5" i="1"/>
  <c r="O5" i="1"/>
  <c r="AE5" i="1"/>
  <c r="AU5" i="1"/>
  <c r="AC6" i="1"/>
  <c r="Q6" i="1"/>
  <c r="BA6" i="1"/>
  <c r="AS6" i="1"/>
  <c r="AG6" i="1"/>
  <c r="U6" i="1"/>
  <c r="AW6" i="1"/>
  <c r="AO6" i="1"/>
  <c r="AK6" i="1"/>
  <c r="Y6" i="1"/>
  <c r="C4" i="2" s="1"/>
  <c r="W6" i="1"/>
  <c r="C2" i="2" s="1"/>
  <c r="AT6" i="1"/>
  <c r="AB6" i="1"/>
  <c r="AB7" i="1"/>
  <c r="AI6" i="1"/>
  <c r="AY7" i="1"/>
  <c r="S7" i="1"/>
  <c r="Z6" i="1"/>
  <c r="C5" i="2" s="1"/>
  <c r="P6" i="1"/>
  <c r="AV6" i="1"/>
  <c r="AZ7" i="1"/>
  <c r="AJ7" i="1"/>
  <c r="T7" i="1"/>
  <c r="AQ6" i="1"/>
  <c r="AA6" i="1"/>
  <c r="AT7" i="1"/>
  <c r="AQ7" i="1"/>
  <c r="AA7" i="1"/>
  <c r="AX6" i="1"/>
  <c r="AH6" i="1"/>
  <c r="R6" i="1"/>
  <c r="AO5" i="1"/>
  <c r="Y5" i="1"/>
  <c r="B4" i="2" s="1"/>
  <c r="AP7" i="1"/>
  <c r="V7" i="1"/>
  <c r="X6" i="1"/>
  <c r="C3" i="2" s="1"/>
  <c r="AN6" i="1"/>
  <c r="Q7" i="1"/>
  <c r="AG7" i="1"/>
  <c r="Z5" i="1"/>
  <c r="B5" i="2" s="1"/>
  <c r="AP5" i="1"/>
  <c r="S5" i="1"/>
  <c r="AI5" i="1"/>
  <c r="AY5" i="1"/>
  <c r="O2" i="1" l="1"/>
  <c r="M5" i="1"/>
  <c r="M6" i="1"/>
  <c r="M7" i="1"/>
  <c r="N7" i="1" s="1"/>
  <c r="N5" i="1"/>
  <c r="N6" i="1"/>
  <c r="P2" i="1"/>
  <c r="Q2" i="1"/>
  <c r="R2" i="1"/>
  <c r="S2" i="1" l="1"/>
  <c r="T2" i="1" l="1"/>
  <c r="U2" i="1" l="1"/>
  <c r="V2" i="1" l="1"/>
  <c r="W2" i="1" l="1"/>
  <c r="X2" i="1" l="1"/>
  <c r="Y2" i="1" l="1"/>
  <c r="Z2" i="1" l="1"/>
  <c r="AA2" i="1" l="1"/>
  <c r="AB2" i="1" l="1"/>
  <c r="AC2" i="1" l="1"/>
  <c r="AD2" i="1" l="1"/>
  <c r="AE2" i="1" l="1"/>
  <c r="AF2" i="1" l="1"/>
  <c r="AG2" i="1" l="1"/>
  <c r="AH2" i="1" l="1"/>
  <c r="AI2" i="1" l="1"/>
  <c r="AJ2" i="1" l="1"/>
  <c r="AK2" i="1" l="1"/>
  <c r="AL2" i="1" l="1"/>
  <c r="AM2" i="1" l="1"/>
  <c r="AN2" i="1" l="1"/>
  <c r="AO2" i="1" l="1"/>
  <c r="AP2" i="1"/>
  <c r="AQ2" i="1" l="1"/>
  <c r="AR2" i="1" l="1"/>
  <c r="AS2" i="1" l="1"/>
  <c r="AT2" i="1"/>
  <c r="AU2" i="1" l="1"/>
  <c r="AV2" i="1"/>
  <c r="AW2" i="1" l="1"/>
  <c r="AX2" i="1" l="1"/>
  <c r="AY2" i="1" l="1"/>
  <c r="AZ2" i="1" l="1"/>
  <c r="BA2" i="1" l="1"/>
</calcChain>
</file>

<file path=xl/sharedStrings.xml><?xml version="1.0" encoding="utf-8"?>
<sst xmlns="http://schemas.openxmlformats.org/spreadsheetml/2006/main" count="66" uniqueCount="58">
  <si>
    <t>AMORTISSEMENTS</t>
  </si>
  <si>
    <t>Véhicule / Machine:</t>
  </si>
  <si>
    <t>Date achat:</t>
  </si>
  <si>
    <t>Durée (mois):</t>
  </si>
  <si>
    <t>Prix HTVA:</t>
  </si>
  <si>
    <t>% util. pro.:</t>
  </si>
  <si>
    <t>% déduct.:</t>
  </si>
  <si>
    <t>Amort. Total :</t>
  </si>
  <si>
    <t>Date de fin présumée :</t>
  </si>
  <si>
    <t>Date revente :</t>
  </si>
  <si>
    <t>Voiture unetelle</t>
  </si>
  <si>
    <t>valeur Résid</t>
  </si>
  <si>
    <t>TVA21%</t>
  </si>
  <si>
    <t>par jour</t>
  </si>
  <si>
    <t>Lada</t>
  </si>
  <si>
    <t>Bentley</t>
  </si>
  <si>
    <t>22-T1</t>
  </si>
  <si>
    <t>22-T2</t>
  </si>
  <si>
    <t>22-T3</t>
  </si>
  <si>
    <t>22-T4</t>
  </si>
  <si>
    <t>23-T1</t>
  </si>
  <si>
    <t>23-T2</t>
  </si>
  <si>
    <t>23-T3</t>
  </si>
  <si>
    <t>23-T4</t>
  </si>
  <si>
    <t>24-T1</t>
  </si>
  <si>
    <t>24-T2</t>
  </si>
  <si>
    <t>24-T3</t>
  </si>
  <si>
    <t>24-T4</t>
  </si>
  <si>
    <t>25-T1</t>
  </si>
  <si>
    <t>25-T2</t>
  </si>
  <si>
    <t>25-T3</t>
  </si>
  <si>
    <t>25-T4</t>
  </si>
  <si>
    <t>26-T1</t>
  </si>
  <si>
    <t>26-T2</t>
  </si>
  <si>
    <t>26-T3</t>
  </si>
  <si>
    <t>26-T4</t>
  </si>
  <si>
    <t>27-T1</t>
  </si>
  <si>
    <t>27-T2</t>
  </si>
  <si>
    <t>27-T3</t>
  </si>
  <si>
    <t>27-T4</t>
  </si>
  <si>
    <t>28-T1</t>
  </si>
  <si>
    <t>28-T2</t>
  </si>
  <si>
    <t>28-T3</t>
  </si>
  <si>
    <t>28-T4</t>
  </si>
  <si>
    <t>29-T1</t>
  </si>
  <si>
    <t>29-T2</t>
  </si>
  <si>
    <t>29-T3</t>
  </si>
  <si>
    <t>29-T4</t>
  </si>
  <si>
    <t>30-T1</t>
  </si>
  <si>
    <t>30-T2</t>
  </si>
  <si>
    <t>30-T3</t>
  </si>
  <si>
    <t>30-T4</t>
  </si>
  <si>
    <t>31-T1</t>
  </si>
  <si>
    <t>31-T2</t>
  </si>
  <si>
    <t>31-T3</t>
  </si>
  <si>
    <t>somme</t>
  </si>
  <si>
    <t>date</t>
  </si>
  <si>
    <t>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</si>
</sst>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/mm/yyyy;@"/>
    <numFmt numFmtId="165" formatCode="0.0%"/>
    <numFmt numFmtId="168" formatCode="#,##0.00\ &quot;€&quot;"/>
    <numFmt numFmtId="169" formatCode="dd\-mm\-yy;@"/>
    <numFmt numFmtId="170" formatCode="#,##0.00\ &quot;€&quot;;[Red]\-#,##0.00\ &quot;€&quot;;"/>
  </numFmts>
  <fonts count="7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 style="thick">
        <color theme="1"/>
      </left>
      <right style="thin">
        <color rgb="FF0070C0"/>
      </right>
      <top style="thick">
        <color theme="1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ck">
        <color theme="1"/>
      </top>
      <bottom style="thin">
        <color rgb="FF0070C0"/>
      </bottom>
      <diagonal/>
    </border>
    <border>
      <left style="thick">
        <color theme="1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ck">
        <color theme="1"/>
      </top>
      <bottom style="thin">
        <color rgb="FF0070C0"/>
      </bottom>
      <diagonal/>
    </border>
    <border>
      <left/>
      <right style="thin">
        <color rgb="FF0070C0"/>
      </right>
      <top style="thick">
        <color theme="1"/>
      </top>
      <bottom style="thin">
        <color rgb="FF0070C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Fill="1"/>
    <xf numFmtId="14" fontId="2" fillId="0" borderId="0" xfId="0" applyNumberFormat="1" applyFont="1" applyFill="1"/>
    <xf numFmtId="44" fontId="2" fillId="0" borderId="0" xfId="0" applyNumberFormat="1" applyFont="1" applyFill="1"/>
    <xf numFmtId="168" fontId="2" fillId="0" borderId="0" xfId="0" applyNumberFormat="1" applyFont="1" applyFill="1"/>
    <xf numFmtId="170" fontId="2" fillId="0" borderId="0" xfId="0" applyNumberFormat="1" applyFont="1" applyFill="1"/>
    <xf numFmtId="0" fontId="2" fillId="0" borderId="0" xfId="0" applyFont="1" applyFill="1" applyBorder="1" applyProtection="1">
      <protection locked="0"/>
    </xf>
    <xf numFmtId="164" fontId="2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44" fontId="2" fillId="0" borderId="0" xfId="0" applyNumberFormat="1" applyFont="1" applyFill="1" applyBorder="1" applyAlignment="1" applyProtection="1">
      <alignment horizontal="right" vertical="center"/>
      <protection locked="0"/>
    </xf>
    <xf numFmtId="9" fontId="2" fillId="0" borderId="0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Fill="1" applyBorder="1" applyAlignment="1" applyProtection="1">
      <alignment horizontal="center" vertical="center"/>
      <protection locked="0"/>
    </xf>
    <xf numFmtId="4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170" fontId="2" fillId="0" borderId="4" xfId="0" applyNumberFormat="1" applyFont="1" applyFill="1" applyBorder="1"/>
    <xf numFmtId="170" fontId="2" fillId="0" borderId="6" xfId="0" applyNumberFormat="1" applyFont="1" applyFill="1" applyBorder="1"/>
    <xf numFmtId="170" fontId="2" fillId="0" borderId="9" xfId="0" applyNumberFormat="1" applyFont="1" applyFill="1" applyBorder="1"/>
    <xf numFmtId="0" fontId="2" fillId="0" borderId="0" xfId="0" applyFont="1" applyFill="1" applyAlignment="1">
      <alignment shrinkToFit="1"/>
    </xf>
    <xf numFmtId="170" fontId="4" fillId="0" borderId="0" xfId="0" applyNumberFormat="1" applyFont="1" applyFill="1" applyAlignment="1">
      <alignment shrinkToFit="1"/>
    </xf>
    <xf numFmtId="169" fontId="4" fillId="0" borderId="0" xfId="0" applyNumberFormat="1" applyFont="1" applyFill="1" applyAlignment="1">
      <alignment shrinkToFit="1"/>
    </xf>
    <xf numFmtId="0" fontId="0" fillId="0" borderId="0" xfId="0" applyBorder="1"/>
    <xf numFmtId="0" fontId="2" fillId="0" borderId="0" xfId="0" applyFont="1" applyFill="1" applyBorder="1" applyAlignment="1">
      <alignment shrinkToFit="1"/>
    </xf>
    <xf numFmtId="0" fontId="2" fillId="0" borderId="0" xfId="0" applyFont="1" applyFill="1" applyBorder="1"/>
    <xf numFmtId="0" fontId="4" fillId="0" borderId="4" xfId="0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Protection="1">
      <protection locked="0"/>
    </xf>
    <xf numFmtId="164" fontId="4" fillId="0" borderId="4" xfId="0" applyNumberFormat="1" applyFont="1" applyFill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44" fontId="4" fillId="0" borderId="4" xfId="0" applyNumberFormat="1" applyFont="1" applyFill="1" applyBorder="1" applyAlignment="1" applyProtection="1">
      <alignment horizontal="right" vertical="center"/>
      <protection locked="0"/>
    </xf>
    <xf numFmtId="9" fontId="4" fillId="0" borderId="4" xfId="0" applyNumberFormat="1" applyFont="1" applyFill="1" applyBorder="1" applyAlignment="1" applyProtection="1">
      <alignment horizontal="center" vertical="center"/>
      <protection locked="0"/>
    </xf>
    <xf numFmtId="165" fontId="4" fillId="0" borderId="4" xfId="0" applyNumberFormat="1" applyFont="1" applyFill="1" applyBorder="1" applyAlignment="1" applyProtection="1">
      <alignment horizontal="center" vertical="center"/>
      <protection locked="0"/>
    </xf>
    <xf numFmtId="44" fontId="4" fillId="0" borderId="4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vertical="center"/>
    </xf>
    <xf numFmtId="14" fontId="4" fillId="0" borderId="4" xfId="0" applyNumberFormat="1" applyFont="1" applyFill="1" applyBorder="1"/>
    <xf numFmtId="44" fontId="4" fillId="0" borderId="4" xfId="0" applyNumberFormat="1" applyFont="1" applyFill="1" applyBorder="1"/>
    <xf numFmtId="168" fontId="4" fillId="0" borderId="4" xfId="0" applyNumberFormat="1" applyFont="1" applyFill="1" applyBorder="1"/>
    <xf numFmtId="170" fontId="4" fillId="0" borderId="6" xfId="0" applyNumberFormat="1" applyFont="1" applyFill="1" applyBorder="1"/>
    <xf numFmtId="0" fontId="4" fillId="0" borderId="0" xfId="0" applyFont="1" applyFill="1" applyAlignment="1">
      <alignment shrinkToFi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170" fontId="2" fillId="0" borderId="5" xfId="0" applyNumberFormat="1" applyFont="1" applyFill="1" applyBorder="1"/>
    <xf numFmtId="170" fontId="4" fillId="3" borderId="0" xfId="0" applyNumberFormat="1" applyFont="1" applyFill="1" applyAlignment="1">
      <alignment shrinkToFit="1"/>
    </xf>
    <xf numFmtId="0" fontId="5" fillId="0" borderId="0" xfId="0" applyFont="1" applyFill="1" applyBorder="1"/>
    <xf numFmtId="0" fontId="6" fillId="4" borderId="0" xfId="0" applyFont="1" applyFill="1" applyBorder="1"/>
    <xf numFmtId="0" fontId="6" fillId="0" borderId="0" xfId="0" applyFont="1" applyBorder="1"/>
    <xf numFmtId="0" fontId="5" fillId="0" borderId="0" xfId="0" applyFont="1" applyBorder="1"/>
    <xf numFmtId="8" fontId="5" fillId="0" borderId="0" xfId="0" applyNumberFormat="1" applyFont="1" applyBorder="1"/>
  </cellXfs>
  <cellStyles count="1">
    <cellStyle name="Standaard" xfId="0" builtinId="0"/>
  </cellStyles>
  <dxfs count="60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rgb="FF0070C0"/>
        </top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indexed="65"/>
        </patternFill>
      </fill>
      <border diagonalUp="0" diagonalDown="0">
        <left/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indexed="65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  <vertical style="thin">
          <color rgb="FF0070C0"/>
        </vertical>
        <horizontal style="thin">
          <color rgb="FF0070C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8" formatCode="#,##0.00\ &quot;€&quot;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rgb="FF0070C0"/>
        </top>
        <bottom style="thin">
          <color rgb="FF007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rgb="FF0070C0"/>
        </top>
        <bottom style="thin">
          <color rgb="FF007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d/mm/yy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rgb="FF0070C0"/>
        </top>
        <bottom style="thin">
          <color rgb="FF007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70C0"/>
        </top>
        <bottom style="thin">
          <color rgb="FF007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5" formatCode="0.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70C0"/>
        </top>
        <bottom style="thin">
          <color rgb="FF0070C0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70C0"/>
        </top>
        <bottom style="thin">
          <color rgb="FF0070C0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rgb="FF0070C0"/>
        </top>
        <bottom style="thin">
          <color rgb="FF0070C0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rgb="FF0070C0"/>
        </top>
        <bottom style="thin">
          <color rgb="FF0070C0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d/mm/yy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rgb="FF0070C0"/>
        </top>
        <bottom style="thin">
          <color rgb="FF0070C0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rgb="FF0070C0"/>
        </top>
        <bottom style="thin">
          <color rgb="FF0070C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ck">
          <color theme="1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70" formatCode="#,##0.00\ &quot;€&quot;;[Red]\-#,##0.00\ &quot;€&quot;;"/>
      <fill>
        <patternFill patternType="none">
          <fgColor indexed="64"/>
          <bgColor auto="1"/>
        </patternFill>
      </fill>
    </dxf>
    <dxf>
      <border outline="0">
        <left style="thin">
          <color rgb="FF0070C0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2E0F04-8A1A-4C6E-AA38-CB54E6F2D9EA}" name="Tabel1" displayName="Tabel1" ref="A4:BA7" totalsRowShown="0" headerRowDxfId="7" dataDxfId="58" tableBorderDxfId="59">
  <tableColumns count="53">
    <tableColumn id="1" xr3:uid="{A3C82A36-BC03-47F8-9C40-CC3950FE33A4}" name="Véhicule / Machine:" dataDxfId="19"/>
    <tableColumn id="2" xr3:uid="{6DF6D306-2A48-43F7-B7A4-7CE3979D4F07}" name="Date achat:" dataDxfId="18"/>
    <tableColumn id="3" xr3:uid="{739A5548-DE23-4E33-B6F1-DE03D4F2EC21}" name="Durée (mois):" dataDxfId="17"/>
    <tableColumn id="4" xr3:uid="{6C4D088C-6032-4805-8635-6B6F24EE341D}" name="Prix HTVA:" dataDxfId="16"/>
    <tableColumn id="5" xr3:uid="{6ADB0C5C-616C-4232-994B-C58A09EAF14B}" name="% util. pro.:" dataDxfId="15"/>
    <tableColumn id="6" xr3:uid="{D75208C8-B3B1-4B6A-9321-399BB8F35797}" name="% déduct.:" dataDxfId="14"/>
    <tableColumn id="7" xr3:uid="{0B62F472-517E-4809-BE43-7620D9529384}" name="Amort. Total :" dataDxfId="13">
      <calculatedColumnFormula>IF(D5,D5*E5*F5,"")</calculatedColumnFormula>
    </tableColumn>
    <tableColumn id="8" xr3:uid="{59AF8D54-995E-452C-B5D8-2B901915C1E4}" name="Date de fin présumée :" dataDxfId="12"/>
    <tableColumn id="9" xr3:uid="{D661BED4-B1E4-4715-9ABA-9F1636785E65}" name="Date revente :" dataDxfId="11"/>
    <tableColumn id="10" xr3:uid="{06C1B592-F894-48CC-A6D8-0F386A144F83}" name="valeur Résid" dataDxfId="3">
      <calculatedColumnFormula>IF(MEDIAN(B5,H5,I5)=I5,(H5-I5-1)/(H5-B5)*G5,0)</calculatedColumnFormula>
    </tableColumn>
    <tableColumn id="11" xr3:uid="{D79593BF-D168-4F71-81C0-20ACAFB2E76A}" name="TVA21%" dataDxfId="10"/>
    <tableColumn id="12" xr3:uid="{87E5E9A3-E835-46F7-AA51-80A89CBF6E3C}" name="par jour" dataDxfId="8"/>
    <tableColumn id="53" xr3:uid="{AA0442C9-90AD-4B6B-9FEF-1B2E1781B123}" name="somme" dataDxfId="5">
      <calculatedColumnFormula>SUM(Tabel1[[#This Row],[22-T1]:[31-T3]])</calculatedColumnFormula>
    </tableColumn>
    <tableColumn id="54" xr3:uid="{A4CA4759-789B-48B4-8037-049C32A802B4}" name="delta" dataDxfId="4">
      <calculatedColumnFormula>+Tabel1[[#This Row],[Amort. Total :]]-Tabel1[[#This Row],[valeur Résid]]-Tabel1[[#This Row],[somme]]</calculatedColumnFormula>
    </tableColumn>
    <tableColumn id="13" xr3:uid="{A7CF1CEC-141D-4BB4-A21F-57F31693714F}" name="22-T1" dataDxfId="9">
      <calculatedColumnFormula>TRUNC(MAX(0,MIN(EOMONTH(O$3,2),$I5,$H5)+1-MAX(O$3,$B5))*$L5,2)</calculatedColumnFormula>
    </tableColumn>
    <tableColumn id="14" xr3:uid="{F7FBC399-525D-4575-B2D4-972D977E0A1E}" name="22-T2" dataDxfId="57">
      <calculatedColumnFormula>TRUNC(MAX(0,MIN(EOMONTH(P$3,2),$I5,$H5)+1-MAX(P$3,$B5))*$L5,2)</calculatedColumnFormula>
    </tableColumn>
    <tableColumn id="15" xr3:uid="{53A254BC-F38D-4051-9124-58737111A27D}" name="22-T3" dataDxfId="56">
      <calculatedColumnFormula>TRUNC(MAX(0,MIN(EOMONTH(Q$3,2),$I5,$H5)+1-MAX(Q$3,$B5))*$L5,2)</calculatedColumnFormula>
    </tableColumn>
    <tableColumn id="16" xr3:uid="{F4865CEA-8F59-40FC-B4B9-556AC1DA6587}" name="22-T4" dataDxfId="55">
      <calculatedColumnFormula>TRUNC(MAX(0,MIN(EOMONTH(R$3,2),$I5,$H5)+1-MAX(R$3,$B5))*$L5,2)</calculatedColumnFormula>
    </tableColumn>
    <tableColumn id="17" xr3:uid="{364F4F4E-AF9C-4864-BF30-5BBC84BF4C8D}" name="23-T1" dataDxfId="54">
      <calculatedColumnFormula>TRUNC(MAX(0,MIN(EOMONTH(S$3,2),$I5,$H5)+1-MAX(S$3,$B5))*$L5,2)</calculatedColumnFormula>
    </tableColumn>
    <tableColumn id="18" xr3:uid="{4825E85E-14A2-4294-9C9D-55D2B01F2EC4}" name="23-T2" dataDxfId="53">
      <calculatedColumnFormula>TRUNC(MAX(0,MIN(EOMONTH(T$3,2),$I5,$H5)+1-MAX(T$3,$B5))*$L5,2)</calculatedColumnFormula>
    </tableColumn>
    <tableColumn id="19" xr3:uid="{3FAB23BF-AC99-4C46-9A1B-B207C1CB4CBE}" name="23-T3" dataDxfId="52">
      <calculatedColumnFormula>TRUNC(MAX(0,MIN(EOMONTH(U$3,2),$I5,$H5)+1-MAX(U$3,$B5))*$L5,2)</calculatedColumnFormula>
    </tableColumn>
    <tableColumn id="20" xr3:uid="{44DBDC10-E7D4-4398-B770-C8D255B3AF7B}" name="23-T4" dataDxfId="51">
      <calculatedColumnFormula>TRUNC(MAX(0,MIN(EOMONTH(V$3,2),$I5,$H5)+1-MAX(V$3,$B5))*$L5,2)</calculatedColumnFormula>
    </tableColumn>
    <tableColumn id="21" xr3:uid="{76D22984-F8DC-4905-812D-AE33D0DE4FFC}" name="24-T1" dataDxfId="50">
      <calculatedColumnFormula>TRUNC(MAX(0,MIN(EOMONTH(W$3,2),$I5,$H5)+1-MAX(W$3,$B5))*$L5,2)</calculatedColumnFormula>
    </tableColumn>
    <tableColumn id="22" xr3:uid="{E4429D6F-27A8-403B-99D0-F2FBD7075E48}" name="24-T2" dataDxfId="49">
      <calculatedColumnFormula>TRUNC(MAX(0,MIN(EOMONTH(X$3,2),$I5,$H5)+1-MAX(X$3,$B5))*$L5,2)</calculatedColumnFormula>
    </tableColumn>
    <tableColumn id="23" xr3:uid="{4AF38F0E-CC19-4774-9075-EBED11ABDFD1}" name="24-T3" dataDxfId="48">
      <calculatedColumnFormula>TRUNC(MAX(0,MIN(EOMONTH(Y$3,2),$I5,$H5)+1-MAX(Y$3,$B5))*$L5,2)</calculatedColumnFormula>
    </tableColumn>
    <tableColumn id="24" xr3:uid="{954B6AFE-4068-40CE-90D4-392D37904468}" name="24-T4" dataDxfId="47">
      <calculatedColumnFormula>TRUNC(MAX(0,MIN(EOMONTH(Z$3,2),$I5,$H5)+1-MAX(Z$3,$B5))*$L5,2)</calculatedColumnFormula>
    </tableColumn>
    <tableColumn id="25" xr3:uid="{4FB9A512-BDB7-4694-8F43-9D5B094B70F1}" name="25-T1" dataDxfId="46">
      <calculatedColumnFormula>TRUNC(MAX(0,MIN(EOMONTH(AA$3,2),$I5,$H5)+1-MAX(AA$3,$B5))*$L5,2)</calculatedColumnFormula>
    </tableColumn>
    <tableColumn id="26" xr3:uid="{662C3F13-9EA3-4A7D-8044-7B1C1681B4A8}" name="25-T2" dataDxfId="45">
      <calculatedColumnFormula>TRUNC(MAX(0,MIN(EOMONTH(AB$3,2),$I5,$H5)+1-MAX(AB$3,$B5))*$L5,2)</calculatedColumnFormula>
    </tableColumn>
    <tableColumn id="27" xr3:uid="{116FDB7D-5D93-4F6F-B3D3-E895F070753A}" name="25-T3" dataDxfId="44">
      <calculatedColumnFormula>TRUNC(MAX(0,MIN(EOMONTH(AC$3,2),$I5,$H5)+1-MAX(AC$3,$B5))*$L5,2)</calculatedColumnFormula>
    </tableColumn>
    <tableColumn id="28" xr3:uid="{C2C178AC-215F-4B13-850E-EDDF9CC2D24F}" name="25-T4" dataDxfId="43">
      <calculatedColumnFormula>TRUNC(MAX(0,MIN(EOMONTH(AD$3,2),$I5,$H5)+1-MAX(AD$3,$B5))*$L5,2)</calculatedColumnFormula>
    </tableColumn>
    <tableColumn id="29" xr3:uid="{56DB2EF8-45ED-4098-B2E8-E7F7BE4EBDEB}" name="26-T1" dataDxfId="42">
      <calculatedColumnFormula>TRUNC(MAX(0,MIN(EOMONTH(AE$3,2),$I5,$H5)+1-MAX(AE$3,$B5))*$L5,2)</calculatedColumnFormula>
    </tableColumn>
    <tableColumn id="30" xr3:uid="{1647A3A9-780A-40C3-B53D-B72F6C4822DC}" name="26-T2" dataDxfId="41">
      <calculatedColumnFormula>TRUNC(MAX(0,MIN(EOMONTH(AF$3,2),$I5,$H5)+1-MAX(AF$3,$B5))*$L5,2)</calculatedColumnFormula>
    </tableColumn>
    <tableColumn id="31" xr3:uid="{4275839F-8102-4F38-95C5-D454CE0E6FE1}" name="26-T3" dataDxfId="40">
      <calculatedColumnFormula>TRUNC(MAX(0,MIN(EOMONTH(AG$3,2),$I5,$H5)+1-MAX(AG$3,$B5))*$L5,2)</calculatedColumnFormula>
    </tableColumn>
    <tableColumn id="32" xr3:uid="{13E99196-AB68-4793-BD15-21F96281ED4F}" name="26-T4" dataDxfId="39">
      <calculatedColumnFormula>TRUNC(MAX(0,MIN(EOMONTH(AH$3,2),$I5,$H5)+1-MAX(AH$3,$B5))*$L5,2)</calculatedColumnFormula>
    </tableColumn>
    <tableColumn id="33" xr3:uid="{FB52124A-E686-4CEE-905A-990BA0B919B7}" name="27-T1" dataDxfId="38">
      <calculatedColumnFormula>TRUNC(MAX(0,MIN(EOMONTH(AI$3,2),$I5,$H5)+1-MAX(AI$3,$B5))*$L5,2)</calculatedColumnFormula>
    </tableColumn>
    <tableColumn id="34" xr3:uid="{2B554F8A-37F8-40DC-B36A-54C3E5101478}" name="27-T2" dataDxfId="37">
      <calculatedColumnFormula>TRUNC(MAX(0,MIN(EOMONTH(AJ$3,2),$I5,$H5)+1-MAX(AJ$3,$B5))*$L5,2)</calculatedColumnFormula>
    </tableColumn>
    <tableColumn id="35" xr3:uid="{5F6F58B5-BED0-4A41-A5AB-5F099807F582}" name="27-T3" dataDxfId="36">
      <calculatedColumnFormula>TRUNC(MAX(0,MIN(EOMONTH(AK$3,2),$I5,$H5)+1-MAX(AK$3,$B5))*$L5,2)</calculatedColumnFormula>
    </tableColumn>
    <tableColumn id="36" xr3:uid="{B8AB158A-0726-4A90-B544-4C39A6A0127D}" name="27-T4" dataDxfId="35">
      <calculatedColumnFormula>TRUNC(MAX(0,MIN(EOMONTH(AL$3,2),$I5,$H5)+1-MAX(AL$3,$B5))*$L5,2)</calculatedColumnFormula>
    </tableColumn>
    <tableColumn id="37" xr3:uid="{28B5D10F-E53F-4DB9-8DC7-6AF56AA4FB29}" name="28-T1" dataDxfId="34">
      <calculatedColumnFormula>TRUNC(MAX(0,MIN(EOMONTH(AM$3,2),$I5,$H5)+1-MAX(AM$3,$B5))*$L5,2)</calculatedColumnFormula>
    </tableColumn>
    <tableColumn id="38" xr3:uid="{F5128A25-B41B-4DAA-B5A2-D866C79F4EDC}" name="28-T2" dataDxfId="33">
      <calculatedColumnFormula>TRUNC(MAX(0,MIN(EOMONTH(AN$3,2),$I5,$H5)+1-MAX(AN$3,$B5))*$L5,2)</calculatedColumnFormula>
    </tableColumn>
    <tableColumn id="39" xr3:uid="{EC7E7790-C76A-4631-899E-C4D3B8E95C5F}" name="28-T3" dataDxfId="32">
      <calculatedColumnFormula>TRUNC(MAX(0,MIN(EOMONTH(AO$3,2),$I5,$H5)+1-MAX(AO$3,$B5))*$L5,2)</calculatedColumnFormula>
    </tableColumn>
    <tableColumn id="40" xr3:uid="{571C3DD7-0E34-464F-B241-0316EAE66CEA}" name="28-T4" dataDxfId="31">
      <calculatedColumnFormula>TRUNC(MAX(0,MIN(EOMONTH(AP$3,2),$I5,$H5)+1-MAX(AP$3,$B5))*$L5,2)</calculatedColumnFormula>
    </tableColumn>
    <tableColumn id="41" xr3:uid="{9848F72C-A94F-407C-A9B2-AD03515EFB8B}" name="29-T1" dataDxfId="30">
      <calculatedColumnFormula>TRUNC(MAX(0,MIN(EOMONTH(AQ$3,2),$I5,$H5)+1-MAX(AQ$3,$B5))*$L5,2)</calculatedColumnFormula>
    </tableColumn>
    <tableColumn id="42" xr3:uid="{25CC2C61-46FB-4633-BAA4-EE2386A15B9A}" name="29-T2" dataDxfId="29">
      <calculatedColumnFormula>TRUNC(MAX(0,MIN(EOMONTH(AR$3,2),$I5,$H5)+1-MAX(AR$3,$B5))*$L5,2)</calculatedColumnFormula>
    </tableColumn>
    <tableColumn id="43" xr3:uid="{2D87C115-A960-4FF7-AF90-D1EDFC804E6A}" name="29-T3" dataDxfId="28">
      <calculatedColumnFormula>TRUNC(MAX(0,MIN(EOMONTH(AS$3,2),$I5,$H5)+1-MAX(AS$3,$B5))*$L5,2)</calculatedColumnFormula>
    </tableColumn>
    <tableColumn id="44" xr3:uid="{42781F80-8C8F-487E-99EF-631623FA2476}" name="29-T4" dataDxfId="27">
      <calculatedColumnFormula>TRUNC(MAX(0,MIN(EOMONTH(AT$3,2),$I5,$H5)+1-MAX(AT$3,$B5))*$L5,2)</calculatedColumnFormula>
    </tableColumn>
    <tableColumn id="45" xr3:uid="{2F24731A-8FF5-48D0-8435-9BA1CCD62C51}" name="30-T1" dataDxfId="26">
      <calculatedColumnFormula>TRUNC(MAX(0,MIN(EOMONTH(AU$3,2),$I5,$H5)+1-MAX(AU$3,$B5))*$L5,2)</calculatedColumnFormula>
    </tableColumn>
    <tableColumn id="46" xr3:uid="{A563E34C-DA86-4A4A-BC08-2BBEF1A2431F}" name="30-T2" dataDxfId="25">
      <calculatedColumnFormula>TRUNC(MAX(0,MIN(EOMONTH(AV$3,2),$I5,$H5)+1-MAX(AV$3,$B5))*$L5,2)</calculatedColumnFormula>
    </tableColumn>
    <tableColumn id="47" xr3:uid="{0DFF6F0B-7A3C-42B5-BBA4-5D816CA1630E}" name="30-T3" dataDxfId="24">
      <calculatedColumnFormula>TRUNC(MAX(0,MIN(EOMONTH(AW$3,2),$I5,$H5)+1-MAX(AW$3,$B5))*$L5,2)</calculatedColumnFormula>
    </tableColumn>
    <tableColumn id="48" xr3:uid="{F1DE5C32-FA8D-4344-AD1B-5223B4A679EB}" name="30-T4" dataDxfId="23">
      <calculatedColumnFormula>TRUNC(MAX(0,MIN(EOMONTH(AX$3,2),$I5,$H5)+1-MAX(AX$3,$B5))*$L5,2)</calculatedColumnFormula>
    </tableColumn>
    <tableColumn id="49" xr3:uid="{C03BF8FB-722B-4411-A348-CD4B26EB2E3C}" name="31-T1" dataDxfId="22">
      <calculatedColumnFormula>TRUNC(MAX(0,MIN(EOMONTH(AY$3,2),$I5,$H5)+1-MAX(AY$3,$B5))*$L5,2)</calculatedColumnFormula>
    </tableColumn>
    <tableColumn id="50" xr3:uid="{203224DC-42E4-4919-BCAE-B9B6AE26570A}" name="31-T2" dataDxfId="21">
      <calculatedColumnFormula>TRUNC(MAX(0,MIN(EOMONTH(AZ$3,2),$I5,$H5)+1-MAX(AZ$3,$B5))*$L5,2)</calculatedColumnFormula>
    </tableColumn>
    <tableColumn id="51" xr3:uid="{BDC79CD2-E7AE-4737-8136-904DFDDB4D3F}" name="31-T3" dataDxfId="20">
      <calculatedColumnFormula>TRUNC(MAX(0,MIN(EOMONTH(BA$3,2),$I5,$H5)+1-MAX(BA$3,$B5))*$L5,2)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2"/>
  <sheetViews>
    <sheetView tabSelected="1" zoomScale="145" zoomScaleNormal="145" workbookViewId="0">
      <pane xSplit="14" ySplit="3" topLeftCell="S4" activePane="bottomRight" state="frozen"/>
      <selection pane="topRight" activeCell="O1" sqref="O1"/>
      <selection pane="bottomLeft" activeCell="A4" sqref="A4"/>
      <selection pane="bottomRight" activeCell="J1" sqref="J1"/>
    </sheetView>
  </sheetViews>
  <sheetFormatPr defaultColWidth="7" defaultRowHeight="15" x14ac:dyDescent="0.25"/>
  <cols>
    <col min="1" max="1" width="12" bestFit="1" customWidth="1"/>
    <col min="2" max="2" width="9" bestFit="1" customWidth="1"/>
    <col min="3" max="3" width="5.42578125" bestFit="1" customWidth="1"/>
    <col min="4" max="4" width="9.85546875" bestFit="1" customWidth="1"/>
    <col min="5" max="5" width="5.140625" bestFit="1" customWidth="1"/>
    <col min="6" max="6" width="6.5703125" bestFit="1" customWidth="1"/>
    <col min="7" max="7" width="9.85546875" bestFit="1" customWidth="1"/>
    <col min="8" max="8" width="9" bestFit="1" customWidth="1"/>
    <col min="9" max="9" width="9.28515625" bestFit="1" customWidth="1"/>
    <col min="10" max="10" width="9" bestFit="1" customWidth="1"/>
    <col min="11" max="11" width="6.85546875" bestFit="1" customWidth="1"/>
    <col min="12" max="12" width="6.140625" bestFit="1" customWidth="1"/>
    <col min="13" max="13" width="8.140625" bestFit="1" customWidth="1"/>
    <col min="14" max="14" width="5.5703125" hidden="1" customWidth="1"/>
    <col min="19" max="41" width="8.140625" bestFit="1" customWidth="1"/>
    <col min="54" max="16384" width="7" style="25"/>
  </cols>
  <sheetData>
    <row r="1" spans="1:53" x14ac:dyDescent="0.25">
      <c r="A1" s="1" t="s">
        <v>0</v>
      </c>
      <c r="B1" s="2"/>
      <c r="C1" s="2"/>
      <c r="D1" s="2"/>
      <c r="E1" s="2"/>
      <c r="F1" s="2"/>
      <c r="G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</row>
    <row r="2" spans="1:53" s="26" customFormat="1" ht="11.25" x14ac:dyDescent="0.2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M2" s="43" t="s">
        <v>55</v>
      </c>
      <c r="N2" s="23"/>
      <c r="O2" s="49">
        <f>SUM(Tabel1[22-T1])</f>
        <v>0</v>
      </c>
      <c r="P2" s="49">
        <f>SUM(Tabel1[22-T2])</f>
        <v>0</v>
      </c>
      <c r="Q2" s="49">
        <f>SUM(Tabel1[22-T3])</f>
        <v>0</v>
      </c>
      <c r="R2" s="49">
        <f>SUM(Tabel1[22-T4])</f>
        <v>338.49</v>
      </c>
      <c r="S2" s="49">
        <f>SUM(Tabel1[23-T1])</f>
        <v>1616.48</v>
      </c>
      <c r="T2" s="49">
        <f>SUM(Tabel1[23-T2])</f>
        <v>1774.9</v>
      </c>
      <c r="U2" s="49">
        <f>SUM(Tabel1[23-T3])</f>
        <v>1864.24</v>
      </c>
      <c r="V2" s="49">
        <f>SUM(Tabel1[23-T4])</f>
        <v>1864.24</v>
      </c>
      <c r="W2" s="49">
        <f>SUM(Tabel1[24-T1])</f>
        <v>1482.92</v>
      </c>
      <c r="X2" s="49">
        <f>SUM(Tabel1[24-T2])</f>
        <v>1257.26</v>
      </c>
      <c r="Y2" s="49">
        <f>SUM(Tabel1[24-T3])</f>
        <v>1098.3699999999999</v>
      </c>
      <c r="Z2" s="49">
        <f>SUM(Tabel1[24-T4])</f>
        <v>211.84</v>
      </c>
      <c r="AA2" s="49">
        <f>SUM(Tabel1[25-T1])</f>
        <v>207.24</v>
      </c>
      <c r="AB2" s="49">
        <f>SUM(Tabel1[25-T2])</f>
        <v>209.54</v>
      </c>
      <c r="AC2" s="49">
        <f>SUM(Tabel1[25-T3])</f>
        <v>211.84</v>
      </c>
      <c r="AD2" s="49">
        <f>SUM(Tabel1[25-T4])</f>
        <v>211.84</v>
      </c>
      <c r="AE2" s="49">
        <f>SUM(Tabel1[26-T1])</f>
        <v>207.24</v>
      </c>
      <c r="AF2" s="49">
        <f>SUM(Tabel1[26-T2])</f>
        <v>71.38</v>
      </c>
      <c r="AG2" s="49">
        <f>SUM(Tabel1[26-T3])</f>
        <v>0</v>
      </c>
      <c r="AH2" s="49">
        <f>SUM(Tabel1[26-T4])</f>
        <v>0</v>
      </c>
      <c r="AI2" s="49">
        <f>SUM(Tabel1[27-T1])</f>
        <v>0</v>
      </c>
      <c r="AJ2" s="49">
        <f>SUM(Tabel1[27-T2])</f>
        <v>0</v>
      </c>
      <c r="AK2" s="49">
        <f>SUM(Tabel1[27-T3])</f>
        <v>0</v>
      </c>
      <c r="AL2" s="49">
        <f>SUM(Tabel1[27-T4])</f>
        <v>0</v>
      </c>
      <c r="AM2" s="49">
        <f>SUM(Tabel1[28-T1])</f>
        <v>0</v>
      </c>
      <c r="AN2" s="49">
        <f>SUM(Tabel1[28-T2])</f>
        <v>0</v>
      </c>
      <c r="AO2" s="49">
        <f>SUM(Tabel1[28-T3])</f>
        <v>0</v>
      </c>
      <c r="AP2" s="49">
        <f>SUM(Tabel1[28-T4])</f>
        <v>0</v>
      </c>
      <c r="AQ2" s="49">
        <f>SUM(Tabel1[29-T1])</f>
        <v>0</v>
      </c>
      <c r="AR2" s="49">
        <f>SUM(Tabel1[29-T2])</f>
        <v>0</v>
      </c>
      <c r="AS2" s="49">
        <f>SUM(Tabel1[29-T3])</f>
        <v>0</v>
      </c>
      <c r="AT2" s="49">
        <f>SUM(Tabel1[29-T4])</f>
        <v>0</v>
      </c>
      <c r="AU2" s="49">
        <f>SUM(Tabel1[30-T1])</f>
        <v>0</v>
      </c>
      <c r="AV2" s="49">
        <f>SUM(Tabel1[30-T2])</f>
        <v>0</v>
      </c>
      <c r="AW2" s="49">
        <f>SUM(Tabel1[30-T3])</f>
        <v>0</v>
      </c>
      <c r="AX2" s="49">
        <f>SUM(Tabel1[30-T4])</f>
        <v>0</v>
      </c>
      <c r="AY2" s="49">
        <f>SUM(Tabel1[31-T1])</f>
        <v>0</v>
      </c>
      <c r="AZ2" s="49">
        <f>SUM(Tabel1[31-T2])</f>
        <v>0</v>
      </c>
      <c r="BA2" s="49">
        <f>SUM(Tabel1[31-T3])</f>
        <v>0</v>
      </c>
    </row>
    <row r="3" spans="1:53" s="26" customFormat="1" ht="12" thickBo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M3" s="43" t="s">
        <v>56</v>
      </c>
      <c r="N3" s="24"/>
      <c r="O3" s="24">
        <f>DATE(2000+LEFT(Tabel1[[#Headers],[22-T1]],2),RIGHT(Tabel1[[#Headers],[22-T1]],1)*3-2,1)</f>
        <v>44562</v>
      </c>
      <c r="P3" s="24">
        <f>DATE(2000+LEFT(Tabel1[[#Headers],[22-T2]],2),RIGHT(Tabel1[[#Headers],[22-T2]],1)*3-2,1)</f>
        <v>44652</v>
      </c>
      <c r="Q3" s="24">
        <f>DATE(2000+LEFT(Tabel1[[#Headers],[22-T3]],2),RIGHT(Tabel1[[#Headers],[22-T3]],1)*3-2,1)</f>
        <v>44743</v>
      </c>
      <c r="R3" s="24">
        <f>DATE(2000+LEFT(Tabel1[[#Headers],[22-T4]],2),RIGHT(Tabel1[[#Headers],[22-T4]],1)*3-2,1)</f>
        <v>44835</v>
      </c>
      <c r="S3" s="24">
        <f>DATE(2000+LEFT(Tabel1[[#Headers],[23-T1]],2),RIGHT(Tabel1[[#Headers],[23-T1]],1)*3-2,1)</f>
        <v>44927</v>
      </c>
      <c r="T3" s="24">
        <f>DATE(2000+LEFT(Tabel1[[#Headers],[23-T2]],2),RIGHT(Tabel1[[#Headers],[23-T2]],1)*3-2,1)</f>
        <v>45017</v>
      </c>
      <c r="U3" s="24">
        <f>DATE(2000+LEFT(Tabel1[[#Headers],[23-T3]],2),RIGHT(Tabel1[[#Headers],[23-T3]],1)*3-2,1)</f>
        <v>45108</v>
      </c>
      <c r="V3" s="24">
        <f>DATE(2000+LEFT(Tabel1[[#Headers],[23-T4]],2),RIGHT(Tabel1[[#Headers],[23-T4]],1)*3-2,1)</f>
        <v>45200</v>
      </c>
      <c r="W3" s="24">
        <f>DATE(2000+LEFT(Tabel1[[#Headers],[24-T1]],2),RIGHT(Tabel1[[#Headers],[24-T1]],1)*3-2,1)</f>
        <v>45292</v>
      </c>
      <c r="X3" s="24">
        <f>DATE(2000+LEFT(Tabel1[[#Headers],[24-T2]],2),RIGHT(Tabel1[[#Headers],[24-T2]],1)*3-2,1)</f>
        <v>45383</v>
      </c>
      <c r="Y3" s="24">
        <f>DATE(2000+LEFT(Tabel1[[#Headers],[24-T3]],2),RIGHT(Tabel1[[#Headers],[24-T3]],1)*3-2,1)</f>
        <v>45474</v>
      </c>
      <c r="Z3" s="24">
        <f>DATE(2000+LEFT(Tabel1[[#Headers],[24-T4]],2),RIGHT(Tabel1[[#Headers],[24-T4]],1)*3-2,1)</f>
        <v>45566</v>
      </c>
      <c r="AA3" s="24">
        <f>DATE(2000+LEFT(Tabel1[[#Headers],[25-T1]],2),RIGHT(Tabel1[[#Headers],[25-T1]],1)*3-2,1)</f>
        <v>45658</v>
      </c>
      <c r="AB3" s="24">
        <f>DATE(2000+LEFT(Tabel1[[#Headers],[25-T2]],2),RIGHT(Tabel1[[#Headers],[25-T2]],1)*3-2,1)</f>
        <v>45748</v>
      </c>
      <c r="AC3" s="24">
        <f>DATE(2000+LEFT(Tabel1[[#Headers],[25-T3]],2),RIGHT(Tabel1[[#Headers],[25-T3]],1)*3-2,1)</f>
        <v>45839</v>
      </c>
      <c r="AD3" s="24">
        <f>DATE(2000+LEFT(Tabel1[[#Headers],[25-T4]],2),RIGHT(Tabel1[[#Headers],[25-T4]],1)*3-2,1)</f>
        <v>45931</v>
      </c>
      <c r="AE3" s="24">
        <f>DATE(2000+LEFT(Tabel1[[#Headers],[26-T1]],2),RIGHT(Tabel1[[#Headers],[26-T1]],1)*3-2,1)</f>
        <v>46023</v>
      </c>
      <c r="AF3" s="24">
        <f>DATE(2000+LEFT(Tabel1[[#Headers],[26-T2]],2),RIGHT(Tabel1[[#Headers],[26-T2]],1)*3-2,1)</f>
        <v>46113</v>
      </c>
      <c r="AG3" s="24">
        <f>DATE(2000+LEFT(Tabel1[[#Headers],[26-T3]],2),RIGHT(Tabel1[[#Headers],[26-T3]],1)*3-2,1)</f>
        <v>46204</v>
      </c>
      <c r="AH3" s="24">
        <f>DATE(2000+LEFT(Tabel1[[#Headers],[26-T4]],2),RIGHT(Tabel1[[#Headers],[26-T4]],1)*3-2,1)</f>
        <v>46296</v>
      </c>
      <c r="AI3" s="24">
        <f>DATE(2000+LEFT(Tabel1[[#Headers],[27-T1]],2),RIGHT(Tabel1[[#Headers],[27-T1]],1)*3-2,1)</f>
        <v>46388</v>
      </c>
      <c r="AJ3" s="24">
        <f>DATE(2000+LEFT(Tabel1[[#Headers],[27-T2]],2),RIGHT(Tabel1[[#Headers],[27-T2]],1)*3-2,1)</f>
        <v>46478</v>
      </c>
      <c r="AK3" s="24">
        <f>DATE(2000+LEFT(Tabel1[[#Headers],[27-T3]],2),RIGHT(Tabel1[[#Headers],[27-T3]],1)*3-2,1)</f>
        <v>46569</v>
      </c>
      <c r="AL3" s="24">
        <f>DATE(2000+LEFT(Tabel1[[#Headers],[27-T4]],2),RIGHT(Tabel1[[#Headers],[27-T4]],1)*3-2,1)</f>
        <v>46661</v>
      </c>
      <c r="AM3" s="24">
        <f>DATE(2000+LEFT(Tabel1[[#Headers],[28-T1]],2),RIGHT(Tabel1[[#Headers],[28-T1]],1)*3-2,1)</f>
        <v>46753</v>
      </c>
      <c r="AN3" s="24">
        <f>DATE(2000+LEFT(Tabel1[[#Headers],[28-T2]],2),RIGHT(Tabel1[[#Headers],[28-T2]],1)*3-2,1)</f>
        <v>46844</v>
      </c>
      <c r="AO3" s="24">
        <f>DATE(2000+LEFT(Tabel1[[#Headers],[28-T3]],2),RIGHT(Tabel1[[#Headers],[28-T3]],1)*3-2,1)</f>
        <v>46935</v>
      </c>
      <c r="AP3" s="24">
        <f>DATE(2000+LEFT(Tabel1[[#Headers],[28-T4]],2),RIGHT(Tabel1[[#Headers],[28-T4]],1)*3-2,1)</f>
        <v>47027</v>
      </c>
      <c r="AQ3" s="24">
        <f>DATE(2000+LEFT(Tabel1[[#Headers],[29-T1]],2),RIGHT(Tabel1[[#Headers],[29-T1]],1)*3-2,1)</f>
        <v>47119</v>
      </c>
      <c r="AR3" s="24">
        <f>DATE(2000+LEFT(Tabel1[[#Headers],[29-T2]],2),RIGHT(Tabel1[[#Headers],[29-T2]],1)*3-2,1)</f>
        <v>47209</v>
      </c>
      <c r="AS3" s="24">
        <f>DATE(2000+LEFT(Tabel1[[#Headers],[29-T3]],2),RIGHT(Tabel1[[#Headers],[29-T3]],1)*3-2,1)</f>
        <v>47300</v>
      </c>
      <c r="AT3" s="24">
        <f>DATE(2000+LEFT(Tabel1[[#Headers],[29-T4]],2),RIGHT(Tabel1[[#Headers],[29-T4]],1)*3-2,1)</f>
        <v>47392</v>
      </c>
      <c r="AU3" s="24">
        <f>DATE(2000+LEFT(Tabel1[[#Headers],[30-T1]],2),RIGHT(Tabel1[[#Headers],[30-T1]],1)*3-2,1)</f>
        <v>47484</v>
      </c>
      <c r="AV3" s="24">
        <f>DATE(2000+LEFT(Tabel1[[#Headers],[30-T2]],2),RIGHT(Tabel1[[#Headers],[30-T2]],1)*3-2,1)</f>
        <v>47574</v>
      </c>
      <c r="AW3" s="24">
        <f>DATE(2000+LEFT(Tabel1[[#Headers],[30-T3]],2),RIGHT(Tabel1[[#Headers],[30-T3]],1)*3-2,1)</f>
        <v>47665</v>
      </c>
      <c r="AX3" s="24">
        <f>DATE(2000+LEFT(Tabel1[[#Headers],[30-T4]],2),RIGHT(Tabel1[[#Headers],[30-T4]],1)*3-2,1)</f>
        <v>47757</v>
      </c>
      <c r="AY3" s="24">
        <f>DATE(2000+LEFT(Tabel1[[#Headers],[31-T1]],2),RIGHT(Tabel1[[#Headers],[31-T1]],1)*3-2,1)</f>
        <v>47849</v>
      </c>
      <c r="AZ3" s="24">
        <f>DATE(2000+LEFT(Tabel1[[#Headers],[31-T2]],2),RIGHT(Tabel1[[#Headers],[31-T2]],1)*3-2,1)</f>
        <v>47939</v>
      </c>
      <c r="BA3" s="24">
        <f>DATE(2000+LEFT(Tabel1[[#Headers],[31-T3]],2),RIGHT(Tabel1[[#Headers],[31-T3]],1)*3-2,1)</f>
        <v>48030</v>
      </c>
    </row>
    <row r="4" spans="1:53" s="18" customFormat="1" ht="23.25" thickTop="1" x14ac:dyDescent="0.25">
      <c r="A4" s="28" t="s">
        <v>1</v>
      </c>
      <c r="B4" s="28" t="s">
        <v>2</v>
      </c>
      <c r="C4" s="28" t="s">
        <v>3</v>
      </c>
      <c r="D4" s="28" t="s">
        <v>4</v>
      </c>
      <c r="E4" s="28" t="s">
        <v>5</v>
      </c>
      <c r="F4" s="28" t="s">
        <v>6</v>
      </c>
      <c r="G4" s="28" t="s">
        <v>7</v>
      </c>
      <c r="H4" s="29" t="s">
        <v>8</v>
      </c>
      <c r="I4" s="28" t="s">
        <v>9</v>
      </c>
      <c r="J4" s="28" t="s">
        <v>11</v>
      </c>
      <c r="K4" s="28" t="s">
        <v>12</v>
      </c>
      <c r="L4" s="30" t="s">
        <v>13</v>
      </c>
      <c r="M4" s="45" t="s">
        <v>55</v>
      </c>
      <c r="N4" s="47" t="s">
        <v>57</v>
      </c>
      <c r="O4" s="44" t="s">
        <v>16</v>
      </c>
      <c r="P4" s="45" t="s">
        <v>17</v>
      </c>
      <c r="Q4" s="45" t="s">
        <v>18</v>
      </c>
      <c r="R4" s="45" t="s">
        <v>19</v>
      </c>
      <c r="S4" s="45" t="s">
        <v>20</v>
      </c>
      <c r="T4" s="45" t="s">
        <v>21</v>
      </c>
      <c r="U4" s="45" t="s">
        <v>22</v>
      </c>
      <c r="V4" s="45" t="s">
        <v>23</v>
      </c>
      <c r="W4" s="45" t="s">
        <v>24</v>
      </c>
      <c r="X4" s="45" t="s">
        <v>25</v>
      </c>
      <c r="Y4" s="45" t="s">
        <v>26</v>
      </c>
      <c r="Z4" s="45" t="s">
        <v>27</v>
      </c>
      <c r="AA4" s="45" t="s">
        <v>28</v>
      </c>
      <c r="AB4" s="45" t="s">
        <v>29</v>
      </c>
      <c r="AC4" s="45" t="s">
        <v>30</v>
      </c>
      <c r="AD4" s="45" t="s">
        <v>31</v>
      </c>
      <c r="AE4" s="45" t="s">
        <v>32</v>
      </c>
      <c r="AF4" s="45" t="s">
        <v>33</v>
      </c>
      <c r="AG4" s="45" t="s">
        <v>34</v>
      </c>
      <c r="AH4" s="45" t="s">
        <v>35</v>
      </c>
      <c r="AI4" s="45" t="s">
        <v>36</v>
      </c>
      <c r="AJ4" s="45" t="s">
        <v>37</v>
      </c>
      <c r="AK4" s="45" t="s">
        <v>38</v>
      </c>
      <c r="AL4" s="45" t="s">
        <v>39</v>
      </c>
      <c r="AM4" s="45" t="s">
        <v>40</v>
      </c>
      <c r="AN4" s="45" t="s">
        <v>41</v>
      </c>
      <c r="AO4" s="45" t="s">
        <v>42</v>
      </c>
      <c r="AP4" s="45" t="s">
        <v>43</v>
      </c>
      <c r="AQ4" s="45" t="s">
        <v>44</v>
      </c>
      <c r="AR4" s="45" t="s">
        <v>45</v>
      </c>
      <c r="AS4" s="45" t="s">
        <v>46</v>
      </c>
      <c r="AT4" s="45" t="s">
        <v>47</v>
      </c>
      <c r="AU4" s="45" t="s">
        <v>48</v>
      </c>
      <c r="AV4" s="45" t="s">
        <v>49</v>
      </c>
      <c r="AW4" s="45" t="s">
        <v>50</v>
      </c>
      <c r="AX4" s="45" t="s">
        <v>51</v>
      </c>
      <c r="AY4" s="45" t="s">
        <v>52</v>
      </c>
      <c r="AZ4" s="45" t="s">
        <v>53</v>
      </c>
      <c r="BA4" s="46" t="s">
        <v>54</v>
      </c>
    </row>
    <row r="5" spans="1:53" s="27" customFormat="1" ht="11.25" x14ac:dyDescent="0.2">
      <c r="A5" s="31" t="s">
        <v>10</v>
      </c>
      <c r="B5" s="32">
        <v>44887</v>
      </c>
      <c r="C5" s="33">
        <v>36</v>
      </c>
      <c r="D5" s="34">
        <v>14000</v>
      </c>
      <c r="E5" s="35">
        <v>0.75</v>
      </c>
      <c r="F5" s="36">
        <v>0.67300000000000004</v>
      </c>
      <c r="G5" s="37">
        <f>IF(D5,D5*E5*F5,"")</f>
        <v>7066.5</v>
      </c>
      <c r="H5" s="38">
        <f>IF(C5,EDATE(B5,C5),"")</f>
        <v>45983</v>
      </c>
      <c r="I5" s="39">
        <v>45326</v>
      </c>
      <c r="J5" s="40">
        <f t="shared" ref="J5:J7" si="0">IF(MEDIAN(B5,H5,I5)=I5,(H5-I5-1)/(H5-B5)*G5,0)</f>
        <v>4229.5839416058398</v>
      </c>
      <c r="K5" s="41">
        <f>+J5*0.21</f>
        <v>888.21262773722628</v>
      </c>
      <c r="L5" s="42">
        <f>+G5/(H5-B5)</f>
        <v>6.4475364963503647</v>
      </c>
      <c r="M5" s="19">
        <f>SUM(Tabel1[[#This Row],[22-T1]:[31-T3]])</f>
        <v>2836.89</v>
      </c>
      <c r="N5" s="48">
        <f>+Tabel1[[#This Row],[Amort. Total :]]-Tabel1[[#This Row],[valeur Résid]]-Tabel1[[#This Row],[somme]]</f>
        <v>2.60583941603727E-2</v>
      </c>
      <c r="O5" s="21">
        <f>TRUNC(MAX(0,MIN(EOMONTH(O$3,2),$I5,$H5)+1-MAX(O$3,$B5))*$L5,2)</f>
        <v>0</v>
      </c>
      <c r="P5" s="19">
        <f t="shared" ref="P5:AE7" si="1">TRUNC(MAX(0,MIN(EOMONTH(P$3,2),$I5,$H5)+1-MAX(P$3,$B5))*$L5,2)</f>
        <v>0</v>
      </c>
      <c r="Q5" s="19">
        <f t="shared" si="1"/>
        <v>0</v>
      </c>
      <c r="R5" s="19">
        <f t="shared" si="1"/>
        <v>257.89999999999998</v>
      </c>
      <c r="S5" s="19">
        <f t="shared" si="1"/>
        <v>580.27</v>
      </c>
      <c r="T5" s="19">
        <f t="shared" si="1"/>
        <v>586.72</v>
      </c>
      <c r="U5" s="19">
        <f t="shared" si="1"/>
        <v>593.16999999999996</v>
      </c>
      <c r="V5" s="19">
        <f t="shared" si="1"/>
        <v>593.16999999999996</v>
      </c>
      <c r="W5" s="19">
        <f t="shared" si="1"/>
        <v>225.66</v>
      </c>
      <c r="X5" s="19">
        <f t="shared" si="1"/>
        <v>0</v>
      </c>
      <c r="Y5" s="19">
        <f t="shared" si="1"/>
        <v>0</v>
      </c>
      <c r="Z5" s="19">
        <f t="shared" si="1"/>
        <v>0</v>
      </c>
      <c r="AA5" s="19">
        <f t="shared" si="1"/>
        <v>0</v>
      </c>
      <c r="AB5" s="19">
        <f t="shared" si="1"/>
        <v>0</v>
      </c>
      <c r="AC5" s="19">
        <f t="shared" si="1"/>
        <v>0</v>
      </c>
      <c r="AD5" s="19">
        <f t="shared" si="1"/>
        <v>0</v>
      </c>
      <c r="AE5" s="19">
        <f t="shared" si="1"/>
        <v>0</v>
      </c>
      <c r="AF5" s="19">
        <f t="shared" ref="AF5:AU7" si="2">TRUNC(MAX(0,MIN(EOMONTH(AF$3,2),$I5,$H5)+1-MAX(AF$3,$B5))*$L5,2)</f>
        <v>0</v>
      </c>
      <c r="AG5" s="19">
        <f t="shared" si="2"/>
        <v>0</v>
      </c>
      <c r="AH5" s="19">
        <f t="shared" si="2"/>
        <v>0</v>
      </c>
      <c r="AI5" s="19">
        <f t="shared" si="2"/>
        <v>0</v>
      </c>
      <c r="AJ5" s="19">
        <f t="shared" si="2"/>
        <v>0</v>
      </c>
      <c r="AK5" s="19">
        <f t="shared" si="2"/>
        <v>0</v>
      </c>
      <c r="AL5" s="19">
        <f t="shared" si="2"/>
        <v>0</v>
      </c>
      <c r="AM5" s="19">
        <f t="shared" si="2"/>
        <v>0</v>
      </c>
      <c r="AN5" s="19">
        <f t="shared" si="2"/>
        <v>0</v>
      </c>
      <c r="AO5" s="19">
        <f t="shared" si="2"/>
        <v>0</v>
      </c>
      <c r="AP5" s="19">
        <f t="shared" si="2"/>
        <v>0</v>
      </c>
      <c r="AQ5" s="19">
        <f t="shared" si="2"/>
        <v>0</v>
      </c>
      <c r="AR5" s="19">
        <f t="shared" si="2"/>
        <v>0</v>
      </c>
      <c r="AS5" s="19">
        <f t="shared" si="2"/>
        <v>0</v>
      </c>
      <c r="AT5" s="19">
        <f t="shared" si="2"/>
        <v>0</v>
      </c>
      <c r="AU5" s="19">
        <f t="shared" si="2"/>
        <v>0</v>
      </c>
      <c r="AV5" s="19">
        <f t="shared" ref="AV5:BA7" si="3">TRUNC(MAX(0,MIN(EOMONTH(AV$3,2),$I5,$H5)+1-MAX(AV$3,$B5))*$L5,2)</f>
        <v>0</v>
      </c>
      <c r="AW5" s="19">
        <f t="shared" si="3"/>
        <v>0</v>
      </c>
      <c r="AX5" s="19">
        <f t="shared" si="3"/>
        <v>0</v>
      </c>
      <c r="AY5" s="19">
        <f t="shared" si="3"/>
        <v>0</v>
      </c>
      <c r="AZ5" s="19">
        <f t="shared" si="3"/>
        <v>0</v>
      </c>
      <c r="BA5" s="20">
        <f t="shared" si="3"/>
        <v>0</v>
      </c>
    </row>
    <row r="6" spans="1:53" s="27" customFormat="1" ht="11.25" x14ac:dyDescent="0.2">
      <c r="A6" s="31" t="s">
        <v>14</v>
      </c>
      <c r="B6" s="32">
        <v>45047</v>
      </c>
      <c r="C6" s="33">
        <v>36</v>
      </c>
      <c r="D6" s="34">
        <v>5000</v>
      </c>
      <c r="E6" s="35">
        <v>0.75</v>
      </c>
      <c r="F6" s="36">
        <v>0.67300000000000004</v>
      </c>
      <c r="G6" s="37">
        <f>IF(D6,D6*E6*F6,"")</f>
        <v>2523.75</v>
      </c>
      <c r="H6" s="38">
        <f t="shared" ref="H6:H7" si="4">IF(C6,EDATE(B6,C6),"")</f>
        <v>46143</v>
      </c>
      <c r="I6" s="39"/>
      <c r="J6" s="40">
        <f t="shared" si="0"/>
        <v>0</v>
      </c>
      <c r="K6" s="41">
        <f t="shared" ref="K6:K7" si="5">+J6*0.21</f>
        <v>0</v>
      </c>
      <c r="L6" s="42">
        <f t="shared" ref="L6:L7" si="6">+G6/(H6-B6)</f>
        <v>2.3026916058394162</v>
      </c>
      <c r="M6" s="19">
        <f>SUM(Tabel1[[#This Row],[22-T1]:[31-T3]])</f>
        <v>2525.9799999999996</v>
      </c>
      <c r="N6" s="48">
        <f>+Tabel1[[#This Row],[Amort. Total :]]-Tabel1[[#This Row],[valeur Résid]]-Tabel1[[#This Row],[somme]]</f>
        <v>-2.2299999999995634</v>
      </c>
      <c r="O6" s="21">
        <f t="shared" ref="O6:O7" si="7">TRUNC(MAX(0,MIN(EOMONTH(O$3,2),$I6,$H6)+1-MAX(O$3,$B6))*$L6,2)</f>
        <v>0</v>
      </c>
      <c r="P6" s="19">
        <f t="shared" si="1"/>
        <v>0</v>
      </c>
      <c r="Q6" s="19">
        <f t="shared" si="1"/>
        <v>0</v>
      </c>
      <c r="R6" s="19">
        <f t="shared" si="1"/>
        <v>0</v>
      </c>
      <c r="S6" s="19">
        <f t="shared" si="1"/>
        <v>0</v>
      </c>
      <c r="T6" s="19">
        <f t="shared" si="1"/>
        <v>140.46</v>
      </c>
      <c r="U6" s="19">
        <f t="shared" si="1"/>
        <v>211.84</v>
      </c>
      <c r="V6" s="19">
        <f t="shared" si="1"/>
        <v>211.84</v>
      </c>
      <c r="W6" s="19">
        <f t="shared" si="1"/>
        <v>209.54</v>
      </c>
      <c r="X6" s="19">
        <f t="shared" si="1"/>
        <v>209.54</v>
      </c>
      <c r="Y6" s="19">
        <f t="shared" si="1"/>
        <v>211.84</v>
      </c>
      <c r="Z6" s="19">
        <f t="shared" si="1"/>
        <v>211.84</v>
      </c>
      <c r="AA6" s="19">
        <f t="shared" si="1"/>
        <v>207.24</v>
      </c>
      <c r="AB6" s="19">
        <f t="shared" si="1"/>
        <v>209.54</v>
      </c>
      <c r="AC6" s="19">
        <f t="shared" si="1"/>
        <v>211.84</v>
      </c>
      <c r="AD6" s="19">
        <f t="shared" si="1"/>
        <v>211.84</v>
      </c>
      <c r="AE6" s="19">
        <f t="shared" si="1"/>
        <v>207.24</v>
      </c>
      <c r="AF6" s="19">
        <f t="shared" si="2"/>
        <v>71.38</v>
      </c>
      <c r="AG6" s="19">
        <f t="shared" si="2"/>
        <v>0</v>
      </c>
      <c r="AH6" s="19">
        <f t="shared" si="2"/>
        <v>0</v>
      </c>
      <c r="AI6" s="19">
        <f t="shared" si="2"/>
        <v>0</v>
      </c>
      <c r="AJ6" s="19">
        <f t="shared" si="2"/>
        <v>0</v>
      </c>
      <c r="AK6" s="19">
        <f t="shared" si="2"/>
        <v>0</v>
      </c>
      <c r="AL6" s="19">
        <f t="shared" si="2"/>
        <v>0</v>
      </c>
      <c r="AM6" s="19">
        <f t="shared" si="2"/>
        <v>0</v>
      </c>
      <c r="AN6" s="19">
        <f t="shared" si="2"/>
        <v>0</v>
      </c>
      <c r="AO6" s="19">
        <f t="shared" si="2"/>
        <v>0</v>
      </c>
      <c r="AP6" s="19">
        <f t="shared" si="2"/>
        <v>0</v>
      </c>
      <c r="AQ6" s="19">
        <f t="shared" si="2"/>
        <v>0</v>
      </c>
      <c r="AR6" s="19">
        <f t="shared" si="2"/>
        <v>0</v>
      </c>
      <c r="AS6" s="19">
        <f t="shared" si="2"/>
        <v>0</v>
      </c>
      <c r="AT6" s="19">
        <f t="shared" si="2"/>
        <v>0</v>
      </c>
      <c r="AU6" s="19">
        <f t="shared" si="2"/>
        <v>0</v>
      </c>
      <c r="AV6" s="19">
        <f t="shared" si="3"/>
        <v>0</v>
      </c>
      <c r="AW6" s="19">
        <f t="shared" si="3"/>
        <v>0</v>
      </c>
      <c r="AX6" s="19">
        <f t="shared" si="3"/>
        <v>0</v>
      </c>
      <c r="AY6" s="19">
        <f t="shared" si="3"/>
        <v>0</v>
      </c>
      <c r="AZ6" s="19">
        <f t="shared" si="3"/>
        <v>0</v>
      </c>
      <c r="BA6" s="20">
        <f t="shared" si="3"/>
        <v>0</v>
      </c>
    </row>
    <row r="7" spans="1:53" s="27" customFormat="1" ht="11.25" x14ac:dyDescent="0.2">
      <c r="A7" s="31" t="s">
        <v>15</v>
      </c>
      <c r="B7" s="32">
        <v>44920</v>
      </c>
      <c r="C7" s="33">
        <v>72</v>
      </c>
      <c r="D7" s="34">
        <v>50000</v>
      </c>
      <c r="E7" s="35">
        <v>0.75</v>
      </c>
      <c r="F7" s="36">
        <v>0.67300000000000004</v>
      </c>
      <c r="G7" s="37">
        <f>IF(D7,D7*E7*F7,"")</f>
        <v>25237.5</v>
      </c>
      <c r="H7" s="38">
        <f t="shared" si="4"/>
        <v>47112</v>
      </c>
      <c r="I7" s="39">
        <v>45550</v>
      </c>
      <c r="J7" s="40">
        <f t="shared" si="0"/>
        <v>17972.507983576641</v>
      </c>
      <c r="K7" s="41">
        <f t="shared" si="5"/>
        <v>3774.2266765510944</v>
      </c>
      <c r="L7" s="42">
        <f t="shared" si="6"/>
        <v>11.51345802919708</v>
      </c>
      <c r="M7" s="19">
        <f>SUM(Tabel1[[#This Row],[22-T1]:[31-T3]])</f>
        <v>7264.95</v>
      </c>
      <c r="N7" s="48">
        <f>+Tabel1[[#This Row],[Amort. Total :]]-Tabel1[[#This Row],[valeur Résid]]-Tabel1[[#This Row],[somme]]</f>
        <v>4.2016423359200417E-2</v>
      </c>
      <c r="O7" s="21">
        <f t="shared" si="7"/>
        <v>0</v>
      </c>
      <c r="P7" s="19">
        <f t="shared" si="1"/>
        <v>0</v>
      </c>
      <c r="Q7" s="19">
        <f t="shared" si="1"/>
        <v>0</v>
      </c>
      <c r="R7" s="19">
        <f t="shared" si="1"/>
        <v>80.59</v>
      </c>
      <c r="S7" s="19">
        <f t="shared" si="1"/>
        <v>1036.21</v>
      </c>
      <c r="T7" s="19">
        <f t="shared" si="1"/>
        <v>1047.72</v>
      </c>
      <c r="U7" s="19">
        <f t="shared" si="1"/>
        <v>1059.23</v>
      </c>
      <c r="V7" s="19">
        <f t="shared" si="1"/>
        <v>1059.23</v>
      </c>
      <c r="W7" s="19">
        <f t="shared" si="1"/>
        <v>1047.72</v>
      </c>
      <c r="X7" s="19">
        <f t="shared" si="1"/>
        <v>1047.72</v>
      </c>
      <c r="Y7" s="19">
        <f t="shared" si="1"/>
        <v>886.53</v>
      </c>
      <c r="Z7" s="19">
        <f t="shared" si="1"/>
        <v>0</v>
      </c>
      <c r="AA7" s="19">
        <f t="shared" si="1"/>
        <v>0</v>
      </c>
      <c r="AB7" s="19">
        <f t="shared" si="1"/>
        <v>0</v>
      </c>
      <c r="AC7" s="19">
        <f t="shared" si="1"/>
        <v>0</v>
      </c>
      <c r="AD7" s="19">
        <f t="shared" si="1"/>
        <v>0</v>
      </c>
      <c r="AE7" s="19">
        <f t="shared" si="1"/>
        <v>0</v>
      </c>
      <c r="AF7" s="19">
        <f t="shared" si="2"/>
        <v>0</v>
      </c>
      <c r="AG7" s="19">
        <f t="shared" si="2"/>
        <v>0</v>
      </c>
      <c r="AH7" s="19">
        <f t="shared" si="2"/>
        <v>0</v>
      </c>
      <c r="AI7" s="19">
        <f t="shared" si="2"/>
        <v>0</v>
      </c>
      <c r="AJ7" s="19">
        <f t="shared" si="2"/>
        <v>0</v>
      </c>
      <c r="AK7" s="19">
        <f t="shared" si="2"/>
        <v>0</v>
      </c>
      <c r="AL7" s="19">
        <f t="shared" si="2"/>
        <v>0</v>
      </c>
      <c r="AM7" s="19">
        <f t="shared" si="2"/>
        <v>0</v>
      </c>
      <c r="AN7" s="19">
        <f t="shared" si="2"/>
        <v>0</v>
      </c>
      <c r="AO7" s="19">
        <f t="shared" si="2"/>
        <v>0</v>
      </c>
      <c r="AP7" s="19">
        <f t="shared" si="2"/>
        <v>0</v>
      </c>
      <c r="AQ7" s="19">
        <f t="shared" si="2"/>
        <v>0</v>
      </c>
      <c r="AR7" s="19">
        <f t="shared" si="2"/>
        <v>0</v>
      </c>
      <c r="AS7" s="19">
        <f t="shared" si="2"/>
        <v>0</v>
      </c>
      <c r="AT7" s="19">
        <f t="shared" si="2"/>
        <v>0</v>
      </c>
      <c r="AU7" s="19">
        <f t="shared" si="2"/>
        <v>0</v>
      </c>
      <c r="AV7" s="19">
        <f t="shared" si="3"/>
        <v>0</v>
      </c>
      <c r="AW7" s="19">
        <f t="shared" si="3"/>
        <v>0</v>
      </c>
      <c r="AX7" s="19">
        <f t="shared" si="3"/>
        <v>0</v>
      </c>
      <c r="AY7" s="19">
        <f t="shared" si="3"/>
        <v>0</v>
      </c>
      <c r="AZ7" s="19">
        <f t="shared" si="3"/>
        <v>0</v>
      </c>
      <c r="BA7" s="20">
        <f t="shared" si="3"/>
        <v>0</v>
      </c>
    </row>
    <row r="8" spans="1:53" s="27" customFormat="1" ht="11.25" x14ac:dyDescent="0.2">
      <c r="A8" s="10"/>
      <c r="B8" s="11"/>
      <c r="C8" s="12"/>
      <c r="D8" s="13"/>
      <c r="E8" s="14"/>
      <c r="F8" s="15"/>
      <c r="G8" s="16"/>
      <c r="H8" s="17"/>
      <c r="I8" s="6"/>
      <c r="J8" s="7"/>
      <c r="K8" s="8"/>
      <c r="L8" s="9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1:53" s="27" customFormat="1" ht="11.25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</row>
    <row r="10" spans="1:53" s="27" customFormat="1" ht="11.25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</row>
    <row r="11" spans="1:53" s="27" customFormat="1" ht="11.25" x14ac:dyDescent="0.2"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</row>
    <row r="12" spans="1:53" s="27" customFormat="1" x14ac:dyDescent="0.25"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</sheetData>
  <mergeCells count="1">
    <mergeCell ref="A1:G1"/>
  </mergeCells>
  <phoneticPr fontId="3" type="noConversion"/>
  <conditionalFormatting sqref="N5:N7">
    <cfRule type="expression" dxfId="0" priority="1">
      <formula>ABS(G5-J5-M5)&gt;1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DBBB9-7957-4D79-A999-5A660EB7E130}">
  <dimension ref="A1:D5"/>
  <sheetViews>
    <sheetView workbookViewId="0">
      <selection activeCell="H14" sqref="H14"/>
    </sheetView>
  </sheetViews>
  <sheetFormatPr defaultColWidth="11.42578125" defaultRowHeight="15.75" x14ac:dyDescent="0.25"/>
  <cols>
    <col min="1" max="1" width="6.28515625" style="53" bestFit="1" customWidth="1"/>
    <col min="2" max="2" width="17" style="53" bestFit="1" customWidth="1"/>
    <col min="3" max="3" width="9" style="53" bestFit="1" customWidth="1"/>
    <col min="4" max="4" width="10.7109375" style="53" bestFit="1" customWidth="1"/>
    <col min="5" max="16384" width="11.42578125" style="53"/>
  </cols>
  <sheetData>
    <row r="1" spans="1:4" x14ac:dyDescent="0.25">
      <c r="A1" s="50"/>
      <c r="B1" s="51" t="s">
        <v>10</v>
      </c>
      <c r="C1" s="52" t="s">
        <v>14</v>
      </c>
      <c r="D1" s="51" t="s">
        <v>15</v>
      </c>
    </row>
    <row r="2" spans="1:4" x14ac:dyDescent="0.25">
      <c r="A2" s="53" t="s">
        <v>24</v>
      </c>
      <c r="B2" s="54">
        <f>INDEX(Tabel1[],MATCH(B$1,Tabel1[[Véhicule / Machine:]:[Véhicule / Machine:]],0),MATCH($A2,Tabel1[#Headers],0))</f>
        <v>225.66</v>
      </c>
      <c r="C2" s="54">
        <f>INDEX(Tabel1[],MATCH(C$1,Tabel1[[Véhicule / Machine:]:[Véhicule / Machine:]],0),MATCH($A2,Tabel1[#Headers],0))</f>
        <v>209.54</v>
      </c>
      <c r="D2" s="54">
        <f>INDEX(Tabel1[],MATCH(D$1,Tabel1[[Véhicule / Machine:]:[Véhicule / Machine:]],0),MATCH($A2,Tabel1[#Headers],0))</f>
        <v>1047.72</v>
      </c>
    </row>
    <row r="3" spans="1:4" x14ac:dyDescent="0.25">
      <c r="A3" s="53" t="s">
        <v>25</v>
      </c>
      <c r="B3" s="54">
        <f>INDEX(Tabel1[],MATCH(B$1,Tabel1[[Véhicule / Machine:]:[Véhicule / Machine:]],0),MATCH($A3,Tabel1[#Headers],0))</f>
        <v>0</v>
      </c>
      <c r="C3" s="54">
        <f>INDEX(Tabel1[],MATCH(C$1,Tabel1[[Véhicule / Machine:]:[Véhicule / Machine:]],0),MATCH($A3,Tabel1[#Headers],0))</f>
        <v>209.54</v>
      </c>
      <c r="D3" s="54">
        <f>INDEX(Tabel1[],MATCH(D$1,Tabel1[[Véhicule / Machine:]:[Véhicule / Machine:]],0),MATCH($A3,Tabel1[#Headers],0))</f>
        <v>1047.72</v>
      </c>
    </row>
    <row r="4" spans="1:4" x14ac:dyDescent="0.25">
      <c r="A4" s="53" t="s">
        <v>26</v>
      </c>
      <c r="B4" s="54">
        <f>INDEX(Tabel1[],MATCH(B$1,Tabel1[[Véhicule / Machine:]:[Véhicule / Machine:]],0),MATCH($A4,Tabel1[#Headers],0))</f>
        <v>0</v>
      </c>
      <c r="C4" s="54">
        <f>INDEX(Tabel1[],MATCH(C$1,Tabel1[[Véhicule / Machine:]:[Véhicule / Machine:]],0),MATCH($A4,Tabel1[#Headers],0))</f>
        <v>211.84</v>
      </c>
      <c r="D4" s="54">
        <f>INDEX(Tabel1[],MATCH(D$1,Tabel1[[Véhicule / Machine:]:[Véhicule / Machine:]],0),MATCH($A4,Tabel1[#Headers],0))</f>
        <v>886.53</v>
      </c>
    </row>
    <row r="5" spans="1:4" x14ac:dyDescent="0.25">
      <c r="A5" s="53" t="s">
        <v>27</v>
      </c>
      <c r="B5" s="54">
        <f>INDEX(Tabel1[],MATCH(B$1,Tabel1[[Véhicule / Machine:]:[Véhicule / Machine:]],0),MATCH($A5,Tabel1[#Headers],0))</f>
        <v>0</v>
      </c>
      <c r="C5" s="54">
        <f>INDEX(Tabel1[],MATCH(C$1,Tabel1[[Véhicule / Machine:]:[Véhicule / Machine:]],0),MATCH($A5,Tabel1[#Headers],0))</f>
        <v>211.84</v>
      </c>
      <c r="D5" s="54">
        <f>INDEX(Tabel1[],MATCH(D$1,Tabel1[[Véhicule / Machine:]:[Véhicule / Machine:]],0),MATCH($A5,Tabel1[#Headers],0))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Amortissements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BSA</cp:lastModifiedBy>
  <dcterms:created xsi:type="dcterms:W3CDTF">2015-06-05T18:19:34Z</dcterms:created>
  <dcterms:modified xsi:type="dcterms:W3CDTF">2024-02-04T23:36:21Z</dcterms:modified>
</cp:coreProperties>
</file>