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3E399A1-F1AF-47D8-B3AC-AD616B2BEA83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grid arme+summon" sheetId="1" r:id="rId1"/>
    <sheet name="Bonus d'arme normal" sheetId="2" r:id="rId2"/>
    <sheet name="bonus d'arme omega" sheetId="3" r:id="rId3"/>
    <sheet name="bonus d'arme EX" sheetId="4" r:id="rId4"/>
  </sheets>
  <definedNames>
    <definedName name="EX">'bonus d''arme EX'!$A$3:$F$13</definedName>
    <definedName name="Normal">'Bonus d''arme normal'!$A$2:$H$81</definedName>
    <definedName name="Omega">'bonus d''arme omega'!$A$3:$H$62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0" i="1" l="1" a="1"/>
  <c r="M30" i="1" s="1"/>
  <c r="N19" i="1" a="1"/>
  <c r="N19" i="1" s="1"/>
  <c r="E81" i="2"/>
  <c r="E80" i="2"/>
  <c r="E79" i="2"/>
  <c r="E78" i="2"/>
  <c r="D80" i="2"/>
  <c r="D79" i="2"/>
  <c r="D78" i="2"/>
  <c r="C81" i="2"/>
  <c r="C80" i="2"/>
  <c r="C79" i="2"/>
  <c r="C78" i="2"/>
  <c r="F76" i="2"/>
  <c r="E76" i="2"/>
  <c r="D76" i="2"/>
  <c r="F75" i="2"/>
  <c r="F74" i="2"/>
  <c r="F73" i="2"/>
  <c r="E73" i="2"/>
  <c r="E75" i="2"/>
  <c r="E74" i="2"/>
  <c r="D75" i="2"/>
  <c r="D74" i="2"/>
  <c r="D73" i="2"/>
  <c r="N12" i="1"/>
  <c r="T5" i="1" a="1"/>
  <c r="T5" i="1" s="1"/>
  <c r="U5" i="1" a="1"/>
  <c r="U5" i="1" s="1"/>
  <c r="G13" i="1"/>
  <c r="G9" i="1"/>
  <c r="H4" i="1" a="1"/>
  <c r="H6" i="1" a="1"/>
  <c r="H8" i="1" a="1"/>
  <c r="H10" i="1" a="1"/>
  <c r="H12" i="1" a="1"/>
  <c r="H14" i="1" a="1"/>
  <c r="H16" i="1" a="1"/>
  <c r="H18" i="1" a="1"/>
  <c r="H20" i="1" a="1"/>
  <c r="H22" i="1" a="1"/>
  <c r="H24" i="1" a="1"/>
  <c r="H26" i="1" a="1"/>
  <c r="H28" i="1" a="1"/>
  <c r="H30" i="1" a="1"/>
  <c r="H32" i="1" a="1"/>
  <c r="H34" i="1" a="1"/>
  <c r="H36" i="1" a="1"/>
  <c r="H38" i="1" a="1"/>
  <c r="H40" i="1" a="1"/>
  <c r="H42" i="1" a="1"/>
  <c r="H44" i="1" a="1"/>
  <c r="H46" i="1" a="1"/>
  <c r="H48" i="1" a="1"/>
  <c r="H50" i="1" a="1"/>
  <c r="H52" i="1" a="1"/>
  <c r="H54" i="1" a="1"/>
  <c r="H5" i="1" a="1"/>
  <c r="H7" i="1" a="1"/>
  <c r="H9" i="1" a="1"/>
  <c r="H11" i="1" a="1"/>
  <c r="H13" i="1" a="1"/>
  <c r="H15" i="1" a="1"/>
  <c r="H17" i="1" a="1"/>
  <c r="H19" i="1" a="1"/>
  <c r="H21" i="1" a="1"/>
  <c r="H23" i="1" a="1"/>
  <c r="H25" i="1" a="1"/>
  <c r="H27" i="1" a="1"/>
  <c r="H29" i="1" a="1"/>
  <c r="H31" i="1" a="1"/>
  <c r="H33" i="1" a="1"/>
  <c r="H35" i="1" a="1"/>
  <c r="H37" i="1" a="1"/>
  <c r="H39" i="1" a="1"/>
  <c r="H41" i="1" a="1"/>
  <c r="H43" i="1" a="1"/>
  <c r="H45" i="1" a="1"/>
  <c r="H47" i="1" a="1"/>
  <c r="H49" i="1" a="1"/>
  <c r="H51" i="1" a="1"/>
  <c r="H53" i="1" a="1"/>
  <c r="H55" i="1" a="1"/>
  <c r="H55" i="1" l="1"/>
  <c r="H53" i="1"/>
  <c r="H51" i="1"/>
  <c r="H49" i="1"/>
  <c r="H47" i="1"/>
  <c r="H45" i="1"/>
  <c r="H43" i="1"/>
  <c r="H41" i="1"/>
  <c r="H39" i="1"/>
  <c r="H37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5" i="1"/>
  <c r="H54" i="1"/>
  <c r="H52" i="1"/>
  <c r="H50" i="1"/>
  <c r="H48" i="1"/>
  <c r="J48" i="1" s="1" a="1"/>
  <c r="J48" i="1" s="1"/>
  <c r="H46" i="1"/>
  <c r="H44" i="1"/>
  <c r="H42" i="1"/>
  <c r="H40" i="1"/>
  <c r="J40" i="1" s="1" a="1"/>
  <c r="J40" i="1" s="1"/>
  <c r="H38" i="1"/>
  <c r="H36" i="1"/>
  <c r="J36" i="1" s="1" a="1"/>
  <c r="J36" i="1" s="1"/>
  <c r="H34" i="1"/>
  <c r="H32" i="1"/>
  <c r="J32" i="1" s="1" a="1"/>
  <c r="J32" i="1" s="1"/>
  <c r="H30" i="1"/>
  <c r="H28" i="1"/>
  <c r="H26" i="1"/>
  <c r="H24" i="1"/>
  <c r="J24" i="1" s="1" a="1"/>
  <c r="J24" i="1" s="1"/>
  <c r="H22" i="1"/>
  <c r="H20" i="1"/>
  <c r="J20" i="1" s="1" a="1"/>
  <c r="J20" i="1" s="1"/>
  <c r="H18" i="1"/>
  <c r="H16" i="1"/>
  <c r="J16" i="1" s="1" a="1"/>
  <c r="J16" i="1" s="1"/>
  <c r="H14" i="1"/>
  <c r="H12" i="1"/>
  <c r="J12" i="1" s="1" a="1"/>
  <c r="J12" i="1" s="1"/>
  <c r="H10" i="1"/>
  <c r="H8" i="1"/>
  <c r="J8" i="1" s="1" a="1"/>
  <c r="J8" i="1" s="1"/>
  <c r="N17" i="1" s="1"/>
  <c r="H6" i="1"/>
  <c r="H4" i="1"/>
  <c r="J4" i="1" s="1" a="1"/>
  <c r="J4" i="1" s="1"/>
  <c r="J44" i="1" a="1"/>
  <c r="J44" i="1" s="1"/>
  <c r="J28" i="1" a="1"/>
  <c r="J28" i="1" s="1"/>
  <c r="J52" i="1" a="1"/>
  <c r="J52" i="1" s="1"/>
  <c r="G5" i="1"/>
  <c r="G53" i="1"/>
  <c r="G49" i="1"/>
  <c r="G45" i="1"/>
  <c r="G41" i="1"/>
  <c r="G37" i="1"/>
  <c r="G33" i="1"/>
  <c r="G29" i="1"/>
  <c r="G25" i="1"/>
  <c r="G21" i="1"/>
  <c r="G17" i="1"/>
  <c r="G14" i="1"/>
  <c r="T11" i="1"/>
  <c r="T10" i="1" a="1"/>
  <c r="T10" i="1" s="1"/>
  <c r="N15" i="1"/>
  <c r="N21" i="1"/>
  <c r="D21" i="1"/>
  <c r="D17" i="1"/>
  <c r="D13" i="1"/>
  <c r="D9" i="1"/>
  <c r="D5" i="1"/>
  <c r="J9" i="1" l="1" a="1"/>
  <c r="J9" i="1" s="1"/>
  <c r="N18" i="1" s="1"/>
  <c r="J17" i="1" a="1"/>
  <c r="J17" i="1" s="1"/>
  <c r="J13" i="1" a="1"/>
  <c r="J13" i="1" s="1"/>
  <c r="J5" i="1" a="1"/>
  <c r="J5" i="1" s="1"/>
  <c r="J21" i="1" a="1"/>
  <c r="J21" i="1" s="1"/>
  <c r="G46" i="1"/>
  <c r="G15" i="1"/>
  <c r="G22" i="1"/>
  <c r="G26" i="1"/>
  <c r="G50" i="1"/>
  <c r="G18" i="1"/>
  <c r="G30" i="1"/>
  <c r="G54" i="1"/>
  <c r="G55" i="1" s="1"/>
  <c r="G34" i="1"/>
  <c r="G42" i="1"/>
  <c r="G6" i="1"/>
  <c r="G38" i="1"/>
  <c r="N22" i="1"/>
  <c r="N11" i="1"/>
  <c r="D10" i="1"/>
  <c r="J10" i="1" s="1" a="1"/>
  <c r="J10" i="1" s="1"/>
  <c r="D14" i="1"/>
  <c r="J14" i="1" s="1" a="1"/>
  <c r="J14" i="1" s="1"/>
  <c r="D18" i="1"/>
  <c r="J18" i="1" s="1" a="1"/>
  <c r="J18" i="1" s="1"/>
  <c r="D22" i="1"/>
  <c r="J22" i="1" s="1" a="1"/>
  <c r="J22" i="1" s="1"/>
  <c r="D6" i="1"/>
  <c r="J6" i="1" s="1" a="1"/>
  <c r="J6" i="1" s="1"/>
  <c r="N16" i="1" s="1"/>
  <c r="G31" i="1" l="1"/>
  <c r="G19" i="1"/>
  <c r="G7" i="1"/>
  <c r="G51" i="1"/>
  <c r="G27" i="1"/>
  <c r="G23" i="1"/>
  <c r="G43" i="1"/>
  <c r="G39" i="1"/>
  <c r="G35" i="1"/>
  <c r="G47" i="1"/>
  <c r="D23" i="1"/>
  <c r="J23" i="1" s="1" a="1"/>
  <c r="J23" i="1" s="1"/>
  <c r="D19" i="1"/>
  <c r="D15" i="1"/>
  <c r="J15" i="1" s="1" a="1"/>
  <c r="J15" i="1" s="1"/>
  <c r="D11" i="1"/>
  <c r="J11" i="1" s="1" a="1"/>
  <c r="J11" i="1" s="1"/>
  <c r="D7" i="1"/>
  <c r="J7" i="1" s="1" a="1"/>
  <c r="J7" i="1" s="1"/>
  <c r="N20" i="1" s="1"/>
  <c r="N14" i="1" l="1"/>
  <c r="N13" i="1"/>
  <c r="N10" i="1"/>
  <c r="J19" i="1" a="1"/>
  <c r="J19" i="1" s="1"/>
  <c r="N23" i="1"/>
  <c r="D25" i="1" l="1"/>
  <c r="J25" i="1" s="1" a="1"/>
  <c r="J25" i="1" s="1"/>
  <c r="D26" i="1" l="1"/>
  <c r="J26" i="1" s="1" a="1"/>
  <c r="J26" i="1" s="1"/>
  <c r="D27" i="1" l="1"/>
  <c r="J27" i="1" s="1" a="1"/>
  <c r="J27" i="1" s="1"/>
  <c r="D29" i="1" l="1"/>
  <c r="D30" i="1" l="1"/>
  <c r="J29" i="1" a="1"/>
  <c r="J29" i="1" s="1"/>
  <c r="D33" i="1"/>
  <c r="J33" i="1" s="1" a="1"/>
  <c r="J33" i="1" s="1"/>
  <c r="D31" i="1" l="1"/>
  <c r="J31" i="1" s="1" a="1"/>
  <c r="J31" i="1" s="1"/>
  <c r="J30" i="1" a="1"/>
  <c r="J30" i="1" s="1"/>
  <c r="D34" i="1"/>
  <c r="J34" i="1" s="1" a="1"/>
  <c r="J34" i="1" s="1"/>
  <c r="D35" i="1" l="1"/>
  <c r="J35" i="1" s="1" a="1"/>
  <c r="J35" i="1" s="1"/>
  <c r="D37" i="1" l="1"/>
  <c r="J37" i="1" s="1" a="1"/>
  <c r="J37" i="1" s="1"/>
  <c r="D38" i="1" l="1"/>
  <c r="J38" i="1" s="1" a="1"/>
  <c r="J38" i="1" s="1"/>
  <c r="D39" i="1" l="1"/>
  <c r="J39" i="1" s="1" a="1"/>
  <c r="J39" i="1" s="1"/>
  <c r="D41" i="1" l="1"/>
  <c r="J41" i="1" s="1" a="1"/>
  <c r="J41" i="1" s="1"/>
  <c r="D42" i="1" l="1"/>
  <c r="J42" i="1" s="1" a="1"/>
  <c r="J42" i="1" s="1"/>
  <c r="D43" i="1" l="1"/>
  <c r="J43" i="1" s="1" a="1"/>
  <c r="J43" i="1" s="1"/>
  <c r="D45" i="1" l="1"/>
  <c r="J45" i="1" s="1" a="1"/>
  <c r="J45" i="1" s="1"/>
  <c r="D46" i="1" l="1"/>
  <c r="J46" i="1" s="1" a="1"/>
  <c r="J46" i="1" s="1"/>
  <c r="D47" i="1" l="1"/>
  <c r="J47" i="1" s="1" a="1"/>
  <c r="J47" i="1" s="1"/>
  <c r="D49" i="1" l="1"/>
  <c r="J49" i="1" s="1" a="1"/>
  <c r="J49" i="1" s="1"/>
  <c r="D50" i="1" l="1"/>
  <c r="J50" i="1" s="1" a="1"/>
  <c r="J50" i="1" s="1"/>
  <c r="D51" i="1" l="1"/>
  <c r="J51" i="1" s="1" a="1"/>
  <c r="J51" i="1" s="1"/>
  <c r="D53" i="1" l="1"/>
  <c r="J53" i="1" s="1" a="1"/>
  <c r="J53" i="1" s="1"/>
  <c r="D54" i="1" l="1"/>
  <c r="J54" i="1" s="1" a="1"/>
  <c r="J54" i="1" s="1"/>
  <c r="D55" i="1" l="1"/>
  <c r="J55" i="1" s="1" a="1"/>
  <c r="J55" i="1" s="1"/>
  <c r="G10" i="1"/>
  <c r="G1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<sst xmlns="http://schemas.openxmlformats.org/spreadsheetml/2006/main" count="478" uniqueCount="84">
  <si>
    <t xml:space="preserve"> </t>
  </si>
  <si>
    <t>nom de l'arme</t>
  </si>
  <si>
    <t>Exemplaire.s</t>
  </si>
  <si>
    <t>bonus</t>
  </si>
  <si>
    <t>modifieur de puissance</t>
  </si>
  <si>
    <t>Skill lvl</t>
  </si>
  <si>
    <t>multiplicateur (%)</t>
  </si>
  <si>
    <t>bonus total (%)</t>
  </si>
  <si>
    <t>nature</t>
  </si>
  <si>
    <t>main summon</t>
  </si>
  <si>
    <t>support summon</t>
  </si>
  <si>
    <t>sub summon</t>
  </si>
  <si>
    <t xml:space="preserve">bonus par arme </t>
  </si>
  <si>
    <t>bonus par personage</t>
  </si>
  <si>
    <t>Arme 1</t>
  </si>
  <si>
    <t>Galilei's Insight</t>
  </si>
  <si>
    <t>pv</t>
  </si>
  <si>
    <t>normal</t>
  </si>
  <si>
    <t>tous</t>
  </si>
  <si>
    <t>aucun</t>
  </si>
  <si>
    <t>bonus summon : +X%</t>
  </si>
  <si>
    <t>autre</t>
  </si>
  <si>
    <t>Arme 2</t>
  </si>
  <si>
    <t>Blue Sphere</t>
  </si>
  <si>
    <t>nature du bonus</t>
  </si>
  <si>
    <t>valeur total du bonus</t>
  </si>
  <si>
    <t>valeur max effective</t>
  </si>
  <si>
    <t>grille normalle</t>
  </si>
  <si>
    <t>nombre max d'armes</t>
  </si>
  <si>
    <t>attaque</t>
  </si>
  <si>
    <t>nombre d'armes</t>
  </si>
  <si>
    <t>Arme 3</t>
  </si>
  <si>
    <t>Murgleis</t>
  </si>
  <si>
    <t>crit rate</t>
  </si>
  <si>
    <t>DA</t>
  </si>
  <si>
    <t>TA</t>
  </si>
  <si>
    <t>dmg cap</t>
  </si>
  <si>
    <t>Proportion de PV (%)</t>
  </si>
  <si>
    <t>Arme 4</t>
  </si>
  <si>
    <t>Wamdus's Cnidocyte</t>
  </si>
  <si>
    <t>CA dmg up</t>
  </si>
  <si>
    <t>CA dmg cap</t>
  </si>
  <si>
    <t>skill dmg cap</t>
  </si>
  <si>
    <t>stamina</t>
  </si>
  <si>
    <t>Arme 5</t>
  </si>
  <si>
    <t>True Glacial Dream Staff</t>
  </si>
  <si>
    <t>EX</t>
  </si>
  <si>
    <t>enmity</t>
  </si>
  <si>
    <t>supplémental DMG</t>
  </si>
  <si>
    <t>supplémental skill DMG</t>
  </si>
  <si>
    <t>amplification</t>
  </si>
  <si>
    <t>Arme 6</t>
  </si>
  <si>
    <t>sceptre de gabriel</t>
  </si>
  <si>
    <t>seraphic</t>
  </si>
  <si>
    <t>Arme 7</t>
  </si>
  <si>
    <t>Excalibur eau</t>
  </si>
  <si>
    <t>arme 8</t>
  </si>
  <si>
    <t>arme 9</t>
  </si>
  <si>
    <t>arme 10</t>
  </si>
  <si>
    <t>arme 11</t>
  </si>
  <si>
    <t>arme 12</t>
  </si>
  <si>
    <t>arme 13</t>
  </si>
  <si>
    <t>Pro tips</t>
  </si>
  <si>
    <t>bonus omega total</t>
  </si>
  <si>
    <t>bonus normal total</t>
  </si>
  <si>
    <t>omega</t>
  </si>
  <si>
    <t>MA fadango</t>
  </si>
  <si>
    <t>MA devastation</t>
  </si>
  <si>
    <t>MA normal</t>
  </si>
  <si>
    <t>TA normal</t>
  </si>
  <si>
    <t>TA fadango</t>
  </si>
  <si>
    <t>TA devastation</t>
  </si>
  <si>
    <t>multiplicateur si spécial</t>
  </si>
  <si>
    <t>skill lvl</t>
  </si>
  <si>
    <t>petit</t>
  </si>
  <si>
    <t>moyen</t>
  </si>
  <si>
    <t>gros</t>
  </si>
  <si>
    <t>gros2</t>
  </si>
  <si>
    <t>absurde</t>
  </si>
  <si>
    <t>massif</t>
  </si>
  <si>
    <t>note</t>
  </si>
  <si>
    <t>excelsior est spécial</t>
  </si>
  <si>
    <t>+50% de dégat</t>
  </si>
  <si>
    <t>x = Amosaron("normal", "Attaque", "moyen", 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</si>
</sst>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222222"/>
      <name val="Calibri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222222"/>
      <name val="Arial"/>
      <family val="2"/>
    </font>
    <font>
      <sz val="11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E00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9" fontId="0" fillId="0" borderId="0" xfId="0" applyNumberFormat="1"/>
    <xf numFmtId="0" fontId="1" fillId="0" borderId="0" xfId="0" applyFont="1"/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3" fontId="0" fillId="0" borderId="0" xfId="0" applyNumberFormat="1"/>
    <xf numFmtId="2" fontId="0" fillId="0" borderId="0" xfId="0" applyNumberFormat="1"/>
    <xf numFmtId="3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4" fillId="0" borderId="0" xfId="1"/>
    <xf numFmtId="0" fontId="5" fillId="0" borderId="0" xfId="0" applyFont="1"/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3" fontId="0" fillId="0" borderId="0" xfId="0" applyNumberFormat="1" applyAlignment="1">
      <alignment horizontal="right"/>
    </xf>
    <xf numFmtId="0" fontId="7" fillId="0" borderId="0" xfId="0" applyFont="1"/>
    <xf numFmtId="0" fontId="0" fillId="0" borderId="0" xfId="0" quotePrefix="1"/>
    <xf numFmtId="0" fontId="0" fillId="2" borderId="0" xfId="0" applyFill="1"/>
    <xf numFmtId="164" fontId="0" fillId="0" borderId="0" xfId="0" applyNumberFormat="1"/>
  </cellXfs>
  <cellStyles count="2">
    <cellStyle name="Hyperlink" xfId="1" xr:uid="{00000000-000B-0000-0000-000008000000}"/>
    <cellStyle name="Standaard" xfId="0" builtinId="0"/>
  </cellStyles>
  <dxfs count="23">
    <dxf>
      <numFmt numFmtId="0" formatCode="General"/>
    </dxf>
    <dxf>
      <numFmt numFmtId="13" formatCode="0%"/>
    </dxf>
    <dxf>
      <numFmt numFmtId="2" formatCode="0.00"/>
    </dxf>
    <dxf>
      <numFmt numFmtId="13" formatCode="0%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</dxfs>
  <tableStyles count="0" defaultTableStyle="TableStyleMedium2" defaultPivotStyle="PivotStyleMedium9"/>
  <colors>
    <mruColors>
      <color rgb="FFEE00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BE2978-503C-4B49-968E-933100C5489D}" name="Tableau1" displayName="Tableau1" ref="B3:K55" totalsRowShown="0">
  <autoFilter ref="B3:K55" xr:uid="{71BE2978-503C-4B49-968E-933100C5489D}"/>
  <tableColumns count="10">
    <tableColumn id="1" xr3:uid="{08EC2570-6DEB-41E1-9092-AF8FB5E59B97}" name=" "/>
    <tableColumn id="7" xr3:uid="{1E708954-70F7-4842-B844-EC11227FE3F7}" name="nom de l'arme"/>
    <tableColumn id="2" xr3:uid="{D3C59CB4-BA66-42DF-B7C2-30AC46CA46DD}" name="Exemplaire.s">
      <calculatedColumnFormula>D3</calculatedColumnFormula>
    </tableColumn>
    <tableColumn id="3" xr3:uid="{D5E7426F-B39C-4E0E-9CBB-F79D70379357}" name="bonus"/>
    <tableColumn id="8" xr3:uid="{445D24D4-B6B8-4BF5-86E8-6CF5A29FDA1F}" name="modifieur de puissance"/>
    <tableColumn id="9" xr3:uid="{8869C376-D4A4-4965-B12C-123ADECC9054}" name="Skill lvl"/>
    <tableColumn id="4" xr3:uid="{3F9C4E26-7C3E-4F71-ACBE-21D267B3A9C9}" name="multiplicateur (%)" dataDxfId="0">
      <calculatedColumnFormula array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calculatedColumnFormula>
    </tableColumn>
    <tableColumn id="10" xr3:uid="{C0E2C184-6795-4838-B483-2261BB4148B7}" name="multiplicateur si spécial" dataDxfId="3"/>
    <tableColumn id="5" xr3:uid="{E73E8197-DF95-4388-8F4A-94B14A529E8B}" name="bonus total (%)" dataDxfId="2">
      <calculatedColumnFormula array="1">Tableau1[[#This Row],[multiplicateur (%)]]/100*_xlfn.SWITCH(Tableau1[[#This Row],[nature]],"omega",$T$5+1,"normal",$U$5+1,1)*Tableau1[[#This Row],[Exemplaire.s]]*100</calculatedColumnFormula>
    </tableColumn>
    <tableColumn id="6" xr3:uid="{7A557A5A-BAC9-4EFA-9D4D-1895C1C9A70E}" name="natu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youtu.be/dQw4w9WgXcQ?si=cnBwQEqqVnsC3f8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rgb="FFFF0000"/>
  </sheetPr>
  <dimension ref="B3:U104"/>
  <sheetViews>
    <sheetView tabSelected="1" zoomScaleNormal="100" workbookViewId="0">
      <selection activeCell="F6" sqref="F6"/>
    </sheetView>
  </sheetViews>
  <sheetFormatPr defaultColWidth="9.140625" defaultRowHeight="15" x14ac:dyDescent="0.25"/>
  <cols>
    <col min="2" max="2" width="9.28515625" customWidth="1"/>
    <col min="3" max="3" width="22.42578125" customWidth="1"/>
    <col min="4" max="4" width="14.7109375" customWidth="1"/>
    <col min="5" max="5" width="22.28515625" customWidth="1"/>
    <col min="6" max="6" width="25.28515625" customWidth="1"/>
    <col min="7" max="7" width="16.140625" customWidth="1"/>
    <col min="8" max="8" width="18.42578125" customWidth="1"/>
    <col min="9" max="9" width="24.42578125" customWidth="1"/>
    <col min="10" max="10" width="10.5703125" customWidth="1"/>
    <col min="11" max="11" width="20.5703125" customWidth="1"/>
    <col min="12" max="12" width="18.140625" customWidth="1"/>
    <col min="13" max="13" width="20" customWidth="1"/>
    <col min="14" max="14" width="18.85546875" customWidth="1"/>
    <col min="15" max="15" width="19.5703125" customWidth="1"/>
    <col min="16" max="16" width="18.28515625" customWidth="1"/>
    <col min="17" max="17" width="19.85546875" customWidth="1"/>
    <col min="18" max="18" width="10.42578125" bestFit="1" customWidth="1"/>
    <col min="19" max="19" width="18.42578125" customWidth="1"/>
    <col min="20" max="20" width="17.5703125" customWidth="1"/>
    <col min="21" max="21" width="17.85546875" customWidth="1"/>
    <col min="22" max="22" width="9.42578125" customWidth="1"/>
    <col min="23" max="23" width="8.5703125" customWidth="1"/>
    <col min="24" max="24" width="9" customWidth="1"/>
    <col min="25" max="25" width="19.7109375" customWidth="1"/>
  </cols>
  <sheetData>
    <row r="3" spans="2:21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72</v>
      </c>
      <c r="J3" t="s">
        <v>7</v>
      </c>
      <c r="K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</row>
    <row r="4" spans="2:21" x14ac:dyDescent="0.25">
      <c r="B4" t="s">
        <v>14</v>
      </c>
      <c r="C4" t="s">
        <v>15</v>
      </c>
      <c r="D4">
        <v>2</v>
      </c>
      <c r="E4" t="s">
        <v>29</v>
      </c>
      <c r="F4" t="s">
        <v>75</v>
      </c>
      <c r="G4">
        <v>20</v>
      </c>
      <c r="H4" s="15" cm="1">
        <f t="array" aca="1" ref="H4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16</v>
      </c>
      <c r="I4" s="1"/>
      <c r="J4" s="6" cm="1">
        <f t="array" aca="1" ref="J4" ca="1">Tableau1[[#This Row],[multiplicateur (%)]]/100*_xlfn.SWITCH(Tableau1[[#This Row],[nature]],"omega",$T$5+1,"normal",$U$5+1,1)*Tableau1[[#This Row],[Exemplaire.s]]*100</f>
        <v>131.19999999999999</v>
      </c>
      <c r="K4" s="1" t="s">
        <v>17</v>
      </c>
      <c r="N4" t="s">
        <v>17</v>
      </c>
      <c r="O4" t="s">
        <v>17</v>
      </c>
      <c r="P4" t="s">
        <v>17</v>
      </c>
      <c r="Q4" t="s">
        <v>17</v>
      </c>
      <c r="R4" t="s">
        <v>18</v>
      </c>
      <c r="T4" t="s">
        <v>63</v>
      </c>
      <c r="U4" t="s">
        <v>64</v>
      </c>
    </row>
    <row r="5" spans="2:21" x14ac:dyDescent="0.25">
      <c r="D5">
        <f>D4</f>
        <v>2</v>
      </c>
      <c r="E5" t="s">
        <v>67</v>
      </c>
      <c r="F5" t="s">
        <v>74</v>
      </c>
      <c r="G5">
        <f>G4</f>
        <v>20</v>
      </c>
      <c r="H5" cm="1">
        <f t="array" aca="1" ref="H5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0</v>
      </c>
      <c r="I5" s="1"/>
      <c r="J5" s="6" cm="1">
        <f t="array" aca="1" ref="J5" ca="1">Tableau1[[#This Row],[multiplicateur (%)]]/100*_xlfn.SWITCH(Tableau1[[#This Row],[nature]],"omega",$T$5+1,"normal",$U$5+1,1)*Tableau1[[#This Row],[Exemplaire.s]]*100</f>
        <v>0</v>
      </c>
      <c r="K5" s="1" t="s">
        <v>17</v>
      </c>
      <c r="M5" t="s">
        <v>20</v>
      </c>
      <c r="N5">
        <v>150</v>
      </c>
      <c r="O5">
        <v>150</v>
      </c>
      <c r="P5">
        <v>10</v>
      </c>
      <c r="Q5">
        <v>0</v>
      </c>
      <c r="R5">
        <v>0</v>
      </c>
      <c r="T5" cm="1">
        <f t="array" ref="T5">(SUMIFS($N$5:$R$5,$N$4:$R$4,"omega")+_xlfn.IFS($R$5&gt;0,$R$5,$R$5=0,0))/100</f>
        <v>0</v>
      </c>
      <c r="U5" cm="1">
        <f t="array" ref="U5">(SUMIFS($N$5:$R$5,$N$4:$R$4,"normal")+_xlfn.IFS($R$5&gt;0,$R$5,$R$5=0,0))/100</f>
        <v>3.1</v>
      </c>
    </row>
    <row r="6" spans="2:21" x14ac:dyDescent="0.25">
      <c r="D6">
        <f>D5</f>
        <v>2</v>
      </c>
      <c r="E6" t="s">
        <v>40</v>
      </c>
      <c r="F6" t="s">
        <v>76</v>
      </c>
      <c r="G6">
        <f>G5</f>
        <v>20</v>
      </c>
      <c r="H6" cm="1">
        <f t="array" aca="1" ref="H6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14.5</v>
      </c>
      <c r="I6" s="1"/>
      <c r="J6" s="6" cm="1">
        <f t="array" aca="1" ref="J6" ca="1">Tableau1[[#This Row],[multiplicateur (%)]]/100*_xlfn.SWITCH(Tableau1[[#This Row],[nature]],"omega",$T$5+1,"normal",$U$5+1,1)*Tableau1[[#This Row],[Exemplaire.s]]*100</f>
        <v>118.89999999999998</v>
      </c>
      <c r="K6" s="1" t="s">
        <v>17</v>
      </c>
      <c r="N6" s="2"/>
      <c r="O6" s="2"/>
    </row>
    <row r="7" spans="2:21" x14ac:dyDescent="0.25">
      <c r="D7">
        <f>D6</f>
        <v>2</v>
      </c>
      <c r="E7" t="s">
        <v>47</v>
      </c>
      <c r="G7">
        <f>G6</f>
        <v>20</v>
      </c>
      <c r="H7" t="str" cm="1">
        <f t="array" aca="1" ref="H7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7" s="1"/>
      <c r="J7" s="6" t="e" cm="1">
        <f t="array" aca="1" ref="J7" ca="1">Tableau1[[#This Row],[multiplicateur (%)]]/100*_xlfn.SWITCH(Tableau1[[#This Row],[nature]],"omega",$T$5+1,"normal",$U$5+1,1)*Tableau1[[#This Row],[Exemplaire.s]]*100</f>
        <v>#VALUE!</v>
      </c>
      <c r="K7" s="1" t="s">
        <v>21</v>
      </c>
      <c r="M7" s="2"/>
      <c r="N7" s="2"/>
      <c r="O7" s="2"/>
      <c r="P7" s="2"/>
    </row>
    <row r="8" spans="2:21" ht="15.75" x14ac:dyDescent="0.25">
      <c r="B8" t="s">
        <v>22</v>
      </c>
      <c r="C8" s="3" t="s">
        <v>23</v>
      </c>
      <c r="D8">
        <v>2</v>
      </c>
      <c r="E8" t="s">
        <v>41</v>
      </c>
      <c r="G8">
        <v>1</v>
      </c>
      <c r="H8" t="str" cm="1">
        <f t="array" aca="1" ref="H8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8" s="1"/>
      <c r="J8" s="6" t="e" cm="1">
        <f t="array" aca="1" ref="J8" ca="1">Tableau1[[#This Row],[multiplicateur (%)]]/100*_xlfn.SWITCH(Tableau1[[#This Row],[nature]],"omega",$T$5+1,"normal",$U$5+1,1)*Tableau1[[#This Row],[Exemplaire.s]]*100</f>
        <v>#VALUE!</v>
      </c>
      <c r="K8" s="1" t="s">
        <v>65</v>
      </c>
      <c r="M8" s="2"/>
    </row>
    <row r="9" spans="2:21" x14ac:dyDescent="0.25">
      <c r="D9">
        <f>D8</f>
        <v>2</v>
      </c>
      <c r="E9" t="s">
        <v>42</v>
      </c>
      <c r="G9">
        <f>G8</f>
        <v>1</v>
      </c>
      <c r="H9" t="str" cm="1">
        <f t="array" aca="1" ref="H9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9" s="1"/>
      <c r="J9" s="6" t="e" cm="1">
        <f t="array" aca="1" ref="J9" ca="1">Tableau1[[#This Row],[multiplicateur (%)]]/100*_xlfn.SWITCH(Tableau1[[#This Row],[nature]],"omega",$T$5+1,"normal",$U$5+1,1)*Tableau1[[#This Row],[Exemplaire.s]]*100</f>
        <v>#VALUE!</v>
      </c>
      <c r="K9" s="1" t="s">
        <v>17</v>
      </c>
      <c r="M9" s="2" t="s">
        <v>24</v>
      </c>
      <c r="N9" t="s">
        <v>25</v>
      </c>
      <c r="O9" t="s">
        <v>26</v>
      </c>
      <c r="P9" t="s">
        <v>80</v>
      </c>
      <c r="T9" t="s">
        <v>27</v>
      </c>
    </row>
    <row r="10" spans="2:21" x14ac:dyDescent="0.25">
      <c r="D10">
        <f>D9</f>
        <v>2</v>
      </c>
      <c r="E10" t="s">
        <v>19</v>
      </c>
      <c r="G10">
        <f>G9</f>
        <v>1</v>
      </c>
      <c r="H10" t="str" cm="1">
        <f t="array" aca="1" ref="H10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0" s="1"/>
      <c r="J10" s="6" t="e" cm="1">
        <f t="array" aca="1" ref="J10" ca="1">Tableau1[[#This Row],[multiplicateur (%)]]/100*_xlfn.SWITCH(Tableau1[[#This Row],[nature]],"omega",$T$5+1,"normal",$U$5+1,1)*Tableau1[[#This Row],[Exemplaire.s]]*100</f>
        <v>#VALUE!</v>
      </c>
      <c r="K10" s="1" t="s">
        <v>17</v>
      </c>
      <c r="M10" s="2" t="s">
        <v>16</v>
      </c>
      <c r="N10">
        <f>SUMIF(Tableau1[bonus],"pv",Tableau1[bonus total (%)])</f>
        <v>0</v>
      </c>
      <c r="O10" s="5">
        <v>400</v>
      </c>
      <c r="S10" t="s">
        <v>28</v>
      </c>
      <c r="T10" cm="1">
        <f t="array" ref="T10">_xlfn.SWITCH(T9,"grille normalle",10,"grille extra",13)</f>
        <v>10</v>
      </c>
    </row>
    <row r="11" spans="2:21" x14ac:dyDescent="0.25">
      <c r="D11">
        <f>D10</f>
        <v>2</v>
      </c>
      <c r="E11" t="s">
        <v>19</v>
      </c>
      <c r="G11">
        <f>G10</f>
        <v>1</v>
      </c>
      <c r="H11" t="str" cm="1">
        <f t="array" aca="1" ref="H11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1" s="1"/>
      <c r="J11" s="6" t="e" cm="1">
        <f t="array" aca="1" ref="J11" ca="1">Tableau1[[#This Row],[multiplicateur (%)]]/100*_xlfn.SWITCH(Tableau1[[#This Row],[nature]],"omega",$T$5+1,"normal",$U$5+1,1)*Tableau1[[#This Row],[Exemplaire.s]]*100</f>
        <v>#VALUE!</v>
      </c>
      <c r="K11" s="1" t="s">
        <v>21</v>
      </c>
      <c r="M11" s="2" t="s">
        <v>29</v>
      </c>
      <c r="N11">
        <f ca="1">SUMIF(Tableau1[bonus],"attaque",Tableau1[bonus total (%)])</f>
        <v>131.19999999999999</v>
      </c>
      <c r="O11" s="7" t="s">
        <v>19</v>
      </c>
      <c r="S11" t="s">
        <v>30</v>
      </c>
      <c r="T11">
        <f>D4+D8+D12+D16+D20+D24+D28+D32+D36+D40+D44+D48+D52</f>
        <v>10</v>
      </c>
    </row>
    <row r="12" spans="2:21" x14ac:dyDescent="0.25">
      <c r="B12" t="s">
        <v>31</v>
      </c>
      <c r="C12" t="s">
        <v>32</v>
      </c>
      <c r="D12">
        <v>1</v>
      </c>
      <c r="E12" t="s">
        <v>19</v>
      </c>
      <c r="G12">
        <v>1</v>
      </c>
      <c r="H12" t="str" cm="1">
        <f t="array" aca="1" ref="H12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2" s="1"/>
      <c r="J12" s="6" t="e" cm="1">
        <f t="array" aca="1" ref="J12" ca="1">Tableau1[[#This Row],[multiplicateur (%)]]/100*_xlfn.SWITCH(Tableau1[[#This Row],[nature]],"omega",$T$5+1,"normal",$U$5+1,1)*Tableau1[[#This Row],[Exemplaire.s]]*100</f>
        <v>#VALUE!</v>
      </c>
      <c r="K12" s="1" t="s">
        <v>17</v>
      </c>
      <c r="M12" s="2" t="s">
        <v>33</v>
      </c>
      <c r="N12">
        <f>SUMIF(Tableau1[bonus],"crit rate",Tableau1[bonus total (%)])</f>
        <v>0</v>
      </c>
      <c r="O12" s="13">
        <v>100</v>
      </c>
      <c r="P12" s="15" t="s">
        <v>82</v>
      </c>
    </row>
    <row r="13" spans="2:21" x14ac:dyDescent="0.25">
      <c r="D13">
        <f>D12</f>
        <v>1</v>
      </c>
      <c r="E13" t="s">
        <v>19</v>
      </c>
      <c r="G13">
        <f>G12</f>
        <v>1</v>
      </c>
      <c r="H13" t="str" cm="1">
        <f t="array" aca="1" ref="H13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3" s="1"/>
      <c r="J13" s="6" t="e" cm="1">
        <f t="array" aca="1" ref="J13" ca="1">Tableau1[[#This Row],[multiplicateur (%)]]/100*_xlfn.SWITCH(Tableau1[[#This Row],[nature]],"omega",$T$5+1,"normal",$U$5+1,1)*Tableau1[[#This Row],[Exemplaire.s]]*100</f>
        <v>#VALUE!</v>
      </c>
      <c r="K13" s="1" t="s">
        <v>17</v>
      </c>
      <c r="M13" s="2" t="s">
        <v>34</v>
      </c>
      <c r="N13">
        <f ca="1">SUMIF(Tableau1[bonus],"DA",Tableau1[bonus total (%)])+SUMIF(Tableau1[bonus],"MA fadango",Tableau1[bonus total (%)])+SUMIF(Tableau1[bonus],"MA devastation",Tableau1[bonus total (%)])+SUMIF(Tableau1[bonus],"MA normal",Tableau1[bonus total (%)])</f>
        <v>0</v>
      </c>
      <c r="O13" s="5">
        <v>75</v>
      </c>
    </row>
    <row r="14" spans="2:21" x14ac:dyDescent="0.25">
      <c r="D14">
        <f>D13</f>
        <v>1</v>
      </c>
      <c r="E14" t="s">
        <v>19</v>
      </c>
      <c r="G14">
        <f>G13</f>
        <v>1</v>
      </c>
      <c r="H14" t="str" cm="1">
        <f t="array" aca="1" ref="H14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4" s="1"/>
      <c r="J14" s="6" t="e" cm="1">
        <f t="array" aca="1" ref="J14" ca="1">Tableau1[[#This Row],[multiplicateur (%)]]/100*_xlfn.SWITCH(Tableau1[[#This Row],[nature]],"omega",$T$5+1,"normal",$U$5+1,1)*Tableau1[[#This Row],[Exemplaire.s]]*100</f>
        <v>#VALUE!</v>
      </c>
      <c r="K14" s="1" t="s">
        <v>21</v>
      </c>
      <c r="M14" s="2" t="s">
        <v>35</v>
      </c>
      <c r="N14">
        <f ca="1">SUMIF(Tableau1[bonus],"TA fadango",Tableau1[bonus total (%)])+SUMIF(Tableau1[bonus],"TA devastation",Tableau1[bonus total (%)])+SUMIF(Tableau1[bonus],"TA normal",Tableau1[bonus total (%)])+SUMIF(Tableau1[bonus],"MA fadango",Tableau1[bonus total (%)])+SUMIF(Tableau1[bonus],"MA devastation",Tableau1[bonus total (%)])+SUMIF(Tableau1[bonus],"MA normal",Tableau1[bonus total (%)])</f>
        <v>0</v>
      </c>
      <c r="O14" s="5">
        <v>75</v>
      </c>
    </row>
    <row r="15" spans="2:21" x14ac:dyDescent="0.25">
      <c r="D15">
        <f>D14</f>
        <v>1</v>
      </c>
      <c r="E15" t="s">
        <v>19</v>
      </c>
      <c r="G15">
        <f>G14</f>
        <v>1</v>
      </c>
      <c r="H15" t="str" cm="1">
        <f t="array" aca="1" ref="H15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5" s="1"/>
      <c r="J15" s="6" t="e" cm="1">
        <f t="array" aca="1" ref="J15" ca="1">Tableau1[[#This Row],[multiplicateur (%)]]/100*_xlfn.SWITCH(Tableau1[[#This Row],[nature]],"omega",$T$5+1,"normal",$U$5+1,1)*Tableau1[[#This Row],[Exemplaire.s]]*100</f>
        <v>#VALUE!</v>
      </c>
      <c r="K15" s="1" t="s">
        <v>21</v>
      </c>
      <c r="M15" s="2" t="s">
        <v>36</v>
      </c>
      <c r="N15">
        <f>SUMIF(Tableau1[bonus],"dmg cap",Tableau1[bonus total (%)])</f>
        <v>0</v>
      </c>
      <c r="O15" s="5">
        <v>20</v>
      </c>
      <c r="S15" t="s">
        <v>37</v>
      </c>
    </row>
    <row r="16" spans="2:21" ht="15.75" x14ac:dyDescent="0.25">
      <c r="B16" t="s">
        <v>38</v>
      </c>
      <c r="C16" s="4" t="s">
        <v>39</v>
      </c>
      <c r="D16">
        <v>2</v>
      </c>
      <c r="E16" t="s">
        <v>19</v>
      </c>
      <c r="G16">
        <v>1</v>
      </c>
      <c r="H16" t="str" cm="1">
        <f t="array" aca="1" ref="H16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6" s="1"/>
      <c r="J16" s="6" t="e" cm="1">
        <f t="array" aca="1" ref="J16" ca="1">Tableau1[[#This Row],[multiplicateur (%)]]/100*_xlfn.SWITCH(Tableau1[[#This Row],[nature]],"omega",$T$5+1,"normal",$U$5+1,1)*Tableau1[[#This Row],[Exemplaire.s]]*100</f>
        <v>#VALUE!</v>
      </c>
      <c r="K16" s="1" t="s">
        <v>21</v>
      </c>
      <c r="M16" s="2" t="s">
        <v>40</v>
      </c>
      <c r="N16">
        <f ca="1">SUMIF(Tableau1[bonus],"CA dmg up",Tableau1[bonus total (%)])</f>
        <v>118.89999999999998</v>
      </c>
      <c r="O16" s="5">
        <v>120</v>
      </c>
      <c r="S16">
        <v>95</v>
      </c>
    </row>
    <row r="17" spans="2:16" x14ac:dyDescent="0.25">
      <c r="D17">
        <f>D16</f>
        <v>2</v>
      </c>
      <c r="E17" t="s">
        <v>19</v>
      </c>
      <c r="G17">
        <f>G16</f>
        <v>1</v>
      </c>
      <c r="H17" t="str" cm="1">
        <f t="array" aca="1" ref="H17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7" s="1"/>
      <c r="J17" s="6" t="e" cm="1">
        <f t="array" aca="1" ref="J17" ca="1">Tableau1[[#This Row],[multiplicateur (%)]]/100*_xlfn.SWITCH(Tableau1[[#This Row],[nature]],"omega",$T$5+1,"normal",$U$5+1,1)*Tableau1[[#This Row],[Exemplaire.s]]*100</f>
        <v>#VALUE!</v>
      </c>
      <c r="K17" s="1" t="s">
        <v>21</v>
      </c>
      <c r="M17" s="2" t="s">
        <v>41</v>
      </c>
      <c r="N17" t="e">
        <f ca="1">SUMIF(Tableau1[bonus],"CA dmg cap",Tableau1[bonus total (%)])</f>
        <v>#VALUE!</v>
      </c>
      <c r="O17" s="5">
        <v>75</v>
      </c>
      <c r="P17" s="16" t="s">
        <v>81</v>
      </c>
    </row>
    <row r="18" spans="2:16" x14ac:dyDescent="0.25">
      <c r="D18">
        <f>D17</f>
        <v>2</v>
      </c>
      <c r="E18" t="s">
        <v>19</v>
      </c>
      <c r="G18">
        <f>G17</f>
        <v>1</v>
      </c>
      <c r="H18" t="str" cm="1">
        <f t="array" aca="1" ref="H18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8" s="1"/>
      <c r="J18" s="6" t="e" cm="1">
        <f t="array" aca="1" ref="J18" ca="1">Tableau1[[#This Row],[multiplicateur (%)]]/100*_xlfn.SWITCH(Tableau1[[#This Row],[nature]],"omega",$T$5+1,"normal",$U$5+1,1)*Tableau1[[#This Row],[Exemplaire.s]]*100</f>
        <v>#VALUE!</v>
      </c>
      <c r="K18" s="1" t="s">
        <v>21</v>
      </c>
      <c r="M18" s="2" t="s">
        <v>42</v>
      </c>
      <c r="N18" t="e">
        <f ca="1">SUMIF(Tableau1[bonus],"skill dmg cap",Tableau1[bonus total (%)])</f>
        <v>#VALUE!</v>
      </c>
      <c r="O18" s="5">
        <v>100</v>
      </c>
    </row>
    <row r="19" spans="2:16" x14ac:dyDescent="0.25">
      <c r="D19">
        <f>D18</f>
        <v>2</v>
      </c>
      <c r="E19" t="s">
        <v>19</v>
      </c>
      <c r="G19">
        <f>G18</f>
        <v>1</v>
      </c>
      <c r="H19" t="str" cm="1">
        <f t="array" aca="1" ref="H19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19" s="1"/>
      <c r="J19" s="6" t="e" cm="1">
        <f t="array" aca="1" ref="J19" ca="1">Tableau1[[#This Row],[multiplicateur (%)]]/100*_xlfn.SWITCH(Tableau1[[#This Row],[nature]],"omega",$T$5+1,"normal",$U$5+1,1)*Tableau1[[#This Row],[Exemplaire.s]]*100</f>
        <v>#VALUE!</v>
      </c>
      <c r="K19" s="1" t="s">
        <v>21</v>
      </c>
      <c r="M19" s="2" t="s">
        <v>43</v>
      </c>
      <c r="N19" cm="1">
        <f t="array" ref="N19">_xlfn.IFS(S16&lt;25, 0,S16&gt;=25,SUMIF(Tableau1[bonus],"stamina",Tableau1[bonus total (%)]))</f>
        <v>0</v>
      </c>
      <c r="O19" s="7" t="s">
        <v>19</v>
      </c>
    </row>
    <row r="20" spans="2:16" x14ac:dyDescent="0.25">
      <c r="B20" t="s">
        <v>44</v>
      </c>
      <c r="C20" t="s">
        <v>45</v>
      </c>
      <c r="D20">
        <v>1</v>
      </c>
      <c r="E20" t="s">
        <v>19</v>
      </c>
      <c r="G20">
        <v>1</v>
      </c>
      <c r="H20" t="str" cm="1">
        <f t="array" aca="1" ref="H20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0" s="1"/>
      <c r="J20" s="6" t="e" cm="1">
        <f t="array" aca="1" ref="J20" ca="1">Tableau1[[#This Row],[multiplicateur (%)]]/100*_xlfn.SWITCH(Tableau1[[#This Row],[nature]],"omega",$T$5+1,"normal",$U$5+1,1)*Tableau1[[#This Row],[Exemplaire.s]]*100</f>
        <v>#VALUE!</v>
      </c>
      <c r="K20" s="1" t="s">
        <v>46</v>
      </c>
      <c r="M20" s="2" t="s">
        <v>47</v>
      </c>
      <c r="N20" t="e">
        <f ca="1">SUMIF(Tableau1[bonus],"enmity",Tableau1[bonus total (%)])</f>
        <v>#VALUE!</v>
      </c>
      <c r="O20" s="5">
        <v>800</v>
      </c>
    </row>
    <row r="21" spans="2:16" x14ac:dyDescent="0.25">
      <c r="D21">
        <f>D20</f>
        <v>1</v>
      </c>
      <c r="E21" t="s">
        <v>19</v>
      </c>
      <c r="G21">
        <f>G20</f>
        <v>1</v>
      </c>
      <c r="H21" t="str" cm="1">
        <f t="array" aca="1" ref="H21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1" s="1"/>
      <c r="J21" s="6" t="e" cm="1">
        <f t="array" aca="1" ref="J21" ca="1">Tableau1[[#This Row],[multiplicateur (%)]]/100*_xlfn.SWITCH(Tableau1[[#This Row],[nature]],"omega",$T$5+1,"normal",$U$5+1,1)*Tableau1[[#This Row],[Exemplaire.s]]*100</f>
        <v>#VALUE!</v>
      </c>
      <c r="K21" s="1" t="s">
        <v>46</v>
      </c>
      <c r="M21" s="2" t="s">
        <v>48</v>
      </c>
      <c r="N21">
        <f>SUMIF(Tableau1[bonus],"supplémental DMG",Tableau1[bonus total (%)])</f>
        <v>0</v>
      </c>
      <c r="O21" s="5">
        <v>100000</v>
      </c>
    </row>
    <row r="22" spans="2:16" x14ac:dyDescent="0.25">
      <c r="D22">
        <f>D21</f>
        <v>1</v>
      </c>
      <c r="E22" t="s">
        <v>19</v>
      </c>
      <c r="G22">
        <f>G21</f>
        <v>1</v>
      </c>
      <c r="H22" t="str" cm="1">
        <f t="array" aca="1" ref="H22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2" s="1"/>
      <c r="J22" s="6" t="e" cm="1">
        <f t="array" aca="1" ref="J22" ca="1">Tableau1[[#This Row],[multiplicateur (%)]]/100*_xlfn.SWITCH(Tableau1[[#This Row],[nature]],"omega",$T$5+1,"normal",$U$5+1,1)*Tableau1[[#This Row],[Exemplaire.s]]*100</f>
        <v>#VALUE!</v>
      </c>
      <c r="K22" s="1" t="s">
        <v>21</v>
      </c>
      <c r="M22" s="2" t="s">
        <v>49</v>
      </c>
      <c r="N22">
        <f>SUMIF(Tableau1[bonus],"supplémental skill DMG",Tableau1[bonus total (%)])</f>
        <v>0</v>
      </c>
      <c r="O22" s="5">
        <v>200000</v>
      </c>
    </row>
    <row r="23" spans="2:16" x14ac:dyDescent="0.25">
      <c r="D23">
        <f>D22</f>
        <v>1</v>
      </c>
      <c r="E23" t="s">
        <v>19</v>
      </c>
      <c r="G23">
        <f>G22</f>
        <v>1</v>
      </c>
      <c r="H23" t="str" cm="1">
        <f t="array" aca="1" ref="H23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3" s="1"/>
      <c r="J23" s="6" t="e" cm="1">
        <f t="array" aca="1" ref="J23" ca="1">Tableau1[[#This Row],[multiplicateur (%)]]/100*_xlfn.SWITCH(Tableau1[[#This Row],[nature]],"omega",$T$5+1,"normal",$U$5+1,1)*Tableau1[[#This Row],[Exemplaire.s]]*100</f>
        <v>#VALUE!</v>
      </c>
      <c r="K23" s="1" t="s">
        <v>21</v>
      </c>
      <c r="M23" s="2" t="s">
        <v>50</v>
      </c>
      <c r="N23" t="e">
        <f ca="1">_xlfn.MAXIFS(Tableau1[bonus total (%)],Tableau1[nature],"seraphic",Tableau1[bonus],"amplification")</f>
        <v>#VALUE!</v>
      </c>
      <c r="O23" s="8" t="s">
        <v>19</v>
      </c>
    </row>
    <row r="24" spans="2:16" x14ac:dyDescent="0.25">
      <c r="B24" t="s">
        <v>51</v>
      </c>
      <c r="C24" t="s">
        <v>52</v>
      </c>
      <c r="D24">
        <v>1</v>
      </c>
      <c r="E24" t="s">
        <v>50</v>
      </c>
      <c r="G24">
        <v>1</v>
      </c>
      <c r="H24" t="str" cm="1">
        <f t="array" aca="1" ref="H24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4" s="1"/>
      <c r="J24" s="6" t="e" cm="1">
        <f t="array" aca="1" ref="J24" ca="1">Tableau1[[#This Row],[multiplicateur (%)]]/100*_xlfn.SWITCH(Tableau1[[#This Row],[nature]],"omega",$T$5+1,"normal",$U$5+1,1)*Tableau1[[#This Row],[Exemplaire.s]]*100</f>
        <v>#VALUE!</v>
      </c>
      <c r="K24" s="1" t="s">
        <v>53</v>
      </c>
      <c r="M24" s="2"/>
    </row>
    <row r="25" spans="2:16" x14ac:dyDescent="0.25">
      <c r="D25">
        <f>D24</f>
        <v>1</v>
      </c>
      <c r="E25" t="s">
        <v>19</v>
      </c>
      <c r="G25">
        <f>G24</f>
        <v>1</v>
      </c>
      <c r="H25" t="str" cm="1">
        <f t="array" aca="1" ref="H25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5" s="1"/>
      <c r="J25" s="6" t="e" cm="1">
        <f t="array" aca="1" ref="J25" ca="1">Tableau1[[#This Row],[multiplicateur (%)]]/100*_xlfn.SWITCH(Tableau1[[#This Row],[nature]],"omega",$T$5+1,"normal",$U$5+1,1)*Tableau1[[#This Row],[Exemplaire.s]]*100</f>
        <v>#VALUE!</v>
      </c>
      <c r="K25" s="1" t="s">
        <v>17</v>
      </c>
      <c r="M25" s="2"/>
    </row>
    <row r="26" spans="2:16" x14ac:dyDescent="0.25">
      <c r="D26">
        <f>D25</f>
        <v>1</v>
      </c>
      <c r="E26" t="s">
        <v>19</v>
      </c>
      <c r="G26">
        <f>G25</f>
        <v>1</v>
      </c>
      <c r="H26" t="str" cm="1">
        <f t="array" aca="1" ref="H26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6" s="1"/>
      <c r="J26" s="6" t="e" cm="1">
        <f t="array" aca="1" ref="J26" ca="1">Tableau1[[#This Row],[multiplicateur (%)]]/100*_xlfn.SWITCH(Tableau1[[#This Row],[nature]],"omega",$T$5+1,"normal",$U$5+1,1)*Tableau1[[#This Row],[Exemplaire.s]]*100</f>
        <v>#VALUE!</v>
      </c>
      <c r="K26" s="1" t="s">
        <v>17</v>
      </c>
      <c r="M26" s="2"/>
    </row>
    <row r="27" spans="2:16" x14ac:dyDescent="0.25">
      <c r="D27">
        <f>D26</f>
        <v>1</v>
      </c>
      <c r="E27" t="s">
        <v>19</v>
      </c>
      <c r="G27">
        <f>G26</f>
        <v>1</v>
      </c>
      <c r="H27" t="str" cm="1">
        <f t="array" aca="1" ref="H27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7" s="1"/>
      <c r="J27" s="6" t="e" cm="1">
        <f t="array" aca="1" ref="J27" ca="1">Tableau1[[#This Row],[multiplicateur (%)]]/100*_xlfn.SWITCH(Tableau1[[#This Row],[nature]],"omega",$T$5+1,"normal",$U$5+1,1)*Tableau1[[#This Row],[Exemplaire.s]]*100</f>
        <v>#VALUE!</v>
      </c>
      <c r="K27" s="1"/>
      <c r="M27" s="15" t="s">
        <v>83</v>
      </c>
    </row>
    <row r="28" spans="2:16" x14ac:dyDescent="0.25">
      <c r="B28" t="s">
        <v>54</v>
      </c>
      <c r="C28" t="s">
        <v>55</v>
      </c>
      <c r="D28">
        <v>1</v>
      </c>
      <c r="E28" t="s">
        <v>19</v>
      </c>
      <c r="G28">
        <v>1</v>
      </c>
      <c r="H28" t="str" cm="1">
        <f t="array" aca="1" ref="H28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8" s="1"/>
      <c r="J28" s="6" t="e" cm="1">
        <f t="array" aca="1" ref="J28" ca="1">Tableau1[[#This Row],[multiplicateur (%)]]/100*_xlfn.SWITCH(Tableau1[[#This Row],[nature]],"omega",$T$5+1,"normal",$U$5+1,1)*Tableau1[[#This Row],[Exemplaire.s]]*100</f>
        <v>#VALUE!</v>
      </c>
      <c r="K28" s="1" t="s">
        <v>17</v>
      </c>
    </row>
    <row r="29" spans="2:16" x14ac:dyDescent="0.25">
      <c r="D29">
        <f>D28</f>
        <v>1</v>
      </c>
      <c r="E29" t="s">
        <v>19</v>
      </c>
      <c r="G29">
        <f>G28</f>
        <v>1</v>
      </c>
      <c r="H29" t="str" cm="1">
        <f t="array" aca="1" ref="H29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29" s="1"/>
      <c r="J29" s="6" t="e" cm="1">
        <f t="array" aca="1" ref="J29" ca="1">Tableau1[[#This Row],[multiplicateur (%)]]/100*_xlfn.SWITCH(Tableau1[[#This Row],[nature]],"omega",$T$5+1,"normal",$U$5+1,1)*Tableau1[[#This Row],[Exemplaire.s]]*100</f>
        <v>#VALUE!</v>
      </c>
      <c r="K29" s="1"/>
    </row>
    <row r="30" spans="2:16" x14ac:dyDescent="0.25">
      <c r="D30">
        <f>D29</f>
        <v>1</v>
      </c>
      <c r="E30" t="s">
        <v>19</v>
      </c>
      <c r="G30">
        <f>G29</f>
        <v>1</v>
      </c>
      <c r="H30" t="str" cm="1">
        <f t="array" aca="1" ref="H30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0" s="1"/>
      <c r="J30" s="6" t="e" cm="1">
        <f t="array" aca="1" ref="J30" ca="1">Tableau1[[#This Row],[multiplicateur (%)]]/100*_xlfn.SWITCH(Tableau1[[#This Row],[nature]],"omega",$T$5+1,"normal",$U$5+1,1)*Tableau1[[#This Row],[Exemplaire.s]]*100</f>
        <v>#VALUE!</v>
      </c>
      <c r="K30" s="1"/>
      <c r="M30" cm="1">
        <f t="array" ref="M30">_xlfn.AGGREGATE(15,6,COLUMN('Bonus d''arme normal'!A1:I5)/('Bonus d''arme normal'!A1:I5="moyen"),1)</f>
        <v>4</v>
      </c>
    </row>
    <row r="31" spans="2:16" x14ac:dyDescent="0.25">
      <c r="D31">
        <f>D30</f>
        <v>1</v>
      </c>
      <c r="E31" t="s">
        <v>19</v>
      </c>
      <c r="G31">
        <f>G30</f>
        <v>1</v>
      </c>
      <c r="H31" t="str" cm="1">
        <f t="array" aca="1" ref="H31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1" s="1"/>
      <c r="J31" s="6" t="e" cm="1">
        <f t="array" aca="1" ref="J31" ca="1">Tableau1[[#This Row],[multiplicateur (%)]]/100*_xlfn.SWITCH(Tableau1[[#This Row],[nature]],"omega",$T$5+1,"normal",$U$5+1,1)*Tableau1[[#This Row],[Exemplaire.s]]*100</f>
        <v>#VALUE!</v>
      </c>
      <c r="K31" s="1"/>
    </row>
    <row r="32" spans="2:16" x14ac:dyDescent="0.25">
      <c r="B32" t="s">
        <v>56</v>
      </c>
      <c r="D32">
        <v>0</v>
      </c>
      <c r="E32" t="s">
        <v>19</v>
      </c>
      <c r="G32">
        <v>1</v>
      </c>
      <c r="H32" t="str" cm="1">
        <f t="array" aca="1" ref="H32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2" s="1"/>
      <c r="J32" s="6" t="e" cm="1">
        <f t="array" aca="1" ref="J32" ca="1">Tableau1[[#This Row],[multiplicateur (%)]]/100*_xlfn.SWITCH(Tableau1[[#This Row],[nature]],"omega",$T$5+1,"normal",$U$5+1,1)*Tableau1[[#This Row],[Exemplaire.s]]*100</f>
        <v>#VALUE!</v>
      </c>
      <c r="K32" s="1"/>
    </row>
    <row r="33" spans="2:11" x14ac:dyDescent="0.25">
      <c r="D33">
        <f>D32</f>
        <v>0</v>
      </c>
      <c r="E33" t="s">
        <v>19</v>
      </c>
      <c r="G33">
        <f>G32</f>
        <v>1</v>
      </c>
      <c r="H33" t="str" cm="1">
        <f t="array" aca="1" ref="H33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3" s="1"/>
      <c r="J33" s="6" t="e" cm="1">
        <f t="array" aca="1" ref="J33" ca="1">Tableau1[[#This Row],[multiplicateur (%)]]/100*_xlfn.SWITCH(Tableau1[[#This Row],[nature]],"omega",$T$5+1,"normal",$U$5+1,1)*Tableau1[[#This Row],[Exemplaire.s]]*100</f>
        <v>#VALUE!</v>
      </c>
      <c r="K33" s="1"/>
    </row>
    <row r="34" spans="2:11" x14ac:dyDescent="0.25">
      <c r="D34">
        <f>D33</f>
        <v>0</v>
      </c>
      <c r="E34" t="s">
        <v>19</v>
      </c>
      <c r="G34">
        <f>G33</f>
        <v>1</v>
      </c>
      <c r="H34" t="str" cm="1">
        <f t="array" aca="1" ref="H34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4" s="1"/>
      <c r="J34" s="6" t="e" cm="1">
        <f t="array" aca="1" ref="J34" ca="1">Tableau1[[#This Row],[multiplicateur (%)]]/100*_xlfn.SWITCH(Tableau1[[#This Row],[nature]],"omega",$T$5+1,"normal",$U$5+1,1)*Tableau1[[#This Row],[Exemplaire.s]]*100</f>
        <v>#VALUE!</v>
      </c>
      <c r="K34" s="1" t="s">
        <v>17</v>
      </c>
    </row>
    <row r="35" spans="2:11" x14ac:dyDescent="0.25">
      <c r="D35">
        <f>D34</f>
        <v>0</v>
      </c>
      <c r="E35" t="s">
        <v>19</v>
      </c>
      <c r="G35">
        <f>G34</f>
        <v>1</v>
      </c>
      <c r="H35" t="str" cm="1">
        <f t="array" aca="1" ref="H35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5" s="1"/>
      <c r="J35" s="6" t="e" cm="1">
        <f t="array" aca="1" ref="J35" ca="1">Tableau1[[#This Row],[multiplicateur (%)]]/100*_xlfn.SWITCH(Tableau1[[#This Row],[nature]],"omega",$T$5+1,"normal",$U$5+1,1)*Tableau1[[#This Row],[Exemplaire.s]]*100</f>
        <v>#VALUE!</v>
      </c>
      <c r="K35" s="1"/>
    </row>
    <row r="36" spans="2:11" x14ac:dyDescent="0.25">
      <c r="B36" t="s">
        <v>57</v>
      </c>
      <c r="D36">
        <v>0</v>
      </c>
      <c r="E36" t="s">
        <v>19</v>
      </c>
      <c r="G36">
        <v>1</v>
      </c>
      <c r="H36" t="str" cm="1">
        <f t="array" aca="1" ref="H36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6" s="1"/>
      <c r="J36" s="6" t="e" cm="1">
        <f t="array" aca="1" ref="J36" ca="1">Tableau1[[#This Row],[multiplicateur (%)]]/100*_xlfn.SWITCH(Tableau1[[#This Row],[nature]],"omega",$T$5+1,"normal",$U$5+1,1)*Tableau1[[#This Row],[Exemplaire.s]]*100</f>
        <v>#VALUE!</v>
      </c>
      <c r="K36" s="1"/>
    </row>
    <row r="37" spans="2:11" x14ac:dyDescent="0.25">
      <c r="D37">
        <f>D36</f>
        <v>0</v>
      </c>
      <c r="E37" t="s">
        <v>19</v>
      </c>
      <c r="G37">
        <f>G36</f>
        <v>1</v>
      </c>
      <c r="H37" t="str" cm="1">
        <f t="array" aca="1" ref="H37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7" s="1"/>
      <c r="J37" s="6" t="e" cm="1">
        <f t="array" aca="1" ref="J37" ca="1">Tableau1[[#This Row],[multiplicateur (%)]]/100*_xlfn.SWITCH(Tableau1[[#This Row],[nature]],"omega",$T$5+1,"normal",$U$5+1,1)*Tableau1[[#This Row],[Exemplaire.s]]*100</f>
        <v>#VALUE!</v>
      </c>
      <c r="K37" s="1"/>
    </row>
    <row r="38" spans="2:11" x14ac:dyDescent="0.25">
      <c r="D38">
        <f>D37</f>
        <v>0</v>
      </c>
      <c r="E38" t="s">
        <v>19</v>
      </c>
      <c r="G38">
        <f>G37</f>
        <v>1</v>
      </c>
      <c r="H38" t="str" cm="1">
        <f t="array" aca="1" ref="H38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8" s="1"/>
      <c r="J38" s="6" t="e" cm="1">
        <f t="array" aca="1" ref="J38" ca="1">Tableau1[[#This Row],[multiplicateur (%)]]/100*_xlfn.SWITCH(Tableau1[[#This Row],[nature]],"omega",$T$5+1,"normal",$U$5+1,1)*Tableau1[[#This Row],[Exemplaire.s]]*100</f>
        <v>#VALUE!</v>
      </c>
      <c r="K38" s="1"/>
    </row>
    <row r="39" spans="2:11" x14ac:dyDescent="0.25">
      <c r="D39">
        <f>D38</f>
        <v>0</v>
      </c>
      <c r="E39" t="s">
        <v>19</v>
      </c>
      <c r="G39">
        <f>G38</f>
        <v>1</v>
      </c>
      <c r="H39" t="str" cm="1">
        <f t="array" aca="1" ref="H39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39" s="1"/>
      <c r="J39" s="6" t="e" cm="1">
        <f t="array" aca="1" ref="J39" ca="1">Tableau1[[#This Row],[multiplicateur (%)]]/100*_xlfn.SWITCH(Tableau1[[#This Row],[nature]],"omega",$T$5+1,"normal",$U$5+1,1)*Tableau1[[#This Row],[Exemplaire.s]]*100</f>
        <v>#VALUE!</v>
      </c>
      <c r="K39" s="1"/>
    </row>
    <row r="40" spans="2:11" x14ac:dyDescent="0.25">
      <c r="B40" t="s">
        <v>58</v>
      </c>
      <c r="D40">
        <v>0</v>
      </c>
      <c r="E40" t="s">
        <v>19</v>
      </c>
      <c r="G40">
        <v>1</v>
      </c>
      <c r="H40" t="str" cm="1">
        <f t="array" aca="1" ref="H40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0" s="1"/>
      <c r="J40" s="6" t="e" cm="1">
        <f t="array" aca="1" ref="J40" ca="1">Tableau1[[#This Row],[multiplicateur (%)]]/100*_xlfn.SWITCH(Tableau1[[#This Row],[nature]],"omega",$T$5+1,"normal",$U$5+1,1)*Tableau1[[#This Row],[Exemplaire.s]]*100</f>
        <v>#VALUE!</v>
      </c>
      <c r="K40" s="1"/>
    </row>
    <row r="41" spans="2:11" x14ac:dyDescent="0.25">
      <c r="D41">
        <f>D40</f>
        <v>0</v>
      </c>
      <c r="E41" t="s">
        <v>19</v>
      </c>
      <c r="G41">
        <f>G40</f>
        <v>1</v>
      </c>
      <c r="H41" t="str" cm="1">
        <f t="array" aca="1" ref="H41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1" s="1"/>
      <c r="J41" s="6" t="e" cm="1">
        <f t="array" aca="1" ref="J41" ca="1">Tableau1[[#This Row],[multiplicateur (%)]]/100*_xlfn.SWITCH(Tableau1[[#This Row],[nature]],"omega",$T$5+1,"normal",$U$5+1,1)*Tableau1[[#This Row],[Exemplaire.s]]*100</f>
        <v>#VALUE!</v>
      </c>
      <c r="K41" s="1"/>
    </row>
    <row r="42" spans="2:11" x14ac:dyDescent="0.25">
      <c r="D42">
        <f>D41</f>
        <v>0</v>
      </c>
      <c r="E42" t="s">
        <v>19</v>
      </c>
      <c r="G42">
        <f>G41</f>
        <v>1</v>
      </c>
      <c r="H42" t="str" cm="1">
        <f t="array" aca="1" ref="H42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2" s="1"/>
      <c r="J42" s="6" t="e" cm="1">
        <f t="array" aca="1" ref="J42" ca="1">Tableau1[[#This Row],[multiplicateur (%)]]/100*_xlfn.SWITCH(Tableau1[[#This Row],[nature]],"omega",$T$5+1,"normal",$U$5+1,1)*Tableau1[[#This Row],[Exemplaire.s]]*100</f>
        <v>#VALUE!</v>
      </c>
      <c r="K42" s="1"/>
    </row>
    <row r="43" spans="2:11" x14ac:dyDescent="0.25">
      <c r="D43">
        <f>D42</f>
        <v>0</v>
      </c>
      <c r="E43" t="s">
        <v>19</v>
      </c>
      <c r="G43">
        <f>G42</f>
        <v>1</v>
      </c>
      <c r="H43" t="str" cm="1">
        <f t="array" aca="1" ref="H43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3" s="1"/>
      <c r="J43" s="6" t="e" cm="1">
        <f t="array" aca="1" ref="J43" ca="1">Tableau1[[#This Row],[multiplicateur (%)]]/100*_xlfn.SWITCH(Tableau1[[#This Row],[nature]],"omega",$T$5+1,"normal",$U$5+1,1)*Tableau1[[#This Row],[Exemplaire.s]]*100</f>
        <v>#VALUE!</v>
      </c>
      <c r="K43" s="1"/>
    </row>
    <row r="44" spans="2:11" x14ac:dyDescent="0.25">
      <c r="B44" t="s">
        <v>59</v>
      </c>
      <c r="D44">
        <v>0</v>
      </c>
      <c r="E44" t="s">
        <v>19</v>
      </c>
      <c r="G44">
        <v>1</v>
      </c>
      <c r="H44" t="str" cm="1">
        <f t="array" aca="1" ref="H44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4" s="1"/>
      <c r="J44" s="6" t="e" cm="1">
        <f t="array" aca="1" ref="J44" ca="1">Tableau1[[#This Row],[multiplicateur (%)]]/100*_xlfn.SWITCH(Tableau1[[#This Row],[nature]],"omega",$T$5+1,"normal",$U$5+1,1)*Tableau1[[#This Row],[Exemplaire.s]]*100</f>
        <v>#VALUE!</v>
      </c>
      <c r="K44" s="1"/>
    </row>
    <row r="45" spans="2:11" x14ac:dyDescent="0.25">
      <c r="D45">
        <f t="shared" ref="D45:D55" si="0">D44</f>
        <v>0</v>
      </c>
      <c r="E45" t="s">
        <v>19</v>
      </c>
      <c r="G45">
        <f>G44</f>
        <v>1</v>
      </c>
      <c r="H45" t="str" cm="1">
        <f t="array" aca="1" ref="H45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5" s="1"/>
      <c r="J45" s="6" t="e" cm="1">
        <f t="array" aca="1" ref="J45" ca="1">Tableau1[[#This Row],[multiplicateur (%)]]/100*_xlfn.SWITCH(Tableau1[[#This Row],[nature]],"omega",$T$5+1,"normal",$U$5+1,1)*Tableau1[[#This Row],[Exemplaire.s]]*100</f>
        <v>#VALUE!</v>
      </c>
      <c r="K45" s="1"/>
    </row>
    <row r="46" spans="2:11" x14ac:dyDescent="0.25">
      <c r="D46">
        <f t="shared" si="0"/>
        <v>0</v>
      </c>
      <c r="E46" t="s">
        <v>19</v>
      </c>
      <c r="G46">
        <f>G45</f>
        <v>1</v>
      </c>
      <c r="H46" t="str" cm="1">
        <f t="array" aca="1" ref="H46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6" s="1"/>
      <c r="J46" s="6" t="e" cm="1">
        <f t="array" aca="1" ref="J46" ca="1">Tableau1[[#This Row],[multiplicateur (%)]]/100*_xlfn.SWITCH(Tableau1[[#This Row],[nature]],"omega",$T$5+1,"normal",$U$5+1,1)*Tableau1[[#This Row],[Exemplaire.s]]*100</f>
        <v>#VALUE!</v>
      </c>
      <c r="K46" s="1"/>
    </row>
    <row r="47" spans="2:11" x14ac:dyDescent="0.25">
      <c r="D47">
        <f t="shared" si="0"/>
        <v>0</v>
      </c>
      <c r="E47" t="s">
        <v>19</v>
      </c>
      <c r="G47">
        <f>G46</f>
        <v>1</v>
      </c>
      <c r="H47" t="str" cm="1">
        <f t="array" aca="1" ref="H47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7" s="1"/>
      <c r="J47" s="6" t="e" cm="1">
        <f t="array" aca="1" ref="J47" ca="1">Tableau1[[#This Row],[multiplicateur (%)]]/100*_xlfn.SWITCH(Tableau1[[#This Row],[nature]],"omega",$T$5+1,"normal",$U$5+1,1)*Tableau1[[#This Row],[Exemplaire.s]]*100</f>
        <v>#VALUE!</v>
      </c>
      <c r="K47" s="1"/>
    </row>
    <row r="48" spans="2:11" x14ac:dyDescent="0.25">
      <c r="B48" t="s">
        <v>60</v>
      </c>
      <c r="D48">
        <v>0</v>
      </c>
      <c r="E48" t="s">
        <v>19</v>
      </c>
      <c r="G48">
        <v>1</v>
      </c>
      <c r="H48" t="str" cm="1">
        <f t="array" aca="1" ref="H48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8" s="1"/>
      <c r="J48" s="6" t="e" cm="1">
        <f t="array" aca="1" ref="J48" ca="1">Tableau1[[#This Row],[multiplicateur (%)]]/100*_xlfn.SWITCH(Tableau1[[#This Row],[nature]],"omega",$T$5+1,"normal",$U$5+1,1)*Tableau1[[#This Row],[Exemplaire.s]]*100</f>
        <v>#VALUE!</v>
      </c>
      <c r="K48" s="1"/>
    </row>
    <row r="49" spans="2:20" x14ac:dyDescent="0.25">
      <c r="D49">
        <f t="shared" si="0"/>
        <v>0</v>
      </c>
      <c r="E49" t="s">
        <v>19</v>
      </c>
      <c r="G49">
        <f>G48</f>
        <v>1</v>
      </c>
      <c r="H49" t="str" cm="1">
        <f t="array" aca="1" ref="H49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49" s="1"/>
      <c r="J49" s="6" t="e" cm="1">
        <f t="array" aca="1" ref="J49" ca="1">Tableau1[[#This Row],[multiplicateur (%)]]/100*_xlfn.SWITCH(Tableau1[[#This Row],[nature]],"omega",$T$5+1,"normal",$U$5+1,1)*Tableau1[[#This Row],[Exemplaire.s]]*100</f>
        <v>#VALUE!</v>
      </c>
      <c r="K49" s="1"/>
    </row>
    <row r="50" spans="2:20" x14ac:dyDescent="0.25">
      <c r="D50">
        <f t="shared" si="0"/>
        <v>0</v>
      </c>
      <c r="E50" t="s">
        <v>19</v>
      </c>
      <c r="G50">
        <f>G49</f>
        <v>1</v>
      </c>
      <c r="H50" t="str" cm="1">
        <f t="array" aca="1" ref="H50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50" s="1"/>
      <c r="J50" s="6" t="e" cm="1">
        <f t="array" aca="1" ref="J50" ca="1">Tableau1[[#This Row],[multiplicateur (%)]]/100*_xlfn.SWITCH(Tableau1[[#This Row],[nature]],"omega",$T$5+1,"normal",$U$5+1,1)*Tableau1[[#This Row],[Exemplaire.s]]*100</f>
        <v>#VALUE!</v>
      </c>
      <c r="K50" s="1"/>
    </row>
    <row r="51" spans="2:20" x14ac:dyDescent="0.25">
      <c r="D51">
        <f t="shared" si="0"/>
        <v>0</v>
      </c>
      <c r="E51" t="s">
        <v>19</v>
      </c>
      <c r="G51">
        <f>G50</f>
        <v>1</v>
      </c>
      <c r="H51" t="str" cm="1">
        <f t="array" aca="1" ref="H51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51" s="1"/>
      <c r="J51" s="6" t="e" cm="1">
        <f t="array" aca="1" ref="J51" ca="1">Tableau1[[#This Row],[multiplicateur (%)]]/100*_xlfn.SWITCH(Tableau1[[#This Row],[nature]],"omega",$T$5+1,"normal",$U$5+1,1)*Tableau1[[#This Row],[Exemplaire.s]]*100</f>
        <v>#VALUE!</v>
      </c>
      <c r="K51" s="1"/>
      <c r="O51" s="10"/>
      <c r="P51" s="10"/>
      <c r="Q51" s="10"/>
      <c r="R51" s="10"/>
      <c r="S51" s="10"/>
      <c r="T51" s="10"/>
    </row>
    <row r="52" spans="2:20" x14ac:dyDescent="0.25">
      <c r="B52" t="s">
        <v>61</v>
      </c>
      <c r="D52">
        <v>0</v>
      </c>
      <c r="E52" t="s">
        <v>19</v>
      </c>
      <c r="G52">
        <v>1</v>
      </c>
      <c r="H52" t="str" cm="1">
        <f t="array" aca="1" ref="H52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52" s="1"/>
      <c r="J52" s="6" t="e" cm="1">
        <f t="array" aca="1" ref="J52" ca="1">Tableau1[[#This Row],[multiplicateur (%)]]/100*_xlfn.SWITCH(Tableau1[[#This Row],[nature]],"omega",$T$5+1,"normal",$U$5+1,1)*Tableau1[[#This Row],[Exemplaire.s]]*100</f>
        <v>#VALUE!</v>
      </c>
      <c r="K52" s="1"/>
      <c r="O52" s="10"/>
      <c r="P52" s="10"/>
      <c r="Q52" s="10"/>
      <c r="R52" s="10"/>
      <c r="S52" s="10"/>
      <c r="T52" s="10"/>
    </row>
    <row r="53" spans="2:20" x14ac:dyDescent="0.25">
      <c r="D53">
        <f t="shared" si="0"/>
        <v>0</v>
      </c>
      <c r="E53" t="s">
        <v>19</v>
      </c>
      <c r="G53">
        <f>G52</f>
        <v>1</v>
      </c>
      <c r="H53" t="str" cm="1">
        <f t="array" aca="1" ref="H53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53" s="1"/>
      <c r="J53" s="6" t="e" cm="1">
        <f t="array" aca="1" ref="J53" ca="1">Tableau1[[#This Row],[multiplicateur (%)]]/100*_xlfn.SWITCH(Tableau1[[#This Row],[nature]],"omega",$T$5+1,"normal",$U$5+1,1)*Tableau1[[#This Row],[Exemplaire.s]]*100</f>
        <v>#VALUE!</v>
      </c>
      <c r="K53" s="1"/>
      <c r="O53" s="10"/>
      <c r="P53" s="10"/>
      <c r="Q53" s="10"/>
      <c r="R53" s="10"/>
      <c r="S53" s="10"/>
      <c r="T53" s="10"/>
    </row>
    <row r="54" spans="2:20" x14ac:dyDescent="0.25">
      <c r="D54">
        <f t="shared" si="0"/>
        <v>0</v>
      </c>
      <c r="E54" t="s">
        <v>19</v>
      </c>
      <c r="G54">
        <f>G53</f>
        <v>1</v>
      </c>
      <c r="H54" t="str" cm="1">
        <f t="array" aca="1" ref="H54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54" s="1"/>
      <c r="J54" s="6" t="e" cm="1">
        <f t="array" aca="1" ref="J54" ca="1">Tableau1[[#This Row],[multiplicateur (%)]]/100*_xlfn.SWITCH(Tableau1[[#This Row],[nature]],"omega",$T$5+1,"normal",$U$5+1,1)*Tableau1[[#This Row],[Exemplaire.s]]*100</f>
        <v>#VALUE!</v>
      </c>
      <c r="K54" s="1"/>
      <c r="O54" s="10"/>
      <c r="P54" s="10"/>
      <c r="Q54" s="10"/>
      <c r="R54" s="10"/>
      <c r="S54" s="10"/>
      <c r="T54" s="10"/>
    </row>
    <row r="55" spans="2:20" x14ac:dyDescent="0.25">
      <c r="D55">
        <f t="shared" si="0"/>
        <v>0</v>
      </c>
      <c r="E55" t="s">
        <v>19</v>
      </c>
      <c r="G55">
        <f>G54</f>
        <v>1</v>
      </c>
      <c r="H55" t="str" cm="1">
        <f t="array" aca="1" ref="H55" ca="1">IFERROR(INDEX(INDIRECT(Tableau1[[#This Row],[nature]]),MATCH(Tableau1[[#This Row],[bonus]]&amp;"|"&amp;Tableau1[[#This Row],[Skill lvl]],OFFSET(INDIRECT(Tableau1[[#This Row],[nature]]),,,,1)&amp;"|"&amp;OFFSET(INDIRECT(Tableau1[[#This Row],[nature]]),,1,,1),0),MATCH(Tableau1[[#This Row],[modifieur de puissance]],OFFSET(INDIRECT(Tableau1[[#This Row],[nature]]),,,1,),0)),"erreur")</f>
        <v>erreur</v>
      </c>
      <c r="I55" s="1"/>
      <c r="J55" s="6" t="e" cm="1">
        <f t="array" aca="1" ref="J55" ca="1">Tableau1[[#This Row],[multiplicateur (%)]]/100*_xlfn.SWITCH(Tableau1[[#This Row],[nature]],"omega",$T$5+1,"normal",$U$5+1,1)*Tableau1[[#This Row],[Exemplaire.s]]*100</f>
        <v>#VALUE!</v>
      </c>
      <c r="K55" s="1"/>
      <c r="O55" s="10"/>
      <c r="P55" s="10"/>
      <c r="Q55" s="10"/>
      <c r="R55" s="10"/>
      <c r="S55" s="10"/>
      <c r="T55" s="10"/>
    </row>
    <row r="56" spans="2:20" x14ac:dyDescent="0.25">
      <c r="F56" s="1"/>
      <c r="G56" s="1"/>
      <c r="N56" s="10"/>
      <c r="O56" s="10"/>
      <c r="P56" s="10"/>
      <c r="Q56" s="10"/>
      <c r="R56" s="10"/>
      <c r="S56" s="10"/>
    </row>
    <row r="57" spans="2:20" x14ac:dyDescent="0.25">
      <c r="F57" s="1"/>
      <c r="G57" s="1"/>
      <c r="N57" s="10"/>
      <c r="O57" s="10"/>
      <c r="P57" s="10"/>
      <c r="Q57" s="10"/>
      <c r="R57" s="10"/>
      <c r="S57" s="10"/>
    </row>
    <row r="58" spans="2:20" x14ac:dyDescent="0.25">
      <c r="C58" s="9" t="s">
        <v>62</v>
      </c>
      <c r="F58" s="1"/>
      <c r="G58" s="1"/>
      <c r="N58" s="10"/>
      <c r="O58" s="10"/>
      <c r="P58" s="10"/>
      <c r="Q58" s="10"/>
      <c r="R58" s="10"/>
      <c r="S58" s="10"/>
    </row>
    <row r="59" spans="2:20" x14ac:dyDescent="0.25">
      <c r="F59" s="1"/>
      <c r="G59" s="1"/>
      <c r="N59" s="10"/>
      <c r="O59" s="10"/>
      <c r="P59" s="10"/>
      <c r="Q59" s="10"/>
      <c r="R59" s="10"/>
      <c r="S59" s="10"/>
    </row>
    <row r="60" spans="2:20" x14ac:dyDescent="0.25">
      <c r="F60" s="1"/>
      <c r="G60" s="1"/>
      <c r="N60" s="10"/>
      <c r="O60" s="10"/>
      <c r="P60" s="10"/>
      <c r="Q60" s="10"/>
      <c r="R60" s="10"/>
      <c r="S60" s="10"/>
    </row>
    <row r="61" spans="2:20" x14ac:dyDescent="0.25">
      <c r="F61" s="1"/>
      <c r="G61" s="1"/>
      <c r="N61" s="10"/>
      <c r="O61" s="10"/>
      <c r="P61" s="10"/>
      <c r="Q61" s="10"/>
      <c r="R61" s="10"/>
      <c r="S61" s="10"/>
    </row>
    <row r="62" spans="2:20" x14ac:dyDescent="0.25">
      <c r="F62" s="1"/>
      <c r="G62" s="1"/>
      <c r="N62" s="10"/>
      <c r="O62" s="10"/>
      <c r="P62" s="10"/>
      <c r="Q62" s="10"/>
      <c r="R62" s="10"/>
      <c r="S62" s="10"/>
    </row>
    <row r="63" spans="2:20" x14ac:dyDescent="0.25">
      <c r="F63" s="1"/>
      <c r="G63" s="1"/>
      <c r="N63" s="10"/>
      <c r="O63" s="10"/>
      <c r="P63" s="10"/>
      <c r="Q63" s="10"/>
      <c r="R63" s="10"/>
      <c r="S63" s="10"/>
    </row>
    <row r="64" spans="2:20" x14ac:dyDescent="0.25">
      <c r="F64" s="1"/>
      <c r="G64" s="1"/>
      <c r="N64" s="10"/>
      <c r="O64" s="10"/>
      <c r="P64" s="10"/>
      <c r="Q64" s="10"/>
      <c r="R64" s="10"/>
      <c r="S64" s="10"/>
    </row>
    <row r="65" spans="6:19" x14ac:dyDescent="0.25">
      <c r="F65" s="1"/>
      <c r="G65" s="1"/>
      <c r="N65" s="10"/>
      <c r="O65" s="10"/>
      <c r="P65" s="10"/>
      <c r="Q65" s="10"/>
      <c r="R65" s="10"/>
      <c r="S65" s="10"/>
    </row>
    <row r="66" spans="6:19" x14ac:dyDescent="0.25">
      <c r="F66" s="1"/>
      <c r="G66" s="1"/>
      <c r="N66" s="10"/>
      <c r="O66" s="10"/>
      <c r="P66" s="10"/>
      <c r="Q66" s="10"/>
      <c r="R66" s="10"/>
      <c r="S66" s="10"/>
    </row>
    <row r="67" spans="6:19" x14ac:dyDescent="0.25">
      <c r="F67" s="1"/>
      <c r="G67" s="1"/>
      <c r="N67" s="10"/>
      <c r="O67" s="10"/>
      <c r="P67" s="10"/>
      <c r="Q67" s="10"/>
      <c r="R67" s="10"/>
      <c r="S67" s="10"/>
    </row>
    <row r="68" spans="6:19" x14ac:dyDescent="0.25">
      <c r="F68" s="1"/>
      <c r="G68" s="1"/>
      <c r="N68" s="10"/>
      <c r="O68" s="10"/>
      <c r="P68" s="10"/>
      <c r="Q68" s="10"/>
      <c r="R68" s="10"/>
      <c r="S68" s="10"/>
    </row>
    <row r="69" spans="6:19" x14ac:dyDescent="0.25">
      <c r="F69" s="1"/>
      <c r="G69" s="1"/>
      <c r="N69" s="10"/>
      <c r="O69" s="10"/>
      <c r="P69" s="10"/>
      <c r="Q69" s="10"/>
      <c r="R69" s="10"/>
      <c r="S69" s="10"/>
    </row>
    <row r="70" spans="6:19" x14ac:dyDescent="0.25">
      <c r="F70" s="1"/>
      <c r="G70" s="1"/>
      <c r="N70" s="10"/>
      <c r="O70" s="10"/>
      <c r="P70" s="10"/>
      <c r="Q70" s="10"/>
      <c r="R70" s="10"/>
      <c r="S70" s="10"/>
    </row>
    <row r="71" spans="6:19" x14ac:dyDescent="0.25">
      <c r="F71" s="1"/>
      <c r="G71" s="1"/>
      <c r="N71" s="10"/>
      <c r="O71" s="10"/>
      <c r="P71" s="10"/>
      <c r="Q71" s="10"/>
      <c r="R71" s="10"/>
      <c r="S71" s="10"/>
    </row>
    <row r="72" spans="6:19" x14ac:dyDescent="0.25">
      <c r="F72" s="1"/>
      <c r="G72" s="1"/>
      <c r="N72" s="10"/>
      <c r="O72" s="10"/>
      <c r="P72" s="10"/>
      <c r="Q72" s="10"/>
      <c r="R72" s="10"/>
      <c r="S72" s="10"/>
    </row>
    <row r="73" spans="6:19" x14ac:dyDescent="0.25">
      <c r="F73" s="1"/>
      <c r="G73" s="1"/>
      <c r="N73" s="10"/>
      <c r="O73" s="10"/>
      <c r="P73" s="10"/>
      <c r="Q73" s="10"/>
      <c r="R73" s="10"/>
      <c r="S73" s="10"/>
    </row>
    <row r="74" spans="6:19" x14ac:dyDescent="0.25">
      <c r="F74" s="1"/>
      <c r="G74" s="1"/>
      <c r="N74" s="10"/>
      <c r="O74" s="10"/>
      <c r="P74" s="10"/>
      <c r="Q74" s="10"/>
      <c r="R74" s="10"/>
      <c r="S74" s="10"/>
    </row>
    <row r="75" spans="6:19" x14ac:dyDescent="0.25">
      <c r="F75" s="1"/>
      <c r="G75" s="1"/>
      <c r="N75" s="10"/>
      <c r="O75" s="10"/>
      <c r="P75" s="10"/>
      <c r="Q75" s="10"/>
      <c r="R75" s="10"/>
      <c r="S75" s="10"/>
    </row>
    <row r="76" spans="6:19" x14ac:dyDescent="0.25">
      <c r="N76" s="10"/>
      <c r="O76" s="10"/>
      <c r="P76" s="10"/>
      <c r="Q76" s="10"/>
      <c r="R76" s="10"/>
      <c r="S76" s="10"/>
    </row>
    <row r="77" spans="6:19" x14ac:dyDescent="0.25">
      <c r="N77" s="10"/>
      <c r="O77" s="10"/>
      <c r="P77" s="10"/>
      <c r="Q77" s="10"/>
      <c r="R77" s="10"/>
      <c r="S77" s="10"/>
    </row>
    <row r="78" spans="6:19" x14ac:dyDescent="0.25">
      <c r="N78" s="10"/>
      <c r="O78" s="10"/>
      <c r="P78" s="10"/>
      <c r="Q78" s="10"/>
      <c r="R78" s="10"/>
      <c r="S78" s="10"/>
    </row>
    <row r="79" spans="6:19" x14ac:dyDescent="0.25">
      <c r="N79" s="10"/>
      <c r="O79" s="10"/>
      <c r="P79" s="10"/>
      <c r="Q79" s="10"/>
      <c r="R79" s="10"/>
      <c r="S79" s="10"/>
    </row>
    <row r="80" spans="6:19" x14ac:dyDescent="0.25">
      <c r="N80" s="10"/>
      <c r="O80" s="10"/>
      <c r="P80" s="10"/>
      <c r="Q80" s="10"/>
      <c r="R80" s="10"/>
      <c r="S80" s="10"/>
    </row>
    <row r="81" spans="14:19" x14ac:dyDescent="0.25">
      <c r="N81" s="10"/>
      <c r="O81" s="10"/>
      <c r="P81" s="10"/>
      <c r="Q81" s="10"/>
      <c r="R81" s="10"/>
      <c r="S81" s="10"/>
    </row>
    <row r="82" spans="14:19" x14ac:dyDescent="0.25">
      <c r="N82" s="10"/>
      <c r="O82" s="10"/>
      <c r="P82" s="10"/>
      <c r="Q82" s="10"/>
      <c r="R82" s="10"/>
      <c r="S82" s="10"/>
    </row>
    <row r="83" spans="14:19" x14ac:dyDescent="0.25">
      <c r="N83" s="10"/>
      <c r="O83" s="10"/>
      <c r="P83" s="10"/>
      <c r="Q83" s="10"/>
      <c r="R83" s="10"/>
      <c r="S83" s="10"/>
    </row>
    <row r="84" spans="14:19" x14ac:dyDescent="0.25">
      <c r="N84" s="10"/>
      <c r="O84" s="10"/>
      <c r="P84" s="10"/>
      <c r="Q84" s="10"/>
      <c r="R84" s="10"/>
      <c r="S84" s="10"/>
    </row>
    <row r="85" spans="14:19" x14ac:dyDescent="0.25">
      <c r="N85" s="10"/>
      <c r="O85" s="10"/>
      <c r="P85" s="10"/>
      <c r="Q85" s="10"/>
      <c r="R85" s="10"/>
      <c r="S85" s="10"/>
    </row>
    <row r="86" spans="14:19" x14ac:dyDescent="0.25">
      <c r="N86" s="10"/>
      <c r="O86" s="10"/>
      <c r="P86" s="10"/>
      <c r="Q86" s="10"/>
      <c r="R86" s="10"/>
      <c r="S86" s="10"/>
    </row>
    <row r="87" spans="14:19" x14ac:dyDescent="0.25">
      <c r="N87" s="10"/>
      <c r="O87" s="10"/>
      <c r="P87" s="10"/>
      <c r="Q87" s="10"/>
      <c r="R87" s="10"/>
      <c r="S87" s="10"/>
    </row>
    <row r="88" spans="14:19" x14ac:dyDescent="0.25">
      <c r="N88" s="10"/>
      <c r="O88" s="10"/>
      <c r="P88" s="10"/>
      <c r="Q88" s="10"/>
      <c r="R88" s="10"/>
      <c r="S88" s="10"/>
    </row>
    <row r="89" spans="14:19" x14ac:dyDescent="0.25">
      <c r="N89" s="10"/>
      <c r="O89" s="10"/>
      <c r="P89" s="10"/>
      <c r="Q89" s="10"/>
      <c r="R89" s="10"/>
      <c r="S89" s="10"/>
    </row>
    <row r="90" spans="14:19" x14ac:dyDescent="0.25">
      <c r="N90" s="10"/>
      <c r="O90" s="10"/>
      <c r="P90" s="10"/>
      <c r="Q90" s="10"/>
      <c r="R90" s="10"/>
      <c r="S90" s="10"/>
    </row>
    <row r="91" spans="14:19" x14ac:dyDescent="0.25">
      <c r="N91" s="10"/>
      <c r="O91" s="10"/>
      <c r="P91" s="10"/>
      <c r="Q91" s="10"/>
      <c r="R91" s="10"/>
      <c r="S91" s="10"/>
    </row>
    <row r="92" spans="14:19" x14ac:dyDescent="0.25">
      <c r="N92" s="10"/>
      <c r="O92" s="10"/>
      <c r="P92" s="10"/>
      <c r="Q92" s="10"/>
      <c r="R92" s="10"/>
      <c r="S92" s="10"/>
    </row>
    <row r="93" spans="14:19" x14ac:dyDescent="0.25">
      <c r="N93" s="10"/>
      <c r="O93" s="10"/>
      <c r="P93" s="10"/>
      <c r="Q93" s="10"/>
      <c r="R93" s="10"/>
      <c r="S93" s="10"/>
    </row>
    <row r="94" spans="14:19" x14ac:dyDescent="0.25">
      <c r="N94" s="10"/>
      <c r="O94" s="10"/>
      <c r="P94" s="10"/>
      <c r="Q94" s="10"/>
      <c r="R94" s="10"/>
      <c r="S94" s="10"/>
    </row>
    <row r="95" spans="14:19" x14ac:dyDescent="0.25">
      <c r="N95" s="10"/>
      <c r="O95" s="10"/>
      <c r="P95" s="10"/>
      <c r="Q95" s="10"/>
      <c r="R95" s="10"/>
      <c r="S95" s="10"/>
    </row>
    <row r="96" spans="14:19" x14ac:dyDescent="0.25">
      <c r="N96" s="10"/>
      <c r="O96" s="10"/>
      <c r="P96" s="10"/>
      <c r="Q96" s="10"/>
      <c r="R96" s="10"/>
      <c r="S96" s="10"/>
    </row>
    <row r="97" spans="14:19" x14ac:dyDescent="0.25">
      <c r="N97" s="10"/>
      <c r="O97" s="10"/>
      <c r="P97" s="10"/>
      <c r="Q97" s="10"/>
      <c r="R97" s="10"/>
      <c r="S97" s="10"/>
    </row>
    <row r="98" spans="14:19" x14ac:dyDescent="0.25">
      <c r="N98" s="10"/>
      <c r="O98" s="10"/>
      <c r="P98" s="10"/>
      <c r="Q98" s="10"/>
      <c r="R98" s="10"/>
      <c r="S98" s="10"/>
    </row>
    <row r="99" spans="14:19" x14ac:dyDescent="0.25">
      <c r="N99" s="10"/>
      <c r="O99" s="10"/>
      <c r="P99" s="10"/>
      <c r="Q99" s="10"/>
      <c r="R99" s="10"/>
      <c r="S99" s="10"/>
    </row>
    <row r="100" spans="14:19" x14ac:dyDescent="0.25">
      <c r="N100" s="10"/>
      <c r="O100" s="10"/>
      <c r="P100" s="10"/>
      <c r="Q100" s="10"/>
      <c r="R100" s="10"/>
      <c r="S100" s="10"/>
    </row>
    <row r="101" spans="14:19" x14ac:dyDescent="0.25">
      <c r="N101" s="10"/>
      <c r="O101" s="10"/>
      <c r="P101" s="10"/>
      <c r="Q101" s="10"/>
      <c r="R101" s="10"/>
      <c r="S101" s="10"/>
    </row>
    <row r="102" spans="14:19" x14ac:dyDescent="0.25">
      <c r="N102" s="10"/>
      <c r="O102" s="10"/>
      <c r="P102" s="10"/>
      <c r="Q102" s="10"/>
      <c r="R102" s="10"/>
      <c r="S102" s="10"/>
    </row>
    <row r="103" spans="14:19" x14ac:dyDescent="0.25">
      <c r="N103" s="10"/>
      <c r="O103" s="10"/>
      <c r="P103" s="10"/>
      <c r="Q103" s="10"/>
      <c r="R103" s="10"/>
      <c r="S103" s="10"/>
    </row>
    <row r="104" spans="14:19" x14ac:dyDescent="0.25">
      <c r="N104" s="10"/>
      <c r="O104" s="10"/>
      <c r="P104" s="10"/>
      <c r="Q104" s="10"/>
      <c r="R104" s="10"/>
      <c r="S104" s="10"/>
    </row>
  </sheetData>
  <conditionalFormatting sqref="N10">
    <cfRule type="cellIs" dxfId="22" priority="47" stopIfTrue="1" operator="greaterThan">
      <formula>$O$10</formula>
    </cfRule>
  </conditionalFormatting>
  <conditionalFormatting sqref="N12">
    <cfRule type="cellIs" dxfId="21" priority="68" stopIfTrue="1" operator="greaterThan">
      <formula>$O$12</formula>
    </cfRule>
  </conditionalFormatting>
  <conditionalFormatting sqref="N13">
    <cfRule type="cellIs" dxfId="20" priority="44" stopIfTrue="1" operator="greaterThan">
      <formula>$O$13</formula>
    </cfRule>
  </conditionalFormatting>
  <conditionalFormatting sqref="N14">
    <cfRule type="cellIs" dxfId="19" priority="1" stopIfTrue="1" operator="greaterThan">
      <formula>$O$14</formula>
    </cfRule>
    <cfRule type="cellIs" dxfId="18" priority="2" operator="equal">
      <formula>$O$14</formula>
    </cfRule>
  </conditionalFormatting>
  <conditionalFormatting sqref="N15">
    <cfRule type="cellIs" dxfId="17" priority="63" stopIfTrue="1" operator="greaterThan">
      <formula>$O$15</formula>
    </cfRule>
  </conditionalFormatting>
  <conditionalFormatting sqref="N16">
    <cfRule type="cellIs" dxfId="16" priority="39" stopIfTrue="1" operator="greaterThan">
      <formula>$O$16</formula>
    </cfRule>
  </conditionalFormatting>
  <conditionalFormatting sqref="N17">
    <cfRule type="cellIs" dxfId="15" priority="37" stopIfTrue="1" operator="greaterThan">
      <formula>$O$17</formula>
    </cfRule>
  </conditionalFormatting>
  <conditionalFormatting sqref="N18">
    <cfRule type="cellIs" dxfId="14" priority="35" stopIfTrue="1" operator="greaterThan">
      <formula>$O$18</formula>
    </cfRule>
  </conditionalFormatting>
  <conditionalFormatting sqref="N20">
    <cfRule type="cellIs" dxfId="13" priority="52" stopIfTrue="1" operator="greaterThan">
      <formula>$O$20</formula>
    </cfRule>
  </conditionalFormatting>
  <conditionalFormatting sqref="N21">
    <cfRule type="cellIs" dxfId="12" priority="54" stopIfTrue="1" operator="greaterThan">
      <formula>$O$21</formula>
    </cfRule>
  </conditionalFormatting>
  <conditionalFormatting sqref="N22:N23">
    <cfRule type="cellIs" dxfId="11" priority="56" stopIfTrue="1" operator="greaterThan">
      <formula>$O$22</formula>
    </cfRule>
  </conditionalFormatting>
  <conditionalFormatting sqref="N10:O10">
    <cfRule type="dataBar" priority="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{4770FA23-FDF1-4AB2-A143-E18A3FD80357}</x14:id>
        </ext>
      </extLst>
    </cfRule>
  </conditionalFormatting>
  <conditionalFormatting sqref="N12:O12">
    <cfRule type="dataBar" priority="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{9BE2B113-C268-4B68-8109-7DDAF7AA1918}</x14:id>
        </ext>
      </extLst>
    </cfRule>
  </conditionalFormatting>
  <conditionalFormatting sqref="N13:O13">
    <cfRule type="dataBar" priority="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{0D9C41BF-C67D-4898-BA80-A187DCED588A}</x14:id>
        </ext>
      </extLst>
    </cfRule>
  </conditionalFormatting>
  <conditionalFormatting sqref="N14:O14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{06FA4268-15E9-466B-A59E-106229F1C023}</x14:id>
        </ext>
      </extLst>
    </cfRule>
  </conditionalFormatting>
  <conditionalFormatting sqref="N15:O15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{E6231AD7-DD3F-4072-92C1-1CDEC01AAA51}</x14:id>
        </ext>
      </extLst>
    </cfRule>
  </conditionalFormatting>
  <conditionalFormatting sqref="N16:O16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{CC1DE289-7B99-48EB-99A1-B5E006D9E07F}</x14:id>
        </ext>
      </extLst>
    </cfRule>
  </conditionalFormatting>
  <conditionalFormatting sqref="N17:O17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{67F5617D-4A54-4F78-AC88-03F449508018}</x14:id>
        </ext>
      </extLst>
    </cfRule>
  </conditionalFormatting>
  <conditionalFormatting sqref="N18:O18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{4524A9A4-0801-456B-B469-4AA568D0DC82}</x14:id>
        </ext>
      </extLst>
    </cfRule>
  </conditionalFormatting>
  <conditionalFormatting sqref="N20:O20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{23167B9D-0F64-416F-9D6D-E4D0C202C5E5}</x14:id>
        </ext>
      </extLst>
    </cfRule>
  </conditionalFormatting>
  <conditionalFormatting sqref="N21:O21">
    <cfRule type="dataBar" priority="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{FF04F773-C993-4073-9F8E-FA15ED75E1DC}</x14:id>
        </ext>
      </extLst>
    </cfRule>
  </conditionalFormatting>
  <conditionalFormatting sqref="N22:O22 N23">
    <cfRule type="dataBar" priority="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{4C902E9C-F397-4674-A5D5-36CB56EFF038}</x14:id>
        </ext>
      </extLst>
    </cfRule>
  </conditionalFormatting>
  <conditionalFormatting sqref="O10">
    <cfRule type="notContainsBlanks" dxfId="10" priority="16" stopIfTrue="1">
      <formula>LEN(TRIM(O10))&gt;0</formula>
    </cfRule>
  </conditionalFormatting>
  <conditionalFormatting sqref="O12:O18">
    <cfRule type="notContainsBlanks" dxfId="9" priority="3" stopIfTrue="1">
      <formula>LEN(TRIM(O12))&gt;0</formula>
    </cfRule>
  </conditionalFormatting>
  <conditionalFormatting sqref="O20:O22">
    <cfRule type="notContainsBlanks" dxfId="8" priority="7" stopIfTrue="1">
      <formula>LEN(TRIM(O20))&gt;0</formula>
    </cfRule>
  </conditionalFormatting>
  <conditionalFormatting sqref="T10">
    <cfRule type="notContainsBlanks" dxfId="7" priority="17" stopIfTrue="1">
      <formula>LEN(TRIM(T10))&gt;0</formula>
    </cfRule>
  </conditionalFormatting>
  <conditionalFormatting sqref="T10:T11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{D1D46A3B-9C12-46FB-A54C-3AF88D7F78B1}</x14:id>
        </ext>
      </extLst>
    </cfRule>
  </conditionalFormatting>
  <conditionalFormatting sqref="T11">
    <cfRule type="cellIs" dxfId="6" priority="18" stopIfTrue="1" operator="greaterThan">
      <formula>$T$10</formula>
    </cfRule>
    <cfRule type="cellIs" dxfId="5" priority="25" stopIfTrue="1" operator="equal">
      <formula>"$O$10"</formula>
    </cfRule>
    <cfRule type="cellIs" dxfId="4" priority="26" operator="lessThan">
      <formula>$T$10</formula>
    </cfRule>
  </conditionalFormatting>
  <dataValidations count="11">
    <dataValidation type="list" allowBlank="1" showInputMessage="1" showErrorMessage="1" sqref="G56:H75" xr:uid="{6D68FF25-D817-4CE1-B0BD-E76670223D3C}">
      <formula1>"omega, normal, EX"</formula1>
    </dataValidation>
    <dataValidation type="list" allowBlank="1" showInputMessage="1" showErrorMessage="1" sqref="D56:D75" xr:uid="{EA4410CD-40AA-4CF7-9BD8-BB8889B6493A}">
      <formula1>"aucun, pv, attaque, crit rate, DA, TA, dmg cap, CA dmg cap, skill dmg cap, stamina, enmity"</formula1>
    </dataValidation>
    <dataValidation type="list" allowBlank="1" showInputMessage="1" showErrorMessage="1" sqref="N4:Q4" xr:uid="{F4269E7C-2C0C-44F0-80DA-63B6923682B4}">
      <formula1>"omega, normal"</formula1>
    </dataValidation>
    <dataValidation type="list" allowBlank="1" showInputMessage="1" showErrorMessage="1" sqref="T9" xr:uid="{3A3F6891-21A6-406E-9710-30B01A80502D}">
      <formula1>"grille normalle, grille extra"</formula1>
    </dataValidation>
    <dataValidation operator="lessThanOrEqual" allowBlank="1" showInputMessage="1" showErrorMessage="1" promptTitle="Skill lvl" prompt="la valeur doit être comprise entre 0 et 20." sqref="G3" xr:uid="{E036EA69-2684-42B6-910C-201323ABFFFB}"/>
    <dataValidation type="list" allowBlank="1" showInputMessage="1" showErrorMessage="1" sqref="E4:E55" xr:uid="{E5D2EF50-73A8-41DA-8D3A-29FCF12EE07D}">
      <formula1>"aucun, pv,attaque,crit rate,DA, TA fadango, TA devastation,TA normal,MA fadango,MA devastation,MA normal,dmg cap,CA dmg up,CA dmg cap,skill dmg cap,stamina,enmity,supplémental DMG,supplémental skill DMG,amplification"</formula1>
    </dataValidation>
    <dataValidation type="list" operator="lessThanOrEqual" allowBlank="1" showInputMessage="1" showErrorMessage="1" prompt="se propage" sqref="G4:G55" xr:uid="{08C416CD-8399-4F9D-93AB-9EB84E4899E2}">
      <formula1>"1,10,15,20"</formula1>
    </dataValidation>
    <dataValidation type="list" allowBlank="1" showInputMessage="1" showErrorMessage="1" sqref="F4:F55" xr:uid="{1818E3AA-DFF9-4193-A6E1-BA4E0D186CC2}">
      <formula1>"petit,moyen,gros,gros2,massif,ancestral,absurde,sephira,spécial"</formula1>
    </dataValidation>
    <dataValidation allowBlank="1" showInputMessage="1" showErrorMessage="1" prompt="se propage" sqref="D4:D55" xr:uid="{17DFECE8-9F47-4DCA-A291-B6AD020CA7F4}"/>
    <dataValidation type="list" allowBlank="1" showInputMessage="1" showErrorMessage="1" sqref="K3" xr:uid="{DFDFD265-A847-4205-90F8-95BB65E7B560}">
      <formula1>"normal; omega; EX; seraphic; autre"</formula1>
    </dataValidation>
    <dataValidation type="list" allowBlank="1" showInputMessage="1" showErrorMessage="1" sqref="K4:K55" xr:uid="{46FFB5F7-ACE2-47C1-ABAF-D1B4F7029A13}">
      <formula1>"omega, normal, EX, seraphic, autre"</formula1>
    </dataValidation>
  </dataValidations>
  <hyperlinks>
    <hyperlink ref="C58" r:id="rId1" display="Secret" xr:uid="{54E237E2-E950-4923-9E54-4093329CBDE1}"/>
  </hyperlinks>
  <pageMargins left="0.7" right="0.7" top="0.75" bottom="0.75" header="0.3" footer="0.3"/>
  <pageSetup paperSize="9" orientation="portrait" r:id="rId2"/>
  <ignoredErrors>
    <ignoredError sqref="D4:D55" calculatedColumn="1"/>
  </ignoredErrors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70FA23-FDF1-4AB2-A143-E18A3FD803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N10:O10</xm:sqref>
        </x14:conditionalFormatting>
        <x14:conditionalFormatting xmlns:xm="http://schemas.microsoft.com/office/excel/2006/main">
          <x14:cfRule type="dataBar" id="{9BE2B113-C268-4B68-8109-7DDAF7AA19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N12:O12</xm:sqref>
        </x14:conditionalFormatting>
        <x14:conditionalFormatting xmlns:xm="http://schemas.microsoft.com/office/excel/2006/main">
          <x14:cfRule type="dataBar" id="{0D9C41BF-C67D-4898-BA80-A187DCED58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N13:O13</xm:sqref>
        </x14:conditionalFormatting>
        <x14:conditionalFormatting xmlns:xm="http://schemas.microsoft.com/office/excel/2006/main">
          <x14:cfRule type="dataBar" id="{06FA4268-15E9-466B-A59E-106229F1C0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N14:O14</xm:sqref>
        </x14:conditionalFormatting>
        <x14:conditionalFormatting xmlns:xm="http://schemas.microsoft.com/office/excel/2006/main">
          <x14:cfRule type="dataBar" id="{E6231AD7-DD3F-4072-92C1-1CDEC01AAA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N15:O15</xm:sqref>
        </x14:conditionalFormatting>
        <x14:conditionalFormatting xmlns:xm="http://schemas.microsoft.com/office/excel/2006/main">
          <x14:cfRule type="dataBar" id="{CC1DE289-7B99-48EB-99A1-B5E006D9E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N16:O16</xm:sqref>
        </x14:conditionalFormatting>
        <x14:conditionalFormatting xmlns:xm="http://schemas.microsoft.com/office/excel/2006/main">
          <x14:cfRule type="dataBar" id="{67F5617D-4A54-4F78-AC88-03F4495080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N17:O17</xm:sqref>
        </x14:conditionalFormatting>
        <x14:conditionalFormatting xmlns:xm="http://schemas.microsoft.com/office/excel/2006/main">
          <x14:cfRule type="dataBar" id="{4524A9A4-0801-456B-B469-4AA568D0DC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N18:O18</xm:sqref>
        </x14:conditionalFormatting>
        <x14:conditionalFormatting xmlns:xm="http://schemas.microsoft.com/office/excel/2006/main">
          <x14:cfRule type="dataBar" id="{23167B9D-0F64-416F-9D6D-E4D0C202C5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N20:O20</xm:sqref>
        </x14:conditionalFormatting>
        <x14:conditionalFormatting xmlns:xm="http://schemas.microsoft.com/office/excel/2006/main">
          <x14:cfRule type="dataBar" id="{FF04F773-C993-4073-9F8E-FA15ED75E1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N21:O21</xm:sqref>
        </x14:conditionalFormatting>
        <x14:conditionalFormatting xmlns:xm="http://schemas.microsoft.com/office/excel/2006/main">
          <x14:cfRule type="dataBar" id="{4C902E9C-F397-4674-A5D5-36CB56EFF0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N22:O22 N23</xm:sqref>
        </x14:conditionalFormatting>
        <x14:conditionalFormatting xmlns:xm="http://schemas.microsoft.com/office/excel/2006/main">
          <x14:cfRule type="dataBar" id="{D1D46A3B-9C12-46FB-A54C-3AF88D7F78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T10:T11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67E8-8DAC-4A58-B2B4-D74C5A908440}">
  <sheetPr codeName="Blad2">
    <tabColor theme="6"/>
  </sheetPr>
  <dimension ref="A2:K81"/>
  <sheetViews>
    <sheetView topLeftCell="A31" workbookViewId="0">
      <selection activeCell="A2" sqref="A2:H81"/>
    </sheetView>
  </sheetViews>
  <sheetFormatPr defaultColWidth="11.42578125" defaultRowHeight="15" x14ac:dyDescent="0.25"/>
  <cols>
    <col min="1" max="1" width="15" bestFit="1" customWidth="1"/>
    <col min="8" max="8" width="14.28515625" customWidth="1"/>
    <col min="9" max="9" width="14.7109375" customWidth="1"/>
    <col min="18" max="18" width="12.42578125" customWidth="1"/>
    <col min="21" max="21" width="12.28515625" customWidth="1"/>
  </cols>
  <sheetData>
    <row r="2" spans="1:8" x14ac:dyDescent="0.25">
      <c r="B2" t="s">
        <v>73</v>
      </c>
      <c r="C2" t="s">
        <v>74</v>
      </c>
      <c r="D2" t="s">
        <v>75</v>
      </c>
      <c r="E2" t="s">
        <v>76</v>
      </c>
      <c r="F2" t="s">
        <v>77</v>
      </c>
      <c r="G2" t="s">
        <v>79</v>
      </c>
      <c r="H2" t="s">
        <v>78</v>
      </c>
    </row>
    <row r="3" spans="1:8" x14ac:dyDescent="0.25">
      <c r="A3" t="s">
        <v>29</v>
      </c>
      <c r="B3">
        <v>1</v>
      </c>
      <c r="C3" s="12">
        <v>1</v>
      </c>
      <c r="D3" s="12">
        <v>3</v>
      </c>
      <c r="E3" s="12">
        <v>6</v>
      </c>
      <c r="F3" s="12">
        <v>7</v>
      </c>
      <c r="G3" s="12">
        <v>8</v>
      </c>
    </row>
    <row r="4" spans="1:8" x14ac:dyDescent="0.25">
      <c r="A4" t="s">
        <v>29</v>
      </c>
      <c r="B4">
        <v>10</v>
      </c>
      <c r="C4" s="12">
        <v>10</v>
      </c>
      <c r="D4" s="12">
        <v>12</v>
      </c>
      <c r="E4" s="12">
        <v>15</v>
      </c>
      <c r="F4" s="12">
        <v>16</v>
      </c>
      <c r="G4" s="12">
        <v>17</v>
      </c>
    </row>
    <row r="5" spans="1:8" x14ac:dyDescent="0.25">
      <c r="A5" t="s">
        <v>29</v>
      </c>
      <c r="B5">
        <v>15</v>
      </c>
      <c r="C5" s="12">
        <v>12</v>
      </c>
      <c r="D5" s="12">
        <v>14.5</v>
      </c>
      <c r="E5" s="12">
        <v>18</v>
      </c>
      <c r="F5" s="12">
        <v>20</v>
      </c>
      <c r="G5" s="12">
        <v>22</v>
      </c>
    </row>
    <row r="6" spans="1:8" x14ac:dyDescent="0.25">
      <c r="A6" t="s">
        <v>29</v>
      </c>
      <c r="B6">
        <v>20</v>
      </c>
      <c r="C6" s="12">
        <v>13</v>
      </c>
      <c r="D6" s="12">
        <v>16</v>
      </c>
      <c r="E6" s="12">
        <v>20</v>
      </c>
      <c r="F6" s="12">
        <v>22</v>
      </c>
      <c r="G6" s="12">
        <v>25.5</v>
      </c>
    </row>
    <row r="7" spans="1:8" x14ac:dyDescent="0.25">
      <c r="B7" t="s">
        <v>73</v>
      </c>
      <c r="C7" t="s">
        <v>74</v>
      </c>
      <c r="D7" t="s">
        <v>75</v>
      </c>
      <c r="E7" t="s">
        <v>76</v>
      </c>
      <c r="F7" t="s">
        <v>77</v>
      </c>
      <c r="G7" t="s">
        <v>79</v>
      </c>
      <c r="H7" t="s">
        <v>78</v>
      </c>
    </row>
    <row r="8" spans="1:8" x14ac:dyDescent="0.25">
      <c r="A8" t="s">
        <v>16</v>
      </c>
      <c r="B8">
        <v>1</v>
      </c>
      <c r="C8" s="12">
        <v>3</v>
      </c>
      <c r="D8" s="12">
        <v>6</v>
      </c>
      <c r="E8" s="12">
        <v>9</v>
      </c>
      <c r="F8" s="12">
        <v>10</v>
      </c>
    </row>
    <row r="9" spans="1:8" x14ac:dyDescent="0.25">
      <c r="A9" t="s">
        <v>16</v>
      </c>
      <c r="B9">
        <v>10</v>
      </c>
      <c r="C9" s="12">
        <v>12</v>
      </c>
      <c r="D9" s="12">
        <v>15</v>
      </c>
      <c r="E9" s="12">
        <v>18</v>
      </c>
      <c r="F9" s="12">
        <v>19</v>
      </c>
    </row>
    <row r="10" spans="1:8" x14ac:dyDescent="0.25">
      <c r="A10" t="s">
        <v>16</v>
      </c>
      <c r="B10">
        <v>15</v>
      </c>
      <c r="C10" s="12">
        <v>14</v>
      </c>
      <c r="D10" s="12">
        <v>17</v>
      </c>
      <c r="E10" s="12">
        <v>21</v>
      </c>
      <c r="F10" s="12">
        <v>24</v>
      </c>
    </row>
    <row r="11" spans="1:8" x14ac:dyDescent="0.25">
      <c r="A11" t="s">
        <v>16</v>
      </c>
      <c r="B11">
        <v>20</v>
      </c>
      <c r="C11" s="12">
        <v>16</v>
      </c>
    </row>
    <row r="12" spans="1:8" x14ac:dyDescent="0.25">
      <c r="B12" t="s">
        <v>73</v>
      </c>
      <c r="C12" t="s">
        <v>74</v>
      </c>
      <c r="D12" t="s">
        <v>75</v>
      </c>
      <c r="E12" t="s">
        <v>76</v>
      </c>
      <c r="F12" t="s">
        <v>77</v>
      </c>
      <c r="G12" t="s">
        <v>79</v>
      </c>
      <c r="H12" t="s">
        <v>78</v>
      </c>
    </row>
    <row r="13" spans="1:8" x14ac:dyDescent="0.25">
      <c r="A13" t="s">
        <v>33</v>
      </c>
      <c r="B13">
        <v>1</v>
      </c>
      <c r="C13" s="12">
        <v>1.1000000000000001</v>
      </c>
      <c r="D13" s="12">
        <v>3.2</v>
      </c>
      <c r="E13" s="12">
        <v>4.4000000000000004</v>
      </c>
      <c r="F13" s="12">
        <v>5.5</v>
      </c>
      <c r="G13" s="12">
        <v>7.9</v>
      </c>
    </row>
    <row r="14" spans="1:8" x14ac:dyDescent="0.25">
      <c r="A14" t="s">
        <v>33</v>
      </c>
      <c r="B14">
        <v>10</v>
      </c>
      <c r="C14" s="12">
        <v>2</v>
      </c>
      <c r="D14" s="12">
        <v>5</v>
      </c>
      <c r="E14" s="12">
        <v>8</v>
      </c>
      <c r="F14" s="12">
        <v>10</v>
      </c>
      <c r="G14" s="12">
        <v>16</v>
      </c>
    </row>
    <row r="15" spans="1:8" x14ac:dyDescent="0.25">
      <c r="A15" t="s">
        <v>33</v>
      </c>
      <c r="B15">
        <v>15</v>
      </c>
      <c r="C15" s="12">
        <v>3</v>
      </c>
      <c r="D15" s="12">
        <v>6.5</v>
      </c>
      <c r="E15" s="12">
        <v>10</v>
      </c>
      <c r="F15" s="12">
        <v>12</v>
      </c>
      <c r="G15" s="12">
        <v>20</v>
      </c>
    </row>
    <row r="16" spans="1:8" x14ac:dyDescent="0.25">
      <c r="A16" t="s">
        <v>33</v>
      </c>
      <c r="B16">
        <v>20</v>
      </c>
      <c r="C16" s="12">
        <v>4</v>
      </c>
      <c r="D16" s="12">
        <v>7.5</v>
      </c>
      <c r="E16" s="12">
        <v>11</v>
      </c>
      <c r="F16" s="12"/>
      <c r="G16" s="12"/>
    </row>
    <row r="17" spans="1:8" x14ac:dyDescent="0.25">
      <c r="B17" t="s">
        <v>73</v>
      </c>
      <c r="C17" t="s">
        <v>74</v>
      </c>
      <c r="D17" t="s">
        <v>75</v>
      </c>
      <c r="E17" t="s">
        <v>76</v>
      </c>
      <c r="F17" t="s">
        <v>77</v>
      </c>
      <c r="G17" t="s">
        <v>79</v>
      </c>
      <c r="H17" t="s">
        <v>78</v>
      </c>
    </row>
    <row r="18" spans="1:8" x14ac:dyDescent="0.25">
      <c r="A18" t="s">
        <v>34</v>
      </c>
      <c r="B18">
        <v>1</v>
      </c>
      <c r="C18" s="12">
        <v>0.4</v>
      </c>
      <c r="D18" s="12">
        <v>0.8</v>
      </c>
      <c r="E18" s="12">
        <v>1.2</v>
      </c>
    </row>
    <row r="19" spans="1:8" x14ac:dyDescent="0.25">
      <c r="A19" t="s">
        <v>34</v>
      </c>
      <c r="B19">
        <v>10</v>
      </c>
      <c r="C19" s="12">
        <v>2.2000000000000002</v>
      </c>
      <c r="D19" s="12">
        <v>3.5</v>
      </c>
      <c r="E19" s="12">
        <v>5</v>
      </c>
      <c r="F19" s="12">
        <v>7</v>
      </c>
    </row>
    <row r="20" spans="1:8" x14ac:dyDescent="0.25">
      <c r="A20" t="s">
        <v>34</v>
      </c>
      <c r="B20">
        <v>15</v>
      </c>
      <c r="C20" s="12">
        <v>3.5</v>
      </c>
      <c r="D20" s="12">
        <v>5</v>
      </c>
      <c r="E20" s="12">
        <v>7</v>
      </c>
      <c r="F20" s="12">
        <v>9</v>
      </c>
    </row>
    <row r="21" spans="1:8" x14ac:dyDescent="0.25">
      <c r="A21" t="s">
        <v>34</v>
      </c>
      <c r="B21">
        <v>20</v>
      </c>
      <c r="D21" s="12">
        <v>6</v>
      </c>
    </row>
    <row r="22" spans="1:8" x14ac:dyDescent="0.25">
      <c r="B22" t="s">
        <v>73</v>
      </c>
      <c r="C22" t="s">
        <v>74</v>
      </c>
      <c r="D22" t="s">
        <v>75</v>
      </c>
      <c r="E22" t="s">
        <v>76</v>
      </c>
      <c r="F22" t="s">
        <v>77</v>
      </c>
      <c r="G22" t="s">
        <v>79</v>
      </c>
      <c r="H22" t="s">
        <v>78</v>
      </c>
    </row>
    <row r="23" spans="1:8" x14ac:dyDescent="0.25">
      <c r="A23" t="s">
        <v>70</v>
      </c>
      <c r="B23">
        <v>1</v>
      </c>
      <c r="C23" s="12">
        <v>0.18</v>
      </c>
      <c r="D23" s="12">
        <v>0.8</v>
      </c>
    </row>
    <row r="24" spans="1:8" x14ac:dyDescent="0.25">
      <c r="A24" t="s">
        <v>70</v>
      </c>
      <c r="B24">
        <v>10</v>
      </c>
      <c r="C24" s="12">
        <v>1.35</v>
      </c>
      <c r="D24" s="12">
        <v>2.15</v>
      </c>
    </row>
    <row r="25" spans="1:8" x14ac:dyDescent="0.25">
      <c r="A25" t="s">
        <v>70</v>
      </c>
      <c r="B25">
        <v>15</v>
      </c>
      <c r="C25" s="12">
        <v>2</v>
      </c>
      <c r="D25" s="12">
        <v>2.9</v>
      </c>
      <c r="E25" s="14">
        <v>4.2</v>
      </c>
    </row>
    <row r="26" spans="1:8" x14ac:dyDescent="0.25">
      <c r="A26" t="s">
        <v>70</v>
      </c>
      <c r="B26">
        <v>20</v>
      </c>
      <c r="D26" s="12">
        <v>3.65</v>
      </c>
    </row>
    <row r="27" spans="1:8" x14ac:dyDescent="0.25">
      <c r="B27" t="s">
        <v>73</v>
      </c>
      <c r="C27" t="s">
        <v>74</v>
      </c>
      <c r="D27" t="s">
        <v>75</v>
      </c>
      <c r="E27" t="s">
        <v>76</v>
      </c>
      <c r="F27" t="s">
        <v>77</v>
      </c>
      <c r="G27" t="s">
        <v>79</v>
      </c>
      <c r="H27" t="s">
        <v>78</v>
      </c>
    </row>
    <row r="28" spans="1:8" x14ac:dyDescent="0.25">
      <c r="A28" t="s">
        <v>71</v>
      </c>
      <c r="B28">
        <v>1</v>
      </c>
      <c r="C28" s="12">
        <v>0.4</v>
      </c>
    </row>
    <row r="29" spans="1:8" x14ac:dyDescent="0.25">
      <c r="A29" t="s">
        <v>71</v>
      </c>
      <c r="B29">
        <v>10</v>
      </c>
      <c r="C29" s="12">
        <v>1.75</v>
      </c>
    </row>
    <row r="30" spans="1:8" x14ac:dyDescent="0.25">
      <c r="A30" t="s">
        <v>71</v>
      </c>
      <c r="B30">
        <v>15</v>
      </c>
      <c r="C30" s="12">
        <v>2.5</v>
      </c>
    </row>
    <row r="31" spans="1:8" x14ac:dyDescent="0.25">
      <c r="A31" t="s">
        <v>71</v>
      </c>
      <c r="B31">
        <v>20</v>
      </c>
    </row>
    <row r="32" spans="1:8" x14ac:dyDescent="0.25">
      <c r="B32" t="s">
        <v>73</v>
      </c>
      <c r="C32" t="s">
        <v>74</v>
      </c>
      <c r="D32" t="s">
        <v>75</v>
      </c>
      <c r="E32" t="s">
        <v>76</v>
      </c>
      <c r="F32" t="s">
        <v>77</v>
      </c>
      <c r="G32" t="s">
        <v>79</v>
      </c>
      <c r="H32" t="s">
        <v>78</v>
      </c>
    </row>
    <row r="33" spans="1:8" x14ac:dyDescent="0.25">
      <c r="A33" t="s">
        <v>69</v>
      </c>
      <c r="B33">
        <v>1</v>
      </c>
      <c r="C33" s="12">
        <v>0.4</v>
      </c>
      <c r="D33" s="12">
        <v>0.8</v>
      </c>
      <c r="E33" s="12">
        <v>1.2</v>
      </c>
    </row>
    <row r="34" spans="1:8" x14ac:dyDescent="0.25">
      <c r="A34" t="s">
        <v>69</v>
      </c>
      <c r="B34">
        <v>10</v>
      </c>
      <c r="C34" s="12">
        <v>2.2000000000000002</v>
      </c>
      <c r="D34" s="12">
        <v>3.5</v>
      </c>
      <c r="E34" s="12">
        <v>5</v>
      </c>
      <c r="F34" s="12">
        <v>7</v>
      </c>
    </row>
    <row r="35" spans="1:8" x14ac:dyDescent="0.25">
      <c r="A35" t="s">
        <v>69</v>
      </c>
      <c r="B35">
        <v>15</v>
      </c>
      <c r="C35" s="12">
        <v>3.5</v>
      </c>
      <c r="D35" s="12">
        <v>5</v>
      </c>
      <c r="E35" s="12">
        <v>7</v>
      </c>
      <c r="F35" s="12">
        <v>9</v>
      </c>
    </row>
    <row r="36" spans="1:8" x14ac:dyDescent="0.25">
      <c r="A36" t="s">
        <v>69</v>
      </c>
      <c r="B36">
        <v>20</v>
      </c>
      <c r="D36" s="12">
        <v>6</v>
      </c>
    </row>
    <row r="37" spans="1:8" x14ac:dyDescent="0.25">
      <c r="B37" t="s">
        <v>73</v>
      </c>
      <c r="C37" t="s">
        <v>74</v>
      </c>
      <c r="D37" t="s">
        <v>75</v>
      </c>
      <c r="E37" t="s">
        <v>76</v>
      </c>
      <c r="F37" t="s">
        <v>77</v>
      </c>
      <c r="G37" t="s">
        <v>79</v>
      </c>
      <c r="H37" t="s">
        <v>78</v>
      </c>
    </row>
    <row r="38" spans="1:8" x14ac:dyDescent="0.25">
      <c r="A38" t="s">
        <v>66</v>
      </c>
      <c r="B38">
        <v>1</v>
      </c>
      <c r="C38" s="12">
        <v>0.18</v>
      </c>
      <c r="D38" s="12">
        <v>0.8</v>
      </c>
    </row>
    <row r="39" spans="1:8" x14ac:dyDescent="0.25">
      <c r="A39" t="s">
        <v>66</v>
      </c>
      <c r="B39">
        <v>10</v>
      </c>
      <c r="C39" s="12">
        <v>1.35</v>
      </c>
      <c r="D39" s="12">
        <v>2.15</v>
      </c>
    </row>
    <row r="40" spans="1:8" x14ac:dyDescent="0.25">
      <c r="A40" t="s">
        <v>66</v>
      </c>
      <c r="B40">
        <v>15</v>
      </c>
      <c r="C40" s="12">
        <v>2</v>
      </c>
      <c r="D40" s="12">
        <v>2.9</v>
      </c>
      <c r="E40" s="14">
        <v>4.2</v>
      </c>
    </row>
    <row r="41" spans="1:8" x14ac:dyDescent="0.25">
      <c r="A41" t="s">
        <v>66</v>
      </c>
      <c r="B41">
        <v>20</v>
      </c>
      <c r="D41" s="12">
        <v>3.65</v>
      </c>
    </row>
    <row r="42" spans="1:8" x14ac:dyDescent="0.25">
      <c r="B42" t="s">
        <v>73</v>
      </c>
      <c r="C42" t="s">
        <v>74</v>
      </c>
      <c r="D42" t="s">
        <v>75</v>
      </c>
      <c r="E42" t="s">
        <v>76</v>
      </c>
      <c r="F42" t="s">
        <v>77</v>
      </c>
      <c r="G42" t="s">
        <v>79</v>
      </c>
      <c r="H42" t="s">
        <v>78</v>
      </c>
    </row>
    <row r="43" spans="1:8" x14ac:dyDescent="0.25">
      <c r="A43" t="s">
        <v>67</v>
      </c>
      <c r="B43">
        <v>1</v>
      </c>
      <c r="C43" s="12">
        <v>0.4</v>
      </c>
    </row>
    <row r="44" spans="1:8" x14ac:dyDescent="0.25">
      <c r="A44" t="s">
        <v>67</v>
      </c>
      <c r="B44">
        <v>10</v>
      </c>
      <c r="C44" s="12">
        <v>1.75</v>
      </c>
    </row>
    <row r="45" spans="1:8" x14ac:dyDescent="0.25">
      <c r="A45" t="s">
        <v>67</v>
      </c>
      <c r="B45">
        <v>15</v>
      </c>
      <c r="C45" s="12">
        <v>2.5</v>
      </c>
    </row>
    <row r="46" spans="1:8" x14ac:dyDescent="0.25">
      <c r="A46" t="s">
        <v>67</v>
      </c>
      <c r="B46">
        <v>20</v>
      </c>
    </row>
    <row r="47" spans="1:8" x14ac:dyDescent="0.25">
      <c r="B47" t="s">
        <v>73</v>
      </c>
      <c r="C47" t="s">
        <v>74</v>
      </c>
      <c r="D47" t="s">
        <v>75</v>
      </c>
      <c r="E47" t="s">
        <v>76</v>
      </c>
      <c r="F47" t="s">
        <v>77</v>
      </c>
      <c r="G47" t="s">
        <v>79</v>
      </c>
      <c r="H47" t="s">
        <v>78</v>
      </c>
    </row>
    <row r="48" spans="1:8" x14ac:dyDescent="0.25">
      <c r="A48" t="s">
        <v>68</v>
      </c>
      <c r="B48">
        <v>1</v>
      </c>
      <c r="C48" s="12">
        <v>0.4</v>
      </c>
      <c r="D48" s="12">
        <v>0.8</v>
      </c>
      <c r="E48" s="12">
        <v>1.2</v>
      </c>
    </row>
    <row r="49" spans="1:11" x14ac:dyDescent="0.25">
      <c r="A49" t="s">
        <v>68</v>
      </c>
      <c r="B49">
        <v>10</v>
      </c>
      <c r="C49" s="12">
        <v>2.2000000000000002</v>
      </c>
      <c r="D49" s="12">
        <v>3.5</v>
      </c>
      <c r="E49" s="12">
        <v>5</v>
      </c>
      <c r="F49" s="12">
        <v>7</v>
      </c>
    </row>
    <row r="50" spans="1:11" x14ac:dyDescent="0.25">
      <c r="A50" t="s">
        <v>68</v>
      </c>
      <c r="B50">
        <v>15</v>
      </c>
      <c r="C50" s="12">
        <v>3.5</v>
      </c>
      <c r="D50" s="12">
        <v>5</v>
      </c>
      <c r="E50" s="12">
        <v>7</v>
      </c>
      <c r="F50" s="12">
        <v>9</v>
      </c>
    </row>
    <row r="51" spans="1:11" x14ac:dyDescent="0.25">
      <c r="A51" t="s">
        <v>68</v>
      </c>
      <c r="B51">
        <v>20</v>
      </c>
      <c r="D51" s="12">
        <v>6</v>
      </c>
    </row>
    <row r="52" spans="1:11" x14ac:dyDescent="0.25">
      <c r="B52" t="s">
        <v>73</v>
      </c>
      <c r="C52" t="s">
        <v>74</v>
      </c>
      <c r="D52" t="s">
        <v>75</v>
      </c>
      <c r="E52" t="s">
        <v>76</v>
      </c>
      <c r="F52" t="s">
        <v>77</v>
      </c>
      <c r="G52" t="s">
        <v>79</v>
      </c>
      <c r="H52" t="s">
        <v>78</v>
      </c>
    </row>
    <row r="53" spans="1:11" x14ac:dyDescent="0.25">
      <c r="A53" t="s">
        <v>36</v>
      </c>
      <c r="B53">
        <v>1</v>
      </c>
      <c r="C53" s="12">
        <v>3</v>
      </c>
      <c r="D53" s="12">
        <v>3</v>
      </c>
      <c r="E53" s="12">
        <v>3</v>
      </c>
      <c r="F53" s="12">
        <v>3</v>
      </c>
      <c r="G53" s="12">
        <v>3</v>
      </c>
      <c r="H53" s="12">
        <v>3</v>
      </c>
    </row>
    <row r="54" spans="1:11" x14ac:dyDescent="0.25">
      <c r="A54" t="s">
        <v>36</v>
      </c>
      <c r="B54">
        <v>10</v>
      </c>
      <c r="C54" s="12">
        <v>5.5</v>
      </c>
      <c r="D54" s="12">
        <v>5.5</v>
      </c>
      <c r="E54" s="12">
        <v>5.5</v>
      </c>
      <c r="F54" s="12">
        <v>5.5</v>
      </c>
      <c r="G54" s="12">
        <v>5.5</v>
      </c>
      <c r="H54" s="12">
        <v>5.5</v>
      </c>
    </row>
    <row r="55" spans="1:11" x14ac:dyDescent="0.25">
      <c r="A55" t="s">
        <v>36</v>
      </c>
      <c r="B55">
        <v>15</v>
      </c>
      <c r="C55" s="12">
        <v>7</v>
      </c>
      <c r="D55" s="12">
        <v>7</v>
      </c>
      <c r="E55" s="12">
        <v>7</v>
      </c>
      <c r="F55" s="12">
        <v>7</v>
      </c>
      <c r="G55" s="12">
        <v>7</v>
      </c>
      <c r="H55" s="12">
        <v>7</v>
      </c>
    </row>
    <row r="56" spans="1:11" x14ac:dyDescent="0.25">
      <c r="A56" t="s">
        <v>36</v>
      </c>
      <c r="B56">
        <v>20</v>
      </c>
      <c r="C56" s="12">
        <v>10</v>
      </c>
      <c r="D56" s="12">
        <v>10</v>
      </c>
      <c r="E56" s="12">
        <v>10</v>
      </c>
      <c r="F56" s="12">
        <v>10</v>
      </c>
      <c r="G56" s="12">
        <v>10</v>
      </c>
      <c r="H56" s="12">
        <v>10</v>
      </c>
    </row>
    <row r="57" spans="1:11" x14ac:dyDescent="0.25">
      <c r="B57" t="s">
        <v>73</v>
      </c>
      <c r="C57" t="s">
        <v>74</v>
      </c>
      <c r="D57" t="s">
        <v>75</v>
      </c>
      <c r="E57" t="s">
        <v>76</v>
      </c>
      <c r="F57" t="s">
        <v>77</v>
      </c>
      <c r="G57" t="s">
        <v>79</v>
      </c>
      <c r="H57" t="s">
        <v>78</v>
      </c>
    </row>
    <row r="58" spans="1:11" x14ac:dyDescent="0.25">
      <c r="A58" t="s">
        <v>40</v>
      </c>
      <c r="B58">
        <v>1</v>
      </c>
      <c r="C58" s="12">
        <v>0.5</v>
      </c>
      <c r="D58" s="12">
        <v>2.5</v>
      </c>
      <c r="E58" s="12">
        <v>5.5</v>
      </c>
      <c r="F58" s="12">
        <v>11</v>
      </c>
    </row>
    <row r="59" spans="1:11" x14ac:dyDescent="0.25">
      <c r="A59" t="s">
        <v>40</v>
      </c>
      <c r="B59">
        <v>10</v>
      </c>
      <c r="C59" s="12">
        <v>5</v>
      </c>
      <c r="D59" s="12">
        <v>7</v>
      </c>
      <c r="E59" s="12">
        <v>10</v>
      </c>
      <c r="F59" s="12">
        <v>20</v>
      </c>
    </row>
    <row r="60" spans="1:11" x14ac:dyDescent="0.25">
      <c r="A60" t="s">
        <v>40</v>
      </c>
      <c r="B60">
        <v>15</v>
      </c>
      <c r="C60" s="12">
        <v>7.5</v>
      </c>
      <c r="D60" s="12">
        <v>9.5</v>
      </c>
      <c r="E60" s="12">
        <v>12.5</v>
      </c>
      <c r="F60" s="12">
        <v>25</v>
      </c>
    </row>
    <row r="61" spans="1:11" x14ac:dyDescent="0.25">
      <c r="A61" t="s">
        <v>40</v>
      </c>
      <c r="B61">
        <v>20</v>
      </c>
      <c r="E61" s="14">
        <v>14.5</v>
      </c>
    </row>
    <row r="62" spans="1:11" x14ac:dyDescent="0.25">
      <c r="B62" t="s">
        <v>73</v>
      </c>
      <c r="C62" t="s">
        <v>74</v>
      </c>
      <c r="D62" t="s">
        <v>75</v>
      </c>
      <c r="E62" t="s">
        <v>76</v>
      </c>
      <c r="F62" t="s">
        <v>77</v>
      </c>
      <c r="G62" t="s">
        <v>79</v>
      </c>
      <c r="H62" t="s">
        <v>78</v>
      </c>
    </row>
    <row r="63" spans="1:11" x14ac:dyDescent="0.25">
      <c r="A63" t="s">
        <v>41</v>
      </c>
      <c r="B63">
        <v>1</v>
      </c>
      <c r="C63" s="12">
        <v>0.2</v>
      </c>
      <c r="D63" s="12">
        <v>0.8</v>
      </c>
      <c r="E63" s="12">
        <v>1.2</v>
      </c>
      <c r="I63" s="12"/>
      <c r="J63" s="12"/>
      <c r="K63" s="12"/>
    </row>
    <row r="64" spans="1:11" x14ac:dyDescent="0.25">
      <c r="A64" t="s">
        <v>41</v>
      </c>
      <c r="B64">
        <v>10</v>
      </c>
      <c r="C64" s="12">
        <v>2</v>
      </c>
      <c r="D64" s="12">
        <v>3.5</v>
      </c>
      <c r="E64" s="12">
        <v>4.8</v>
      </c>
    </row>
    <row r="65" spans="1:8" x14ac:dyDescent="0.25">
      <c r="A65" t="s">
        <v>41</v>
      </c>
      <c r="B65">
        <v>15</v>
      </c>
      <c r="C65" s="12">
        <v>3</v>
      </c>
      <c r="D65" s="12">
        <v>5</v>
      </c>
      <c r="E65" s="12">
        <v>6.8</v>
      </c>
    </row>
    <row r="66" spans="1:8" x14ac:dyDescent="0.25">
      <c r="A66" t="s">
        <v>41</v>
      </c>
      <c r="B66">
        <v>20</v>
      </c>
      <c r="E66" s="12">
        <v>7.8</v>
      </c>
    </row>
    <row r="67" spans="1:8" x14ac:dyDescent="0.25">
      <c r="B67" t="s">
        <v>73</v>
      </c>
      <c r="C67" t="s">
        <v>74</v>
      </c>
      <c r="D67" t="s">
        <v>75</v>
      </c>
      <c r="E67" t="s">
        <v>76</v>
      </c>
      <c r="F67" t="s">
        <v>77</v>
      </c>
      <c r="G67" t="s">
        <v>79</v>
      </c>
      <c r="H67" t="s">
        <v>78</v>
      </c>
    </row>
    <row r="68" spans="1:8" x14ac:dyDescent="0.25">
      <c r="A68" t="s">
        <v>42</v>
      </c>
      <c r="B68">
        <v>1</v>
      </c>
      <c r="C68">
        <v>0.7</v>
      </c>
      <c r="D68">
        <v>1</v>
      </c>
      <c r="E68">
        <v>1.3</v>
      </c>
    </row>
    <row r="69" spans="1:8" x14ac:dyDescent="0.25">
      <c r="A69" t="s">
        <v>42</v>
      </c>
      <c r="B69">
        <v>10</v>
      </c>
      <c r="C69">
        <v>2.5</v>
      </c>
      <c r="D69">
        <v>3.2</v>
      </c>
      <c r="E69">
        <v>4</v>
      </c>
    </row>
    <row r="70" spans="1:8" x14ac:dyDescent="0.25">
      <c r="A70" t="s">
        <v>42</v>
      </c>
      <c r="B70">
        <v>15</v>
      </c>
      <c r="C70">
        <v>3.5</v>
      </c>
      <c r="D70">
        <v>4.5</v>
      </c>
      <c r="E70">
        <v>5.5</v>
      </c>
    </row>
    <row r="71" spans="1:8" x14ac:dyDescent="0.25">
      <c r="A71" t="s">
        <v>42</v>
      </c>
      <c r="B71">
        <v>20</v>
      </c>
    </row>
    <row r="72" spans="1:8" x14ac:dyDescent="0.25">
      <c r="B72" t="s">
        <v>73</v>
      </c>
      <c r="C72" t="s">
        <v>74</v>
      </c>
      <c r="D72" t="s">
        <v>75</v>
      </c>
      <c r="E72" t="s">
        <v>76</v>
      </c>
      <c r="F72" t="s">
        <v>77</v>
      </c>
      <c r="G72" t="s">
        <v>79</v>
      </c>
      <c r="H72" t="s">
        <v>78</v>
      </c>
    </row>
    <row r="73" spans="1:8" x14ac:dyDescent="0.25">
      <c r="A73" t="s">
        <v>43</v>
      </c>
      <c r="B73">
        <v>1</v>
      </c>
      <c r="D73" s="17">
        <f>POWER(('grid arme+summon'!$S$16/(65-$B$73)),2.9)+2.1</f>
        <v>5.2439565166791269</v>
      </c>
      <c r="E73" s="17">
        <f>POWER(('grid arme+summon'!$S$16/(56.4-$B$73)),2.9)+2.1</f>
        <v>6.8777138773376443</v>
      </c>
      <c r="F73" s="17">
        <f>POWER(('grid arme+summon'!$S$16/(53.7-$B$73)),2.9)+2.1</f>
        <v>7.622651916357098</v>
      </c>
    </row>
    <row r="74" spans="1:8" x14ac:dyDescent="0.25">
      <c r="A74" t="s">
        <v>43</v>
      </c>
      <c r="B74">
        <v>10</v>
      </c>
      <c r="D74" s="17">
        <f>POWER(('grid arme+summon'!$S$16/(65-$B$74)),2.9)+2.1</f>
        <v>6.9791779288291362</v>
      </c>
      <c r="E74" s="17">
        <f>POWER(('grid arme+summon'!$S$16/(56.4-$B$74)),2.9)+2.1</f>
        <v>10.089071568724565</v>
      </c>
      <c r="F74" s="17">
        <f>POWER(('grid arme+summon'!$S$16/(53.7-$B$74)),2.9)+2.1</f>
        <v>11.606098020248572</v>
      </c>
    </row>
    <row r="75" spans="1:8" x14ac:dyDescent="0.25">
      <c r="A75" t="s">
        <v>43</v>
      </c>
      <c r="B75">
        <v>15</v>
      </c>
      <c r="D75" s="17">
        <f>POWER(('grid arme+summon'!$S$16/(65-$B$75)),2.9)+2.1</f>
        <v>8.532583653445112</v>
      </c>
      <c r="E75" s="17">
        <f>POWER(('grid arme+summon'!$S$16/(56.4-$B$75)),2.9)+2.1</f>
        <v>13.219812545162018</v>
      </c>
      <c r="F75" s="17">
        <f>POWER(('grid arme+summon'!$S$16/(53.7-$B$75)),2.9)+2.1</f>
        <v>15.621866901843717</v>
      </c>
    </row>
    <row r="76" spans="1:8" x14ac:dyDescent="0.25">
      <c r="A76" t="s">
        <v>43</v>
      </c>
      <c r="B76">
        <v>20</v>
      </c>
      <c r="D76" s="17">
        <f>POWER(('grid arme+summon'!$S$16/(65-(15+(0.4*(B76-15))))),2.9)+2.1</f>
        <v>9.3410053264960489</v>
      </c>
      <c r="E76" s="17">
        <f>POWER(('grid arme+summon'!$S$16/(56.4-(15+(0.4*(B76-15))))),2.9)+2.1</f>
        <v>14.936877949689778</v>
      </c>
      <c r="F76" s="17">
        <f>POWER(('grid arme+summon'!$S$16/(53.7-(15+(0.4*(B76-15))))),2.9)+2.1</f>
        <v>17.871277342738125</v>
      </c>
    </row>
    <row r="77" spans="1:8" x14ac:dyDescent="0.25">
      <c r="B77" t="s">
        <v>73</v>
      </c>
      <c r="C77" t="s">
        <v>74</v>
      </c>
      <c r="D77" t="s">
        <v>75</v>
      </c>
      <c r="E77" t="s">
        <v>76</v>
      </c>
      <c r="F77" t="s">
        <v>77</v>
      </c>
      <c r="G77" t="s">
        <v>79</v>
      </c>
      <c r="H77" t="s">
        <v>78</v>
      </c>
    </row>
    <row r="78" spans="1:8" x14ac:dyDescent="0.25">
      <c r="A78" t="s">
        <v>47</v>
      </c>
      <c r="B78">
        <v>1</v>
      </c>
      <c r="C78" s="6">
        <f>0.005*((1+2*(1-('grid arme+summon'!$S$16/100)))*(1-('grid arme+summon'!$S$16/100)))*100</f>
        <v>2.7500000000000028E-2</v>
      </c>
      <c r="D78" s="6">
        <f>0.066*((1+2*(1-('grid arme+summon'!$S$16/100)))*(1-('grid arme+summon'!$S$16/100)))*100</f>
        <v>0.36300000000000038</v>
      </c>
      <c r="E78" s="6">
        <f>0.083*((1+2*(1-('grid arme+summon'!$S$16/100)))*(1-('grid arme+summon'!$S$16/100)))*100</f>
        <v>0.45650000000000046</v>
      </c>
      <c r="F78" s="6"/>
      <c r="G78" s="6"/>
      <c r="H78" s="6"/>
    </row>
    <row r="79" spans="1:8" x14ac:dyDescent="0.25">
      <c r="A79" t="s">
        <v>47</v>
      </c>
      <c r="B79">
        <v>10</v>
      </c>
      <c r="C79" s="6">
        <f>0.06*((1+2*(1-('grid arme+summon'!$S$16/100)))*(1-('grid arme+summon'!$S$16/100)))*100</f>
        <v>0.33000000000000029</v>
      </c>
      <c r="D79" s="6">
        <f>0.08*((1+2*(1-('grid arme+summon'!$S$16/100)))*(1-('grid arme+summon'!$S$16/100)))*100</f>
        <v>0.44000000000000045</v>
      </c>
      <c r="E79" s="6">
        <f>0.1*((1+2*(1-('grid arme+summon'!$S$16/100)))*(1-('grid arme+summon'!$S$16/100)))*100</f>
        <v>0.5500000000000006</v>
      </c>
      <c r="F79" s="6"/>
      <c r="G79" s="6"/>
      <c r="H79" s="6"/>
    </row>
    <row r="80" spans="1:8" x14ac:dyDescent="0.25">
      <c r="A80" t="s">
        <v>47</v>
      </c>
      <c r="B80">
        <v>15</v>
      </c>
      <c r="C80" s="6">
        <f>0.07*((1+2*(1-('grid arme+summon'!$S$16/100)))*(1-('grid arme+summon'!$S$16/100)))*100</f>
        <v>0.38500000000000045</v>
      </c>
      <c r="D80" s="6">
        <f>0.1*((1+2*(1-('grid arme+summon'!$S$16/100)))*(1-('grid arme+summon'!$S$16/100)))*100</f>
        <v>0.5500000000000006</v>
      </c>
      <c r="E80" s="6">
        <f>0.125*((1+2*(1-('grid arme+summon'!$S$16/100)))*(1-('grid arme+summon'!$S$16/100)))*100</f>
        <v>0.68750000000000067</v>
      </c>
      <c r="F80" s="6"/>
      <c r="G80" s="6"/>
      <c r="H80" s="6"/>
    </row>
    <row r="81" spans="1:8" x14ac:dyDescent="0.25">
      <c r="A81" t="s">
        <v>47</v>
      </c>
      <c r="B81">
        <v>20</v>
      </c>
      <c r="C81" s="6">
        <f>0.075*((1+2*(1-('grid arme+summon'!$S$16/100)))*(1-('grid arme+summon'!$S$16/100)))*100</f>
        <v>0.41250000000000037</v>
      </c>
      <c r="D81" s="6"/>
      <c r="E81" s="6">
        <f>0.135*((1+2*(1-('grid arme+summon'!$S$16/100)))*(1-('grid arme+summon'!$S$16/100)))*100</f>
        <v>0.74250000000000083</v>
      </c>
      <c r="F81" s="6"/>
      <c r="G81" s="6"/>
      <c r="H81" s="6"/>
    </row>
  </sheetData>
  <pageMargins left="0.7" right="0.7" top="0.75" bottom="0.75" header="0.3" footer="0.3"/>
  <ignoredErrors>
    <ignoredError sqref="E73:E75 D78:D8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EEADD-B409-473A-B1D4-D69273B6CBFF}">
  <sheetPr codeName="Blad3">
    <tabColor theme="6"/>
  </sheetPr>
  <dimension ref="A3:H62"/>
  <sheetViews>
    <sheetView workbookViewId="0">
      <selection activeCell="A3" sqref="A3:H62"/>
    </sheetView>
  </sheetViews>
  <sheetFormatPr defaultColWidth="11.42578125" defaultRowHeight="15" x14ac:dyDescent="0.25"/>
  <sheetData>
    <row r="3" spans="1:8" x14ac:dyDescent="0.25">
      <c r="B3" t="s">
        <v>73</v>
      </c>
      <c r="C3" t="s">
        <v>74</v>
      </c>
      <c r="D3" t="s">
        <v>75</v>
      </c>
      <c r="E3" t="s">
        <v>76</v>
      </c>
      <c r="F3" t="s">
        <v>77</v>
      </c>
      <c r="G3" t="s">
        <v>79</v>
      </c>
      <c r="H3" t="s">
        <v>78</v>
      </c>
    </row>
    <row r="4" spans="1:8" x14ac:dyDescent="0.25">
      <c r="A4" t="s">
        <v>29</v>
      </c>
      <c r="B4">
        <v>1</v>
      </c>
      <c r="D4" s="12">
        <v>3</v>
      </c>
      <c r="E4" s="12">
        <v>6</v>
      </c>
      <c r="F4" s="12"/>
      <c r="G4" s="12"/>
      <c r="H4" s="12"/>
    </row>
    <row r="5" spans="1:8" x14ac:dyDescent="0.25">
      <c r="A5" t="s">
        <v>29</v>
      </c>
      <c r="B5">
        <v>10</v>
      </c>
      <c r="D5" s="12">
        <v>12</v>
      </c>
      <c r="E5" s="12">
        <v>15</v>
      </c>
      <c r="F5" s="12"/>
      <c r="G5" s="12"/>
      <c r="H5" s="12"/>
    </row>
    <row r="6" spans="1:8" x14ac:dyDescent="0.25">
      <c r="A6" t="s">
        <v>29</v>
      </c>
      <c r="B6">
        <v>15</v>
      </c>
      <c r="D6" s="12">
        <v>14.5</v>
      </c>
      <c r="E6" s="12">
        <v>18</v>
      </c>
      <c r="F6" s="12"/>
      <c r="G6" s="12"/>
      <c r="H6" s="12"/>
    </row>
    <row r="7" spans="1:8" x14ac:dyDescent="0.25">
      <c r="A7" t="s">
        <v>29</v>
      </c>
      <c r="B7">
        <v>20</v>
      </c>
      <c r="D7" s="12">
        <v>16</v>
      </c>
      <c r="E7" s="12">
        <v>20</v>
      </c>
      <c r="F7" s="12"/>
      <c r="G7" s="12"/>
      <c r="H7" s="12"/>
    </row>
    <row r="8" spans="1:8" x14ac:dyDescent="0.25">
      <c r="B8" t="s">
        <v>73</v>
      </c>
      <c r="C8" t="s">
        <v>74</v>
      </c>
      <c r="D8" t="s">
        <v>75</v>
      </c>
      <c r="E8" t="s">
        <v>76</v>
      </c>
      <c r="F8" t="s">
        <v>77</v>
      </c>
      <c r="G8" t="s">
        <v>79</v>
      </c>
      <c r="H8" t="s">
        <v>78</v>
      </c>
    </row>
    <row r="9" spans="1:8" x14ac:dyDescent="0.25">
      <c r="A9" t="s">
        <v>16</v>
      </c>
      <c r="B9" s="12">
        <v>1</v>
      </c>
      <c r="C9" s="12">
        <v>1</v>
      </c>
      <c r="D9" s="12">
        <v>3</v>
      </c>
      <c r="E9" s="12">
        <v>6</v>
      </c>
      <c r="F9" s="12"/>
      <c r="G9" s="12"/>
      <c r="H9" s="12"/>
    </row>
    <row r="10" spans="1:8" x14ac:dyDescent="0.25">
      <c r="A10" t="s">
        <v>16</v>
      </c>
      <c r="B10" s="12">
        <v>10</v>
      </c>
      <c r="C10" s="12">
        <v>10</v>
      </c>
      <c r="D10" s="12">
        <v>12</v>
      </c>
      <c r="E10" s="12">
        <v>15</v>
      </c>
      <c r="F10" s="12"/>
      <c r="G10" s="12"/>
      <c r="H10" s="12"/>
    </row>
    <row r="11" spans="1:8" x14ac:dyDescent="0.25">
      <c r="A11" t="s">
        <v>16</v>
      </c>
      <c r="B11" s="12">
        <v>15</v>
      </c>
      <c r="C11" s="12">
        <v>12</v>
      </c>
      <c r="D11" s="12">
        <v>14.5</v>
      </c>
      <c r="E11" s="12">
        <v>18</v>
      </c>
      <c r="F11" s="12"/>
      <c r="G11" s="12"/>
      <c r="H11" s="12"/>
    </row>
    <row r="12" spans="1:8" x14ac:dyDescent="0.25">
      <c r="A12" t="s">
        <v>16</v>
      </c>
      <c r="B12" s="12">
        <v>20</v>
      </c>
      <c r="C12" s="12">
        <v>13</v>
      </c>
      <c r="D12" s="12"/>
      <c r="E12" s="12">
        <v>20</v>
      </c>
      <c r="F12" s="12"/>
      <c r="G12" s="12"/>
      <c r="H12" s="12"/>
    </row>
    <row r="13" spans="1:8" x14ac:dyDescent="0.25">
      <c r="B13" t="s">
        <v>73</v>
      </c>
      <c r="C13" t="s">
        <v>74</v>
      </c>
      <c r="D13" t="s">
        <v>75</v>
      </c>
      <c r="E13" t="s">
        <v>76</v>
      </c>
      <c r="F13" t="s">
        <v>77</v>
      </c>
      <c r="G13" t="s">
        <v>79</v>
      </c>
      <c r="H13" t="s">
        <v>78</v>
      </c>
    </row>
    <row r="14" spans="1:8" x14ac:dyDescent="0.25">
      <c r="A14" t="s">
        <v>33</v>
      </c>
      <c r="B14">
        <v>1</v>
      </c>
      <c r="C14" s="12">
        <v>1.1000000000000001</v>
      </c>
      <c r="D14" s="12">
        <v>3.2</v>
      </c>
      <c r="E14" s="12">
        <v>4.4000000000000004</v>
      </c>
      <c r="F14" s="12">
        <v>5.5</v>
      </c>
      <c r="G14" s="12">
        <v>7.9</v>
      </c>
    </row>
    <row r="15" spans="1:8" x14ac:dyDescent="0.25">
      <c r="A15" t="s">
        <v>33</v>
      </c>
      <c r="B15">
        <v>10</v>
      </c>
      <c r="C15" s="12">
        <v>2</v>
      </c>
      <c r="D15" s="12">
        <v>5</v>
      </c>
      <c r="E15" s="12">
        <v>8</v>
      </c>
      <c r="F15" s="12">
        <v>10</v>
      </c>
      <c r="G15" s="12">
        <v>16</v>
      </c>
    </row>
    <row r="16" spans="1:8" x14ac:dyDescent="0.25">
      <c r="A16" t="s">
        <v>33</v>
      </c>
      <c r="B16">
        <v>15</v>
      </c>
      <c r="C16" s="12">
        <v>3</v>
      </c>
      <c r="D16" s="12">
        <v>6.5</v>
      </c>
      <c r="E16" s="12">
        <v>10</v>
      </c>
      <c r="F16" s="12">
        <v>12</v>
      </c>
      <c r="G16" s="12">
        <v>20</v>
      </c>
    </row>
    <row r="17" spans="1:8" x14ac:dyDescent="0.25">
      <c r="A17" t="s">
        <v>33</v>
      </c>
      <c r="B17">
        <v>20</v>
      </c>
      <c r="C17" s="12">
        <v>4</v>
      </c>
      <c r="D17" s="12">
        <v>7.5</v>
      </c>
      <c r="E17" s="12">
        <v>11</v>
      </c>
      <c r="F17" s="12"/>
      <c r="G17" s="12"/>
    </row>
    <row r="18" spans="1:8" x14ac:dyDescent="0.25">
      <c r="B18" t="s">
        <v>73</v>
      </c>
      <c r="C18" t="s">
        <v>74</v>
      </c>
      <c r="D18" t="s">
        <v>75</v>
      </c>
      <c r="E18" t="s">
        <v>76</v>
      </c>
      <c r="F18" t="s">
        <v>77</v>
      </c>
      <c r="G18" t="s">
        <v>79</v>
      </c>
      <c r="H18" t="s">
        <v>78</v>
      </c>
    </row>
    <row r="19" spans="1:8" x14ac:dyDescent="0.25">
      <c r="A19" t="s">
        <v>34</v>
      </c>
      <c r="B19">
        <v>1</v>
      </c>
      <c r="C19" s="12">
        <v>0.4</v>
      </c>
      <c r="D19" s="12">
        <v>0.8</v>
      </c>
      <c r="E19" s="12">
        <v>1.2</v>
      </c>
    </row>
    <row r="20" spans="1:8" x14ac:dyDescent="0.25">
      <c r="A20" t="s">
        <v>34</v>
      </c>
      <c r="B20">
        <v>10</v>
      </c>
      <c r="C20" s="12">
        <v>2.2000000000000002</v>
      </c>
      <c r="D20" s="12">
        <v>3.5</v>
      </c>
      <c r="E20" s="12">
        <v>5</v>
      </c>
      <c r="F20" s="12">
        <v>7</v>
      </c>
    </row>
    <row r="21" spans="1:8" x14ac:dyDescent="0.25">
      <c r="A21" t="s">
        <v>34</v>
      </c>
      <c r="B21">
        <v>15</v>
      </c>
      <c r="C21" s="12">
        <v>3.5</v>
      </c>
      <c r="D21" s="12">
        <v>5</v>
      </c>
      <c r="E21" s="12">
        <v>7</v>
      </c>
      <c r="F21" s="12">
        <v>9</v>
      </c>
    </row>
    <row r="22" spans="1:8" x14ac:dyDescent="0.25">
      <c r="A22" t="s">
        <v>34</v>
      </c>
      <c r="B22">
        <v>20</v>
      </c>
      <c r="D22" s="12">
        <v>6</v>
      </c>
    </row>
    <row r="23" spans="1:8" x14ac:dyDescent="0.25">
      <c r="B23" t="s">
        <v>73</v>
      </c>
      <c r="C23" t="s">
        <v>74</v>
      </c>
      <c r="D23" t="s">
        <v>75</v>
      </c>
      <c r="E23" t="s">
        <v>76</v>
      </c>
      <c r="F23" t="s">
        <v>77</v>
      </c>
      <c r="G23" t="s">
        <v>79</v>
      </c>
      <c r="H23" t="s">
        <v>78</v>
      </c>
    </row>
    <row r="24" spans="1:8" x14ac:dyDescent="0.25">
      <c r="A24" t="s">
        <v>70</v>
      </c>
      <c r="B24">
        <v>1</v>
      </c>
      <c r="C24" s="12">
        <v>0.18</v>
      </c>
      <c r="D24" s="12">
        <v>0.8</v>
      </c>
    </row>
    <row r="25" spans="1:8" x14ac:dyDescent="0.25">
      <c r="A25" t="s">
        <v>70</v>
      </c>
      <c r="B25">
        <v>10</v>
      </c>
      <c r="C25" s="12">
        <v>1.35</v>
      </c>
      <c r="D25" s="12">
        <v>2.15</v>
      </c>
    </row>
    <row r="26" spans="1:8" x14ac:dyDescent="0.25">
      <c r="A26" t="s">
        <v>70</v>
      </c>
      <c r="B26">
        <v>15</v>
      </c>
      <c r="C26" s="12">
        <v>2</v>
      </c>
      <c r="D26" s="12">
        <v>2.9</v>
      </c>
      <c r="E26" s="14">
        <v>4.2</v>
      </c>
    </row>
    <row r="27" spans="1:8" x14ac:dyDescent="0.25">
      <c r="A27" t="s">
        <v>70</v>
      </c>
      <c r="B27">
        <v>20</v>
      </c>
      <c r="D27" s="12">
        <v>3.65</v>
      </c>
    </row>
    <row r="28" spans="1:8" x14ac:dyDescent="0.25">
      <c r="B28" t="s">
        <v>73</v>
      </c>
      <c r="C28" t="s">
        <v>74</v>
      </c>
      <c r="D28" t="s">
        <v>75</v>
      </c>
      <c r="E28" t="s">
        <v>76</v>
      </c>
      <c r="F28" t="s">
        <v>77</v>
      </c>
      <c r="G28" t="s">
        <v>79</v>
      </c>
      <c r="H28" t="s">
        <v>78</v>
      </c>
    </row>
    <row r="29" spans="1:8" x14ac:dyDescent="0.25">
      <c r="A29" t="s">
        <v>71</v>
      </c>
      <c r="B29">
        <v>1</v>
      </c>
      <c r="C29" s="12">
        <v>0.4</v>
      </c>
    </row>
    <row r="30" spans="1:8" x14ac:dyDescent="0.25">
      <c r="A30" t="s">
        <v>71</v>
      </c>
      <c r="B30">
        <v>10</v>
      </c>
      <c r="C30" s="12">
        <v>1.75</v>
      </c>
    </row>
    <row r="31" spans="1:8" x14ac:dyDescent="0.25">
      <c r="A31" t="s">
        <v>71</v>
      </c>
      <c r="B31">
        <v>15</v>
      </c>
      <c r="C31" s="12">
        <v>2.5</v>
      </c>
    </row>
    <row r="32" spans="1:8" x14ac:dyDescent="0.25">
      <c r="A32" t="s">
        <v>71</v>
      </c>
      <c r="B32">
        <v>20</v>
      </c>
    </row>
    <row r="33" spans="1:8" x14ac:dyDescent="0.25">
      <c r="B33" t="s">
        <v>73</v>
      </c>
      <c r="C33" t="s">
        <v>74</v>
      </c>
      <c r="D33" t="s">
        <v>75</v>
      </c>
      <c r="E33" t="s">
        <v>76</v>
      </c>
      <c r="F33" t="s">
        <v>77</v>
      </c>
      <c r="G33" t="s">
        <v>79</v>
      </c>
      <c r="H33" t="s">
        <v>78</v>
      </c>
    </row>
    <row r="34" spans="1:8" x14ac:dyDescent="0.25">
      <c r="A34" t="s">
        <v>69</v>
      </c>
      <c r="B34">
        <v>1</v>
      </c>
      <c r="C34" s="12">
        <v>0.4</v>
      </c>
      <c r="D34" s="12">
        <v>0.8</v>
      </c>
      <c r="E34" s="12">
        <v>1.2</v>
      </c>
    </row>
    <row r="35" spans="1:8" x14ac:dyDescent="0.25">
      <c r="A35" t="s">
        <v>69</v>
      </c>
      <c r="B35">
        <v>10</v>
      </c>
      <c r="C35" s="12">
        <v>2.2000000000000002</v>
      </c>
      <c r="D35" s="12">
        <v>3.5</v>
      </c>
      <c r="E35" s="12">
        <v>5</v>
      </c>
      <c r="F35" s="12">
        <v>7</v>
      </c>
    </row>
    <row r="36" spans="1:8" x14ac:dyDescent="0.25">
      <c r="A36" t="s">
        <v>69</v>
      </c>
      <c r="B36">
        <v>15</v>
      </c>
      <c r="C36" s="12">
        <v>3.5</v>
      </c>
      <c r="D36" s="12">
        <v>5</v>
      </c>
      <c r="E36" s="12">
        <v>7</v>
      </c>
      <c r="F36" s="12">
        <v>9</v>
      </c>
    </row>
    <row r="37" spans="1:8" x14ac:dyDescent="0.25">
      <c r="A37" t="s">
        <v>69</v>
      </c>
      <c r="B37">
        <v>20</v>
      </c>
      <c r="D37" s="12">
        <v>6</v>
      </c>
    </row>
    <row r="38" spans="1:8" x14ac:dyDescent="0.25">
      <c r="B38" t="s">
        <v>73</v>
      </c>
      <c r="C38" t="s">
        <v>74</v>
      </c>
      <c r="D38" t="s">
        <v>75</v>
      </c>
      <c r="E38" t="s">
        <v>76</v>
      </c>
      <c r="F38" t="s">
        <v>77</v>
      </c>
      <c r="G38" t="s">
        <v>79</v>
      </c>
      <c r="H38" t="s">
        <v>78</v>
      </c>
    </row>
    <row r="39" spans="1:8" x14ac:dyDescent="0.25">
      <c r="A39" t="s">
        <v>66</v>
      </c>
      <c r="B39">
        <v>1</v>
      </c>
      <c r="C39" s="12">
        <v>0.18</v>
      </c>
      <c r="D39" s="12">
        <v>0.8</v>
      </c>
    </row>
    <row r="40" spans="1:8" x14ac:dyDescent="0.25">
      <c r="A40" t="s">
        <v>66</v>
      </c>
      <c r="B40">
        <v>10</v>
      </c>
      <c r="C40" s="12">
        <v>1.35</v>
      </c>
      <c r="D40" s="12">
        <v>2.15</v>
      </c>
    </row>
    <row r="41" spans="1:8" x14ac:dyDescent="0.25">
      <c r="A41" t="s">
        <v>66</v>
      </c>
      <c r="B41">
        <v>15</v>
      </c>
      <c r="C41" s="12">
        <v>2</v>
      </c>
      <c r="D41" s="12">
        <v>2.9</v>
      </c>
      <c r="E41" s="14">
        <v>4.2</v>
      </c>
    </row>
    <row r="42" spans="1:8" x14ac:dyDescent="0.25">
      <c r="A42" t="s">
        <v>66</v>
      </c>
      <c r="B42">
        <v>20</v>
      </c>
      <c r="D42" s="12">
        <v>3.65</v>
      </c>
    </row>
    <row r="43" spans="1:8" x14ac:dyDescent="0.25">
      <c r="B43" t="s">
        <v>73</v>
      </c>
      <c r="C43" t="s">
        <v>74</v>
      </c>
      <c r="D43" t="s">
        <v>75</v>
      </c>
      <c r="E43" t="s">
        <v>76</v>
      </c>
      <c r="F43" t="s">
        <v>77</v>
      </c>
      <c r="G43" t="s">
        <v>79</v>
      </c>
      <c r="H43" t="s">
        <v>78</v>
      </c>
    </row>
    <row r="44" spans="1:8" x14ac:dyDescent="0.25">
      <c r="A44" t="s">
        <v>67</v>
      </c>
      <c r="B44">
        <v>1</v>
      </c>
      <c r="C44" s="12">
        <v>0.4</v>
      </c>
    </row>
    <row r="45" spans="1:8" x14ac:dyDescent="0.25">
      <c r="A45" t="s">
        <v>67</v>
      </c>
      <c r="B45">
        <v>10</v>
      </c>
      <c r="C45" s="12">
        <v>1.75</v>
      </c>
    </row>
    <row r="46" spans="1:8" x14ac:dyDescent="0.25">
      <c r="A46" t="s">
        <v>67</v>
      </c>
      <c r="B46">
        <v>15</v>
      </c>
      <c r="C46" s="12">
        <v>2.5</v>
      </c>
    </row>
    <row r="47" spans="1:8" x14ac:dyDescent="0.25">
      <c r="A47" t="s">
        <v>67</v>
      </c>
      <c r="B47">
        <v>20</v>
      </c>
    </row>
    <row r="48" spans="1:8" x14ac:dyDescent="0.25">
      <c r="B48" t="s">
        <v>73</v>
      </c>
      <c r="C48" t="s">
        <v>74</v>
      </c>
      <c r="D48" t="s">
        <v>75</v>
      </c>
      <c r="E48" t="s">
        <v>76</v>
      </c>
      <c r="F48" t="s">
        <v>77</v>
      </c>
      <c r="G48" t="s">
        <v>79</v>
      </c>
      <c r="H48" t="s">
        <v>78</v>
      </c>
    </row>
    <row r="49" spans="1:8" x14ac:dyDescent="0.25">
      <c r="A49" t="s">
        <v>68</v>
      </c>
      <c r="B49">
        <v>1</v>
      </c>
      <c r="C49" s="12">
        <v>0.4</v>
      </c>
      <c r="D49" s="12">
        <v>0.8</v>
      </c>
      <c r="E49" s="12">
        <v>1.2</v>
      </c>
    </row>
    <row r="50" spans="1:8" x14ac:dyDescent="0.25">
      <c r="A50" t="s">
        <v>68</v>
      </c>
      <c r="B50">
        <v>10</v>
      </c>
      <c r="C50" s="12">
        <v>2.2000000000000002</v>
      </c>
      <c r="D50" s="12">
        <v>3.5</v>
      </c>
      <c r="E50" s="12">
        <v>5</v>
      </c>
      <c r="F50" s="12">
        <v>7</v>
      </c>
    </row>
    <row r="51" spans="1:8" x14ac:dyDescent="0.25">
      <c r="A51" t="s">
        <v>68</v>
      </c>
      <c r="B51">
        <v>15</v>
      </c>
      <c r="C51" s="12">
        <v>3.5</v>
      </c>
      <c r="D51" s="12">
        <v>5</v>
      </c>
      <c r="E51" s="12">
        <v>7</v>
      </c>
      <c r="F51" s="12">
        <v>9</v>
      </c>
    </row>
    <row r="52" spans="1:8" x14ac:dyDescent="0.25">
      <c r="A52" t="s">
        <v>68</v>
      </c>
      <c r="B52">
        <v>20</v>
      </c>
      <c r="D52" s="12">
        <v>6</v>
      </c>
    </row>
    <row r="53" spans="1:8" x14ac:dyDescent="0.25">
      <c r="B53" t="s">
        <v>73</v>
      </c>
      <c r="C53" t="s">
        <v>74</v>
      </c>
      <c r="D53" t="s">
        <v>75</v>
      </c>
      <c r="E53" t="s">
        <v>76</v>
      </c>
      <c r="F53" t="s">
        <v>77</v>
      </c>
      <c r="G53" t="s">
        <v>79</v>
      </c>
      <c r="H53" t="s">
        <v>78</v>
      </c>
    </row>
    <row r="54" spans="1:8" x14ac:dyDescent="0.25">
      <c r="A54" t="s">
        <v>36</v>
      </c>
      <c r="B54">
        <v>1</v>
      </c>
      <c r="C54" s="12">
        <v>3</v>
      </c>
      <c r="D54" s="12">
        <v>3</v>
      </c>
      <c r="E54" s="12">
        <v>3</v>
      </c>
      <c r="F54" s="12">
        <v>3</v>
      </c>
      <c r="G54" s="12">
        <v>3</v>
      </c>
      <c r="H54" s="12">
        <v>3</v>
      </c>
    </row>
    <row r="55" spans="1:8" x14ac:dyDescent="0.25">
      <c r="A55" t="s">
        <v>36</v>
      </c>
      <c r="B55">
        <v>10</v>
      </c>
      <c r="C55" s="12">
        <v>5.5</v>
      </c>
      <c r="D55" s="12">
        <v>5.5</v>
      </c>
      <c r="E55" s="12">
        <v>5.5</v>
      </c>
      <c r="F55" s="12">
        <v>5.5</v>
      </c>
      <c r="G55" s="12">
        <v>5.5</v>
      </c>
      <c r="H55" s="12">
        <v>5.5</v>
      </c>
    </row>
    <row r="56" spans="1:8" x14ac:dyDescent="0.25">
      <c r="A56" t="s">
        <v>36</v>
      </c>
      <c r="B56">
        <v>15</v>
      </c>
      <c r="C56" s="12">
        <v>7</v>
      </c>
      <c r="D56" s="12">
        <v>7</v>
      </c>
      <c r="E56" s="12">
        <v>7</v>
      </c>
      <c r="F56" s="12">
        <v>7</v>
      </c>
      <c r="G56" s="12">
        <v>7</v>
      </c>
      <c r="H56" s="12">
        <v>7</v>
      </c>
    </row>
    <row r="57" spans="1:8" x14ac:dyDescent="0.25">
      <c r="A57" t="s">
        <v>36</v>
      </c>
      <c r="B57">
        <v>20</v>
      </c>
      <c r="C57" s="12">
        <v>10</v>
      </c>
      <c r="D57" s="12">
        <v>10</v>
      </c>
      <c r="E57" s="12">
        <v>10</v>
      </c>
      <c r="F57" s="12">
        <v>10</v>
      </c>
      <c r="G57" s="12">
        <v>10</v>
      </c>
      <c r="H57" s="12">
        <v>10</v>
      </c>
    </row>
    <row r="58" spans="1:8" x14ac:dyDescent="0.25">
      <c r="B58" t="s">
        <v>73</v>
      </c>
      <c r="C58" t="s">
        <v>74</v>
      </c>
      <c r="D58" t="s">
        <v>75</v>
      </c>
      <c r="E58" t="s">
        <v>76</v>
      </c>
      <c r="F58" t="s">
        <v>77</v>
      </c>
      <c r="G58" t="s">
        <v>79</v>
      </c>
      <c r="H58" t="s">
        <v>78</v>
      </c>
    </row>
    <row r="59" spans="1:8" x14ac:dyDescent="0.25">
      <c r="A59" t="s">
        <v>40</v>
      </c>
      <c r="B59">
        <v>1</v>
      </c>
      <c r="C59" s="12">
        <v>0.5</v>
      </c>
      <c r="D59" s="12">
        <v>2.5</v>
      </c>
      <c r="E59" s="12">
        <v>5.5</v>
      </c>
      <c r="F59" s="12">
        <v>11</v>
      </c>
    </row>
    <row r="60" spans="1:8" x14ac:dyDescent="0.25">
      <c r="A60" t="s">
        <v>40</v>
      </c>
      <c r="B60">
        <v>10</v>
      </c>
      <c r="C60" s="12">
        <v>5</v>
      </c>
      <c r="D60" s="12">
        <v>7</v>
      </c>
      <c r="E60" s="12">
        <v>10</v>
      </c>
      <c r="F60" s="12">
        <v>20</v>
      </c>
    </row>
    <row r="61" spans="1:8" x14ac:dyDescent="0.25">
      <c r="A61" t="s">
        <v>40</v>
      </c>
      <c r="B61">
        <v>15</v>
      </c>
      <c r="C61" s="12">
        <v>7.5</v>
      </c>
      <c r="D61" s="12">
        <v>9.5</v>
      </c>
      <c r="E61" s="12">
        <v>12.5</v>
      </c>
      <c r="F61" s="12">
        <v>25</v>
      </c>
    </row>
    <row r="62" spans="1:8" x14ac:dyDescent="0.25">
      <c r="A62" t="s">
        <v>40</v>
      </c>
      <c r="B62">
        <v>20</v>
      </c>
      <c r="E62" s="14">
        <v>14.5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06AF2-1C1D-4DF0-BA6B-D55496B9A257}">
  <sheetPr codeName="Blad4">
    <tabColor theme="6"/>
  </sheetPr>
  <dimension ref="A3:G13"/>
  <sheetViews>
    <sheetView workbookViewId="0">
      <selection activeCell="A3" sqref="A3:F13"/>
    </sheetView>
  </sheetViews>
  <sheetFormatPr defaultColWidth="11.42578125" defaultRowHeight="15" x14ac:dyDescent="0.25"/>
  <sheetData>
    <row r="3" spans="1:7" x14ac:dyDescent="0.25">
      <c r="B3" t="s">
        <v>74</v>
      </c>
      <c r="C3" t="s">
        <v>75</v>
      </c>
      <c r="D3" t="s">
        <v>76</v>
      </c>
      <c r="E3" t="s">
        <v>79</v>
      </c>
      <c r="F3" t="s">
        <v>78</v>
      </c>
    </row>
    <row r="4" spans="1:7" x14ac:dyDescent="0.25">
      <c r="A4" t="s">
        <v>29</v>
      </c>
      <c r="B4" s="12">
        <v>1</v>
      </c>
      <c r="C4" s="12">
        <v>3</v>
      </c>
      <c r="D4" s="12">
        <v>6</v>
      </c>
      <c r="E4" s="12">
        <v>9</v>
      </c>
      <c r="F4" s="12">
        <v>12</v>
      </c>
      <c r="G4" s="12"/>
    </row>
    <row r="5" spans="1:7" x14ac:dyDescent="0.25">
      <c r="A5" t="s">
        <v>29</v>
      </c>
      <c r="B5" s="12">
        <v>10</v>
      </c>
      <c r="C5" s="12">
        <v>12</v>
      </c>
      <c r="D5" s="12">
        <v>15</v>
      </c>
      <c r="E5" s="12">
        <v>18</v>
      </c>
      <c r="F5" s="12">
        <v>25</v>
      </c>
      <c r="G5" s="12"/>
    </row>
    <row r="6" spans="1:7" x14ac:dyDescent="0.25">
      <c r="A6" t="s">
        <v>29</v>
      </c>
      <c r="B6" s="12">
        <v>12</v>
      </c>
      <c r="C6" s="12">
        <v>14.5</v>
      </c>
      <c r="D6" s="12">
        <v>18</v>
      </c>
      <c r="E6" s="12">
        <v>23</v>
      </c>
      <c r="F6" s="12">
        <v>33</v>
      </c>
      <c r="G6" s="12"/>
    </row>
    <row r="7" spans="1:7" x14ac:dyDescent="0.25">
      <c r="A7" t="s">
        <v>29</v>
      </c>
      <c r="B7" s="12"/>
      <c r="C7" s="12"/>
      <c r="D7" s="12">
        <v>21</v>
      </c>
      <c r="E7" s="12">
        <v>25.5</v>
      </c>
      <c r="F7" s="12">
        <v>37</v>
      </c>
      <c r="G7" s="12"/>
    </row>
    <row r="8" spans="1:7" x14ac:dyDescent="0.25">
      <c r="B8" s="11"/>
    </row>
    <row r="9" spans="1:7" x14ac:dyDescent="0.25">
      <c r="B9" t="s">
        <v>74</v>
      </c>
      <c r="C9" t="s">
        <v>75</v>
      </c>
      <c r="D9" t="s">
        <v>76</v>
      </c>
      <c r="E9" t="s">
        <v>79</v>
      </c>
      <c r="F9" t="s">
        <v>78</v>
      </c>
    </row>
    <row r="10" spans="1:7" x14ac:dyDescent="0.25">
      <c r="A10" t="s">
        <v>16</v>
      </c>
      <c r="B10" s="12">
        <v>1</v>
      </c>
      <c r="C10" s="12">
        <v>3</v>
      </c>
      <c r="D10" s="12">
        <v>6</v>
      </c>
      <c r="E10" s="12"/>
      <c r="F10" s="12"/>
      <c r="G10" s="12"/>
    </row>
    <row r="11" spans="1:7" x14ac:dyDescent="0.25">
      <c r="A11" t="s">
        <v>16</v>
      </c>
      <c r="B11" s="12">
        <v>10</v>
      </c>
      <c r="C11" s="12">
        <v>12</v>
      </c>
      <c r="D11" s="12">
        <v>15</v>
      </c>
      <c r="E11" s="12"/>
      <c r="F11" s="12"/>
      <c r="G11" s="12"/>
    </row>
    <row r="12" spans="1:7" x14ac:dyDescent="0.25">
      <c r="A12" t="s">
        <v>16</v>
      </c>
      <c r="B12" s="12"/>
      <c r="C12" s="12">
        <v>14.5</v>
      </c>
      <c r="D12" s="12"/>
      <c r="E12" s="12"/>
      <c r="F12" s="12"/>
      <c r="G12" s="12"/>
    </row>
    <row r="13" spans="1:7" x14ac:dyDescent="0.25">
      <c r="A13" t="s">
        <v>16</v>
      </c>
      <c r="B13" s="12"/>
      <c r="C13" s="12"/>
      <c r="D13" s="12"/>
      <c r="E13" s="12"/>
      <c r="F13" s="12"/>
      <c r="G1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3</vt:i4>
      </vt:variant>
    </vt:vector>
  </HeadingPairs>
  <TitlesOfParts>
    <vt:vector size="7" baseType="lpstr">
      <vt:lpstr>grid arme+summon</vt:lpstr>
      <vt:lpstr>Bonus d'arme normal</vt:lpstr>
      <vt:lpstr>bonus d'arme omega</vt:lpstr>
      <vt:lpstr>bonus d'arme EX</vt:lpstr>
      <vt:lpstr>EX</vt:lpstr>
      <vt:lpstr>Normal</vt:lpstr>
      <vt:lpstr>Omega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HP</dc:creator>
  <cp:keywords/>
  <dc:description/>
  <cp:lastModifiedBy>BSA</cp:lastModifiedBy>
  <cp:revision/>
  <dcterms:created xsi:type="dcterms:W3CDTF">2022-02-11T14:41:24Z</dcterms:created>
  <dcterms:modified xsi:type="dcterms:W3CDTF">2023-12-16T23:51:29Z</dcterms:modified>
  <cp:category/>
  <cp:contentStatus/>
</cp:coreProperties>
</file>