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48CE17F-01FD-4FCB-9B76-5C8B3784FA6B}" xr6:coauthVersionLast="47" xr6:coauthVersionMax="47" xr10:uidLastSave="{00000000-0000-0000-0000-000000000000}"/>
  <bookViews>
    <workbookView xWindow="-120" yWindow="-120" windowWidth="29040" windowHeight="15855" activeTab="1" xr2:uid="{D3D81F9A-BA70-4599-9633-94763E265E98}"/>
  </bookViews>
  <sheets>
    <sheet name="DATA" sheetId="2" r:id="rId1"/>
    <sheet name="Feuil1" sheetId="1" r:id="rId2"/>
  </sheets>
  <definedNames>
    <definedName name="Jours_Fériés">DATA!$A$2:$A$14</definedName>
    <definedName name="JoursFériés">DATA!$A$2:$A$14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" l="1"/>
  <c r="H27" i="1"/>
  <c r="H28" i="1"/>
  <c r="H29" i="1"/>
  <c r="H30" i="1"/>
  <c r="H31" i="1"/>
  <c r="H32" i="1"/>
  <c r="H7" i="1"/>
  <c r="H8" i="1"/>
  <c r="H9" i="1"/>
  <c r="H10" i="1"/>
  <c r="H11" i="1"/>
  <c r="H12" i="1"/>
  <c r="H6" i="1"/>
  <c r="H17" i="1"/>
  <c r="H18" i="1"/>
  <c r="H19" i="1"/>
  <c r="H20" i="1"/>
  <c r="H21" i="1"/>
  <c r="H22" i="1"/>
  <c r="H16" i="1"/>
  <c r="M3" i="1"/>
  <c r="A16" i="1"/>
  <c r="G16" i="1" s="1"/>
  <c r="F22" i="1"/>
  <c r="F21" i="1"/>
  <c r="F20" i="1"/>
  <c r="F19" i="1"/>
  <c r="F18" i="1"/>
  <c r="F17" i="1"/>
  <c r="F16" i="1"/>
  <c r="A17" i="1"/>
  <c r="F26" i="1"/>
  <c r="A14" i="2"/>
  <c r="A13" i="2"/>
  <c r="A12" i="2"/>
  <c r="A11" i="2"/>
  <c r="A10" i="2"/>
  <c r="A6" i="2"/>
  <c r="A5" i="2"/>
  <c r="A3" i="2"/>
  <c r="A4" i="2" s="1"/>
  <c r="A2" i="2"/>
  <c r="F27" i="1"/>
  <c r="F28" i="1"/>
  <c r="F29" i="1"/>
  <c r="F30" i="1"/>
  <c r="F31" i="1"/>
  <c r="F32" i="1"/>
  <c r="A6" i="1"/>
  <c r="A7" i="1" s="1"/>
  <c r="A8" i="1" s="1"/>
  <c r="A9" i="1" s="1"/>
  <c r="A10" i="1" s="1"/>
  <c r="A11" i="1" s="1"/>
  <c r="A12" i="1" s="1"/>
  <c r="F12" i="1"/>
  <c r="F11" i="1"/>
  <c r="F10" i="1"/>
  <c r="F9" i="1"/>
  <c r="F8" i="1"/>
  <c r="F7" i="1"/>
  <c r="F6" i="1"/>
  <c r="A26" i="1" l="1"/>
  <c r="G7" i="1"/>
  <c r="G6" i="1"/>
  <c r="A18" i="1"/>
  <c r="A7" i="2"/>
  <c r="G17" i="1" s="1"/>
  <c r="A8" i="2"/>
  <c r="A9" i="2" s="1"/>
  <c r="G9" i="1" s="1"/>
  <c r="G11" i="1" l="1"/>
  <c r="G12" i="1"/>
  <c r="G10" i="1"/>
  <c r="G18" i="1"/>
  <c r="G26" i="1"/>
  <c r="G8" i="1"/>
  <c r="A19" i="1"/>
  <c r="G19" i="1" l="1"/>
  <c r="A20" i="1"/>
  <c r="G20" i="1" l="1"/>
  <c r="A21" i="1"/>
  <c r="G21" i="1" l="1"/>
  <c r="A22" i="1"/>
  <c r="G22" i="1" l="1"/>
  <c r="A27" i="1"/>
  <c r="G27" i="1" l="1"/>
  <c r="A28" i="1"/>
  <c r="G28" i="1" l="1"/>
  <c r="A29" i="1"/>
  <c r="G29" i="1" l="1"/>
  <c r="A30" i="1"/>
  <c r="G30" i="1" l="1"/>
  <c r="A31" i="1"/>
  <c r="G31" i="1" l="1"/>
  <c r="A32" i="1"/>
  <c r="G32" i="1" l="1"/>
</calcChain>
</file>

<file path=xl/sharedStrings.xml><?xml version="1.0" encoding="utf-8"?>
<sst xmlns="http://schemas.openxmlformats.org/spreadsheetml/2006/main" count="66" uniqueCount="39">
  <si>
    <t>Heure de début matin</t>
  </si>
  <si>
    <t>Heure de fin matin</t>
  </si>
  <si>
    <t>Heure de début après-midi</t>
  </si>
  <si>
    <t>Heure de fin après-midi</t>
  </si>
  <si>
    <t>Total heures travaillées par jour</t>
  </si>
  <si>
    <t>Heures supplémentaires</t>
  </si>
  <si>
    <t>Samedi: 150%</t>
  </si>
  <si>
    <t>Dimanche: 200%</t>
  </si>
  <si>
    <t>Férié: 200%</t>
  </si>
  <si>
    <t>JOURS FÉRIÉS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</si>
  <si>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</si>
  <si>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</si>
  <si>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</si>
  <si>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</si>
  <si>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</si>
  <si>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</si>
  <si>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</si>
  <si>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</si>
  <si>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</si>
  <si>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</si>
  <si>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</si>
  <si>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</si>
  <si>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</si>
  <si>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Astreinte:</t>
  </si>
  <si>
    <t>Oui</t>
  </si>
  <si>
    <t>Non</t>
  </si>
  <si>
    <t>astreinte</t>
  </si>
  <si>
    <t>Férié</t>
  </si>
  <si>
    <t>1h hs</t>
  </si>
  <si>
    <t>1h30 hs</t>
  </si>
  <si>
    <t>2h00 hs</t>
  </si>
  <si>
    <t>Pas d'astreinte</t>
  </si>
  <si>
    <t>Astreinte</t>
  </si>
  <si>
    <t>35min hs</t>
  </si>
  <si>
    <t>13h30 hs</t>
  </si>
  <si>
    <t>18h hs</t>
  </si>
  <si>
    <t>Normal Vide</t>
  </si>
  <si>
    <t>Normal Non vide</t>
  </si>
  <si>
    <t>Normal non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</si>
</sst>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hh]:mm"/>
    <numFmt numFmtId="166" formatCode="[hh]:mm;;;"/>
    <numFmt numFmtId="167" formatCode="[h]:mm;\-0.00;"/>
  </numFmts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left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7" fontId="0" fillId="0" borderId="0" xfId="0" applyNumberFormat="1"/>
    <xf numFmtId="0" fontId="0" fillId="2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7" fontId="0" fillId="0" borderId="1" xfId="0" applyNumberFormat="1" applyBorder="1" applyAlignment="1">
      <alignment horizontal="center"/>
    </xf>
    <xf numFmtId="164" fontId="0" fillId="4" borderId="0" xfId="0" applyNumberFormat="1" applyFill="1"/>
    <xf numFmtId="164" fontId="0" fillId="5" borderId="0" xfId="0" applyNumberFormat="1" applyFill="1"/>
    <xf numFmtId="0" fontId="0" fillId="4" borderId="0" xfId="0" applyFill="1"/>
    <xf numFmtId="0" fontId="0" fillId="0" borderId="1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495300</xdr:colOff>
      <xdr:row>15</xdr:row>
      <xdr:rowOff>66674</xdr:rowOff>
    </xdr:from>
    <xdr:to>
      <xdr:col>12</xdr:col>
      <xdr:colOff>514350</xdr:colOff>
      <xdr:row>20</xdr:row>
      <xdr:rowOff>152399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089FD6E-4B61-4F2E-AFE8-8C137C0A00EB}"/>
            </a:ext>
          </a:extLst>
        </xdr:cNvPr>
        <xdr:cNvSpPr txBox="1"/>
      </xdr:nvSpPr>
      <xdr:spPr>
        <a:xfrm>
          <a:off x="12763500" y="3028949"/>
          <a:ext cx="2305050" cy="1038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heures en colonne H ne sont pas cohérentes et quand le quota d'heure est respecté la cellule n'est pas vide en H7, H10, H17 et H20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B9328-E746-46C7-8855-4905A1B54AC6}">
  <dimension ref="A1:E14"/>
  <sheetViews>
    <sheetView workbookViewId="0">
      <selection activeCell="A2" sqref="A2:A14"/>
    </sheetView>
  </sheetViews>
  <sheetFormatPr defaultColWidth="11.42578125" defaultRowHeight="15" x14ac:dyDescent="0.25"/>
  <cols>
    <col min="1" max="1" width="25.5703125" bestFit="1" customWidth="1"/>
    <col min="2" max="2" width="18.28515625" bestFit="1" customWidth="1"/>
  </cols>
  <sheetData>
    <row r="1" spans="1:5" x14ac:dyDescent="0.25">
      <c r="A1" s="21" t="s">
        <v>9</v>
      </c>
      <c r="B1" s="21"/>
      <c r="D1" t="s">
        <v>23</v>
      </c>
      <c r="E1" t="s">
        <v>24</v>
      </c>
    </row>
    <row r="2" spans="1:5" x14ac:dyDescent="0.25">
      <c r="A2" s="2">
        <f>DATE(Feuil1!A1,1,1)</f>
        <v>45292</v>
      </c>
      <c r="B2" s="3" t="s">
        <v>10</v>
      </c>
      <c r="E2" t="s">
        <v>25</v>
      </c>
    </row>
    <row r="3" spans="1:5" x14ac:dyDescent="0.25">
      <c r="A3" s="2">
        <f>FLOOR(DAY(MINUTE(Feuil1!A1/38)/2+56)&amp;"/5/"&amp;Feuil1!A1,7)-34</f>
        <v>45382</v>
      </c>
      <c r="B3" s="3" t="s">
        <v>11</v>
      </c>
    </row>
    <row r="4" spans="1:5" x14ac:dyDescent="0.25">
      <c r="A4" s="2">
        <f>A3+1</f>
        <v>45383</v>
      </c>
      <c r="B4" s="3" t="s">
        <v>12</v>
      </c>
    </row>
    <row r="5" spans="1:5" x14ac:dyDescent="0.25">
      <c r="A5" s="2">
        <f>DATE(Feuil1!A1,5,1)</f>
        <v>45413</v>
      </c>
      <c r="B5" s="3" t="s">
        <v>13</v>
      </c>
    </row>
    <row r="6" spans="1:5" x14ac:dyDescent="0.25">
      <c r="A6" s="2">
        <f>DATE(Feuil1!A1,5,8)</f>
        <v>45420</v>
      </c>
      <c r="B6" s="3" t="s">
        <v>14</v>
      </c>
    </row>
    <row r="7" spans="1:5" x14ac:dyDescent="0.25">
      <c r="A7" s="2">
        <f>A3+39</f>
        <v>45421</v>
      </c>
      <c r="B7" s="3" t="s">
        <v>15</v>
      </c>
    </row>
    <row r="8" spans="1:5" x14ac:dyDescent="0.25">
      <c r="A8" s="2">
        <f>A3+49</f>
        <v>45431</v>
      </c>
      <c r="B8" s="3" t="s">
        <v>16</v>
      </c>
    </row>
    <row r="9" spans="1:5" x14ac:dyDescent="0.25">
      <c r="A9" s="2">
        <f>A8+1</f>
        <v>45432</v>
      </c>
      <c r="B9" s="3" t="s">
        <v>17</v>
      </c>
    </row>
    <row r="10" spans="1:5" x14ac:dyDescent="0.25">
      <c r="A10" s="2">
        <f>DATE(Feuil1!A1,7,14)</f>
        <v>45487</v>
      </c>
      <c r="B10" s="3" t="s">
        <v>18</v>
      </c>
    </row>
    <row r="11" spans="1:5" x14ac:dyDescent="0.25">
      <c r="A11" s="2">
        <f>DATE(Feuil1!A1,8,15)</f>
        <v>45519</v>
      </c>
      <c r="B11" s="3" t="s">
        <v>19</v>
      </c>
    </row>
    <row r="12" spans="1:5" x14ac:dyDescent="0.25">
      <c r="A12" s="2">
        <f>DATE(Feuil1!A1,11,1)</f>
        <v>45597</v>
      </c>
      <c r="B12" s="3" t="s">
        <v>20</v>
      </c>
    </row>
    <row r="13" spans="1:5" x14ac:dyDescent="0.25">
      <c r="A13" s="2">
        <f>DATE(Feuil1!A1,11,11)</f>
        <v>45607</v>
      </c>
      <c r="B13" s="3" t="s">
        <v>21</v>
      </c>
    </row>
    <row r="14" spans="1:5" x14ac:dyDescent="0.25">
      <c r="A14" s="2">
        <f>DATE(Feuil1!A1,12,25)</f>
        <v>45651</v>
      </c>
      <c r="B14" s="3" t="s">
        <v>22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ABD14-85CA-43AE-9ADF-A4B4CEAC003A}">
  <dimension ref="A1:M32"/>
  <sheetViews>
    <sheetView tabSelected="1" topLeftCell="A4" workbookViewId="0">
      <selection activeCell="H26" sqref="H26:H32"/>
    </sheetView>
  </sheetViews>
  <sheetFormatPr defaultColWidth="11.42578125" defaultRowHeight="15" x14ac:dyDescent="0.25"/>
  <cols>
    <col min="1" max="1" width="23.42578125" customWidth="1"/>
    <col min="2" max="2" width="20.5703125" bestFit="1" customWidth="1"/>
    <col min="3" max="3" width="17.7109375" bestFit="1" customWidth="1"/>
    <col min="4" max="4" width="25.140625" bestFit="1" customWidth="1"/>
    <col min="5" max="5" width="22.28515625" bestFit="1" customWidth="1"/>
    <col min="6" max="6" width="29.42578125" bestFit="1" customWidth="1"/>
    <col min="7" max="7" width="23" hidden="1" customWidth="1"/>
    <col min="8" max="8" width="23" style="13" customWidth="1"/>
    <col min="9" max="9" width="22.42578125" bestFit="1" customWidth="1"/>
  </cols>
  <sheetData>
    <row r="1" spans="1:13" ht="23.25" x14ac:dyDescent="0.25">
      <c r="A1" s="1">
        <v>2024</v>
      </c>
      <c r="C1" t="s">
        <v>6</v>
      </c>
    </row>
    <row r="2" spans="1:13" x14ac:dyDescent="0.25">
      <c r="C2" t="s">
        <v>7</v>
      </c>
    </row>
    <row r="3" spans="1:13" x14ac:dyDescent="0.25">
      <c r="C3" t="s">
        <v>8</v>
      </c>
      <c r="M3">
        <f>24*60</f>
        <v>1440</v>
      </c>
    </row>
    <row r="5" spans="1:13" x14ac:dyDescent="0.25">
      <c r="A5" s="14"/>
      <c r="B5" s="4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5</v>
      </c>
      <c r="I5" s="16" t="s">
        <v>31</v>
      </c>
    </row>
    <row r="6" spans="1:13" x14ac:dyDescent="0.25">
      <c r="A6" s="6">
        <f>DATE(A1,1,1)</f>
        <v>45292</v>
      </c>
      <c r="B6" s="7">
        <v>0.375</v>
      </c>
      <c r="C6" s="7">
        <v>0.52083333333333337</v>
      </c>
      <c r="D6" s="7">
        <v>0.5625</v>
      </c>
      <c r="E6" s="7">
        <v>0.79166666666666663</v>
      </c>
      <c r="F6" s="8">
        <f>C6-B6+(E6-D6)</f>
        <v>0.375</v>
      </c>
      <c r="G6" s="12">
        <f t="shared" ref="G6:G12" si="0">IF(ISNUMBER(MATCH(A6,Jours_Fériés,0)),F6*2,IF(WEEKDAY(A6,2)=7,F6*2,IF(WEEKDAY(A6,2)=6,F6*1.5,IF(WEEKDAY(A6,2)=5,IF(F6&gt;TIME(7,25,0),F6-TIME(7,25,0),0),IF(F6&gt;TIME(8,0,0),F6-TIME(8,0,0),0)))))</f>
        <v>0.75</v>
      </c>
      <c r="H6" s="17">
        <f>MROUND(IF(
AND($A$5&lt;&gt;"astreinte",WORKDAY.INTL(A6-1,1,11,Jours_Fériés)&lt;&gt;A6),2*F6,
IF(AND($A$5&lt;&gt;"astreinte",WEEKDAY(A6,2)=6),1.5*F6,
MAX(0,F6-(WORKDAY.INTL(A6-1,1)=A6)*TIMEVALUE(IF(WEEKDAY(A6,2)=5,"7:25","8:00"))))),
1/1440)</f>
        <v>0.75</v>
      </c>
      <c r="I6" s="18" t="s">
        <v>27</v>
      </c>
    </row>
    <row r="7" spans="1:13" x14ac:dyDescent="0.25">
      <c r="A7" s="9">
        <f>A6+1</f>
        <v>45293</v>
      </c>
      <c r="B7" s="10">
        <v>0.375</v>
      </c>
      <c r="C7" s="10">
        <v>0.52083333333333337</v>
      </c>
      <c r="D7" s="10">
        <v>0.5625</v>
      </c>
      <c r="E7" s="10">
        <v>0.75</v>
      </c>
      <c r="F7" s="11">
        <f t="shared" ref="F7:F12" si="1">C7-B7+(E7-D7)</f>
        <v>0.33333333333333337</v>
      </c>
      <c r="G7" s="12">
        <f t="shared" si="0"/>
        <v>0</v>
      </c>
      <c r="H7" s="17">
        <f>MROUND(IF(
AND($A$5&lt;&gt;"astreinte",WORKDAY.INTL(A7-1,1,11,Jours_Fériés)&lt;&gt;A7),2*F7,
IF(AND($A$5&lt;&gt;"astreinte",WEEKDAY(A7,2)=6),1.5*F7,
MAX(0,F7-(WORKDAY.INTL(A7-1,1)=A7)*TIMEVALUE(IF(WEEKDAY(A7,2)=5,"7:25","8:00"))))),
1/1440)</f>
        <v>0</v>
      </c>
      <c r="I7" s="19" t="s">
        <v>37</v>
      </c>
    </row>
    <row r="8" spans="1:13" x14ac:dyDescent="0.25">
      <c r="A8" s="6">
        <f t="shared" ref="A8:A12" si="2">A7+1</f>
        <v>45294</v>
      </c>
      <c r="B8" s="7">
        <v>0.375</v>
      </c>
      <c r="C8" s="7">
        <v>0.52083333333333337</v>
      </c>
      <c r="D8" s="7">
        <v>0.5625</v>
      </c>
      <c r="E8" s="7">
        <v>0.79166666666666663</v>
      </c>
      <c r="F8" s="8">
        <f t="shared" si="1"/>
        <v>0.375</v>
      </c>
      <c r="G8" s="12">
        <f t="shared" si="0"/>
        <v>4.1666666666666685E-2</v>
      </c>
      <c r="H8" s="17">
        <f>MROUND(IF(
AND($A$5&lt;&gt;"astreinte",WORKDAY.INTL(A8-1,1,11,Jours_Fériés)&lt;&gt;A8),2*F8,
IF(AND($A$5&lt;&gt;"astreinte",WEEKDAY(A8,2)=6),1.5*F8,
MAX(0,F8-(WORKDAY.INTL(A8-1,1)=A8)*TIMEVALUE(IF(WEEKDAY(A8,2)=5,"7:25","8:00"))))),
1/1440)</f>
        <v>4.1666666666666671E-2</v>
      </c>
      <c r="I8" s="18" t="s">
        <v>28</v>
      </c>
    </row>
    <row r="9" spans="1:13" x14ac:dyDescent="0.25">
      <c r="A9" s="9">
        <f t="shared" si="2"/>
        <v>45295</v>
      </c>
      <c r="B9" s="10">
        <v>0.375</v>
      </c>
      <c r="C9" s="10">
        <v>0.52083333333333337</v>
      </c>
      <c r="D9" s="10">
        <v>0.5625</v>
      </c>
      <c r="E9" s="10">
        <v>0.79166666666666663</v>
      </c>
      <c r="F9" s="11">
        <f t="shared" si="1"/>
        <v>0.375</v>
      </c>
      <c r="G9" s="12">
        <f t="shared" si="0"/>
        <v>4.1666666666666685E-2</v>
      </c>
      <c r="H9" s="17">
        <f>MROUND(IF(
AND($A$5&lt;&gt;"astreinte",WORKDAY.INTL(A9-1,1,11,Jours_Fériés)&lt;&gt;A9),2*F9,
IF(AND($A$5&lt;&gt;"astreinte",WEEKDAY(A9,2)=6),1.5*F9,
MAX(0,F9-(WORKDAY.INTL(A9-1,1)=A9)*TIMEVALUE(IF(WEEKDAY(A9,2)=5,"7:25","8:00"))))),
1/1440)</f>
        <v>4.1666666666666671E-2</v>
      </c>
      <c r="I9" s="18" t="s">
        <v>28</v>
      </c>
    </row>
    <row r="10" spans="1:13" x14ac:dyDescent="0.25">
      <c r="A10" s="6">
        <f t="shared" si="2"/>
        <v>45296</v>
      </c>
      <c r="B10" s="7">
        <v>0.375</v>
      </c>
      <c r="C10" s="7">
        <v>0.52083333333333337</v>
      </c>
      <c r="D10" s="7">
        <v>0.5625</v>
      </c>
      <c r="E10" s="7">
        <v>0.72569444444444453</v>
      </c>
      <c r="F10" s="8">
        <f t="shared" si="1"/>
        <v>0.3090277777777779</v>
      </c>
      <c r="G10" s="12">
        <f t="shared" si="0"/>
        <v>0</v>
      </c>
      <c r="H10" s="17">
        <f>MROUND(IF(
AND($A$5&lt;&gt;"astreinte",WORKDAY.INTL(A10-1,1,11,Jours_Fériés)&lt;&gt;A10),2*F10,
IF(AND($A$5&lt;&gt;"astreinte",WEEKDAY(A10,2)=6),1.5*F10,
MAX(0,F10-(WORKDAY.INTL(A10-1,1)=A10)*TIMEVALUE(IF(WEEKDAY(A10,2)=5,"7:25","8:00"))))),
1/1440)</f>
        <v>0</v>
      </c>
      <c r="I10" s="19" t="s">
        <v>37</v>
      </c>
    </row>
    <row r="11" spans="1:13" x14ac:dyDescent="0.25">
      <c r="A11" s="9">
        <f t="shared" si="2"/>
        <v>45297</v>
      </c>
      <c r="B11" s="10">
        <v>0.375</v>
      </c>
      <c r="C11" s="10">
        <v>0.41666666666666669</v>
      </c>
      <c r="D11" s="10"/>
      <c r="E11" s="10"/>
      <c r="F11" s="11">
        <f t="shared" si="1"/>
        <v>4.1666666666666685E-2</v>
      </c>
      <c r="G11" s="12">
        <f t="shared" si="0"/>
        <v>6.2500000000000028E-2</v>
      </c>
      <c r="H11" s="17">
        <f>MROUND(IF(
AND($A$5&lt;&gt;"astreinte",WORKDAY.INTL(A11-1,1,11,Jours_Fériés)&lt;&gt;A11),2*F11,
IF(AND($A$5&lt;&gt;"astreinte",WEEKDAY(A11,2)=6),1.5*F11,
MAX(0,F11-(WORKDAY.INTL(A11-1,1)=A11)*TIMEVALUE(IF(WEEKDAY(A11,2)=5,"7:25","8:00"))))),
1/1440)</f>
        <v>6.25E-2</v>
      </c>
      <c r="I11" s="18" t="s">
        <v>29</v>
      </c>
    </row>
    <row r="12" spans="1:13" x14ac:dyDescent="0.25">
      <c r="A12" s="6">
        <f t="shared" si="2"/>
        <v>45298</v>
      </c>
      <c r="B12" s="7">
        <v>0.375</v>
      </c>
      <c r="C12" s="7">
        <v>0.41666666666666669</v>
      </c>
      <c r="D12" s="7"/>
      <c r="E12" s="7"/>
      <c r="F12" s="8">
        <f t="shared" si="1"/>
        <v>4.1666666666666685E-2</v>
      </c>
      <c r="G12" s="12">
        <f t="shared" si="0"/>
        <v>8.333333333333337E-2</v>
      </c>
      <c r="H12" s="17">
        <f>MROUND(IF(
AND($A$5&lt;&gt;"astreinte",WORKDAY.INTL(A12-1,1,11,Jours_Fériés)&lt;&gt;A12),2*F12,
IF(AND($A$5&lt;&gt;"astreinte",WEEKDAY(A12,2)=6),1.5*F12,
MAX(0,F12-(WORKDAY.INTL(A12-1,1)=A12)*TIMEVALUE(IF(WEEKDAY(A12,2)=5,"7:25","8:00"))))),
1/1440)</f>
        <v>8.3333333333333343E-2</v>
      </c>
      <c r="I12" s="18" t="s">
        <v>30</v>
      </c>
    </row>
    <row r="13" spans="1:13" x14ac:dyDescent="0.25">
      <c r="H13"/>
    </row>
    <row r="14" spans="1:13" x14ac:dyDescent="0.25">
      <c r="H14"/>
    </row>
    <row r="15" spans="1:13" x14ac:dyDescent="0.25">
      <c r="A15" s="4" t="s">
        <v>26</v>
      </c>
      <c r="B15" s="4" t="s">
        <v>0</v>
      </c>
      <c r="C15" s="5" t="s">
        <v>1</v>
      </c>
      <c r="D15" s="5" t="s">
        <v>2</v>
      </c>
      <c r="E15" s="5" t="s">
        <v>3</v>
      </c>
      <c r="F15" s="5" t="s">
        <v>4</v>
      </c>
      <c r="G15" s="5" t="s">
        <v>5</v>
      </c>
      <c r="H15" s="5" t="s">
        <v>5</v>
      </c>
      <c r="I15" s="15" t="s">
        <v>32</v>
      </c>
    </row>
    <row r="16" spans="1:13" x14ac:dyDescent="0.25">
      <c r="A16" s="6">
        <f>DATE(A1,1,1)</f>
        <v>45292</v>
      </c>
      <c r="B16" s="7">
        <v>0.375</v>
      </c>
      <c r="C16" s="7">
        <v>0.52083333333333337</v>
      </c>
      <c r="D16" s="7">
        <v>0.5625</v>
      </c>
      <c r="E16" s="7">
        <v>0.79166666666666663</v>
      </c>
      <c r="F16" s="8">
        <f>C16-B16+(E16-D16)</f>
        <v>0.375</v>
      </c>
      <c r="G16" s="12">
        <f t="shared" ref="G16:G22" si="3">IF(ISNUMBER(MATCH(A16,Jours_Fériés,0)),F16*2,IF(WEEKDAY(A16,2)=7,F16*2,IF(WEEKDAY(A16,2)=6,F16*1.5,IF(WEEKDAY(A16,2)=5,IF(F16&gt;TIME(7,25,0),F16-TIME(7,25,0),0),IF(F16&gt;TIME(8,0,0),F16-TIME(8,0,0),0)))))</f>
        <v>0.75</v>
      </c>
      <c r="H16" s="17">
        <f>MROUND(IF(
AND($A$15&lt;&gt;"astreinte",WORKDAY.INTL(A16-1,1,11,Jours_Fériés)&lt;&gt;A16),2*F16,
IF(AND($A$15&lt;&gt;"astreinte",WEEKDAY(A16,2)=6),1.5*F16,
MAX(0,F16-(WORKDAY.INTL(A16-1,1)=A16)*TIMEVALUE(IF(WEEKDAY(A16,2)=5,"7:25","8:00"))))),
1/1440)</f>
        <v>4.1666666666666671E-2</v>
      </c>
      <c r="I16" s="19" t="s">
        <v>28</v>
      </c>
    </row>
    <row r="17" spans="1:9" x14ac:dyDescent="0.25">
      <c r="A17" s="9">
        <f>A16+1</f>
        <v>45293</v>
      </c>
      <c r="B17" s="10">
        <v>0.375</v>
      </c>
      <c r="C17" s="10">
        <v>0.52083333333333337</v>
      </c>
      <c r="D17" s="10">
        <v>0.5625</v>
      </c>
      <c r="E17" s="10">
        <v>0.75</v>
      </c>
      <c r="F17" s="11">
        <f t="shared" ref="F17:F22" si="4">C17-B17+(E17-D17)</f>
        <v>0.33333333333333337</v>
      </c>
      <c r="G17" s="12">
        <f t="shared" si="3"/>
        <v>0</v>
      </c>
      <c r="H17" s="17">
        <f>MROUND(IF(
AND($A$15&lt;&gt;"astreinte",WORKDAY.INTL(A17-1,1,11,Jours_Fériés)&lt;&gt;A17),2*F17,
IF(AND($A$15&lt;&gt;"astreinte",WEEKDAY(A17,2)=6),1.5*F17,
MAX(0,F17-(WORKDAY.INTL(A17-1,1)=A17)*TIMEVALUE(IF(WEEKDAY(A17,2)=5,"7:25","8:00"))))),
1/1440)</f>
        <v>0</v>
      </c>
      <c r="I17" s="19" t="s">
        <v>38</v>
      </c>
    </row>
    <row r="18" spans="1:9" x14ac:dyDescent="0.25">
      <c r="A18" s="6">
        <f t="shared" ref="A18:A22" si="5">A17+1</f>
        <v>45294</v>
      </c>
      <c r="B18" s="7">
        <v>0.375</v>
      </c>
      <c r="C18" s="7">
        <v>0.52083333333333337</v>
      </c>
      <c r="D18" s="7">
        <v>0.5625</v>
      </c>
      <c r="E18" s="7">
        <v>0.79166666666666663</v>
      </c>
      <c r="F18" s="8">
        <f t="shared" si="4"/>
        <v>0.375</v>
      </c>
      <c r="G18" s="12">
        <f t="shared" si="3"/>
        <v>4.1666666666666685E-2</v>
      </c>
      <c r="H18" s="17">
        <f>MROUND(IF(
AND($A$15&lt;&gt;"astreinte",WORKDAY.INTL(A18-1,1,11,Jours_Fériés)&lt;&gt;A18),2*F18,
IF(AND($A$15&lt;&gt;"astreinte",WEEKDAY(A18,2)=6),1.5*F18,
MAX(0,F18-(WORKDAY.INTL(A18-1,1)=A18)*TIMEVALUE(IF(WEEKDAY(A18,2)=5,"7:25","8:00"))))),
1/1440)</f>
        <v>4.1666666666666671E-2</v>
      </c>
      <c r="I18" s="19" t="s">
        <v>28</v>
      </c>
    </row>
    <row r="19" spans="1:9" x14ac:dyDescent="0.25">
      <c r="A19" s="9">
        <f t="shared" si="5"/>
        <v>45295</v>
      </c>
      <c r="B19" s="10">
        <v>0.375</v>
      </c>
      <c r="C19" s="10">
        <v>0.52083333333333337</v>
      </c>
      <c r="D19" s="10">
        <v>0.5625</v>
      </c>
      <c r="E19" s="10">
        <v>0.79166666666666663</v>
      </c>
      <c r="F19" s="11">
        <f t="shared" si="4"/>
        <v>0.375</v>
      </c>
      <c r="G19" s="12">
        <f t="shared" si="3"/>
        <v>4.1666666666666685E-2</v>
      </c>
      <c r="H19" s="17">
        <f>MROUND(IF(
AND($A$15&lt;&gt;"astreinte",WORKDAY.INTL(A19-1,1,11,Jours_Fériés)&lt;&gt;A19),2*F19,
IF(AND($A$15&lt;&gt;"astreinte",WEEKDAY(A19,2)=6),1.5*F19,
MAX(0,F19-(WORKDAY.INTL(A19-1,1)=A19)*TIMEVALUE(IF(WEEKDAY(A19,2)=5,"7:25","8:00"))))),
1/1440)</f>
        <v>4.1666666666666671E-2</v>
      </c>
      <c r="I19" s="19" t="s">
        <v>28</v>
      </c>
    </row>
    <row r="20" spans="1:9" x14ac:dyDescent="0.25">
      <c r="A20" s="6">
        <f t="shared" si="5"/>
        <v>45296</v>
      </c>
      <c r="B20" s="7">
        <v>0.375</v>
      </c>
      <c r="C20" s="7">
        <v>0.52083333333333337</v>
      </c>
      <c r="D20" s="7">
        <v>0.5625</v>
      </c>
      <c r="E20" s="7">
        <v>0.72569444444444453</v>
      </c>
      <c r="F20" s="8">
        <f t="shared" si="4"/>
        <v>0.3090277777777779</v>
      </c>
      <c r="G20" s="12">
        <f t="shared" si="3"/>
        <v>0</v>
      </c>
      <c r="H20" s="17">
        <f>MROUND(IF(
AND($A$15&lt;&gt;"astreinte",WORKDAY.INTL(A20-1,1,11,Jours_Fériés)&lt;&gt;A20),2*F20,
IF(AND($A$15&lt;&gt;"astreinte",WEEKDAY(A20,2)=6),1.5*F20,
MAX(0,F20-(WORKDAY.INTL(A20-1,1)=A20)*TIMEVALUE(IF(WEEKDAY(A20,2)=5,"7:25","8:00"))))),
1/1440)</f>
        <v>0</v>
      </c>
      <c r="I20" s="19" t="s">
        <v>38</v>
      </c>
    </row>
    <row r="21" spans="1:9" x14ac:dyDescent="0.25">
      <c r="A21" s="9">
        <f t="shared" si="5"/>
        <v>45297</v>
      </c>
      <c r="B21" s="10">
        <v>0.375</v>
      </c>
      <c r="C21" s="10">
        <v>0.41666666666666669</v>
      </c>
      <c r="D21" s="10"/>
      <c r="E21" s="10"/>
      <c r="F21" s="11">
        <f t="shared" si="4"/>
        <v>4.1666666666666685E-2</v>
      </c>
      <c r="G21" s="12">
        <f t="shared" si="3"/>
        <v>6.2500000000000028E-2</v>
      </c>
      <c r="H21" s="17">
        <f>MROUND(IF(
AND($A$15&lt;&gt;"astreinte",WORKDAY.INTL(A21-1,1,11,Jours_Fériés)&lt;&gt;A21),2*F21,
IF(AND($A$15&lt;&gt;"astreinte",WEEKDAY(A21,2)=6),1.5*F21,
MAX(0,F21-(WORKDAY.INTL(A21-1,1)=A21)*TIMEVALUE(IF(WEEKDAY(A21,2)=5,"7:25","8:00"))))),
1/1440)</f>
        <v>4.1666666666666671E-2</v>
      </c>
      <c r="I21" s="18" t="s">
        <v>28</v>
      </c>
    </row>
    <row r="22" spans="1:9" x14ac:dyDescent="0.25">
      <c r="A22" s="6">
        <f t="shared" si="5"/>
        <v>45298</v>
      </c>
      <c r="B22" s="7">
        <v>0.375</v>
      </c>
      <c r="C22" s="7">
        <v>0.41666666666666669</v>
      </c>
      <c r="D22" s="7"/>
      <c r="E22" s="7"/>
      <c r="F22" s="8">
        <f t="shared" si="4"/>
        <v>4.1666666666666685E-2</v>
      </c>
      <c r="G22" s="12">
        <f t="shared" si="3"/>
        <v>8.333333333333337E-2</v>
      </c>
      <c r="H22" s="17">
        <f>MROUND(IF(
AND($A$15&lt;&gt;"astreinte",WORKDAY.INTL(A22-1,1,11,Jours_Fériés)&lt;&gt;A22),2*F22,
IF(AND($A$15&lt;&gt;"astreinte",WEEKDAY(A22,2)=6),1.5*F22,
MAX(0,F22-(WORKDAY.INTL(A22-1,1)=A22)*TIMEVALUE(IF(WEEKDAY(A22,2)=5,"7:25","8:00"))))),
1/1440)</f>
        <v>4.1666666666666671E-2</v>
      </c>
      <c r="I22" s="18" t="s">
        <v>28</v>
      </c>
    </row>
    <row r="23" spans="1:9" x14ac:dyDescent="0.25">
      <c r="H23"/>
    </row>
    <row r="24" spans="1:9" x14ac:dyDescent="0.25">
      <c r="H24"/>
    </row>
    <row r="25" spans="1:9" x14ac:dyDescent="0.25">
      <c r="A25" s="4"/>
      <c r="B25" s="4" t="s">
        <v>0</v>
      </c>
      <c r="C25" s="5" t="s">
        <v>1</v>
      </c>
      <c r="D25" s="5" t="s">
        <v>2</v>
      </c>
      <c r="E25" s="5" t="s">
        <v>3</v>
      </c>
      <c r="F25" s="5" t="s">
        <v>4</v>
      </c>
      <c r="G25" s="5" t="s">
        <v>5</v>
      </c>
      <c r="H25" s="5" t="s">
        <v>5</v>
      </c>
      <c r="I25" s="15" t="s">
        <v>31</v>
      </c>
    </row>
    <row r="26" spans="1:9" x14ac:dyDescent="0.25">
      <c r="A26" s="6">
        <f>A12+1</f>
        <v>45299</v>
      </c>
      <c r="B26" s="10">
        <v>0.375</v>
      </c>
      <c r="C26" s="10">
        <v>0.52083333333333304</v>
      </c>
      <c r="D26" s="10">
        <v>0.5625</v>
      </c>
      <c r="E26" s="10">
        <v>0.79166666666666663</v>
      </c>
      <c r="F26" s="11">
        <f>C26-B26+(E26-D26)</f>
        <v>0.37499999999999967</v>
      </c>
      <c r="G26" s="12">
        <f t="shared" ref="G26:G32" si="6">IF(ISNUMBER(MATCH(A26,Jours_Fériés,0)),F26*2,IF(WEEKDAY(A26,2)=7,F26*2,IF(WEEKDAY(A26,2)=6,F26*1.5,IF(WEEKDAY(A26,2)=5,IF(F26&gt;TIME(7,25,0),F26-TIME(7,25,0),0),IF(F26&gt;TIME(8,0,0),F26-TIME(8,0,0),0)))))</f>
        <v>4.1666666666666352E-2</v>
      </c>
      <c r="H26" s="17">
        <f>MROUND(IF(
AND($A$25&lt;&gt;"astreinte",WORKDAY.INTL(A26-1,1,11,Jours_Fériés)&lt;&gt;A26),2*F26,
IF(AND($A$25&lt;&gt;"astreinte",WEEKDAY(A26,2)=6),1.5*F26,
MAX(0,F26-(WORKDAY.INTL(A26-1,1)=A26)*TIMEVALUE(IF(WEEKDAY(A26,2)=5,"7:25","8:00"))))),
1/1440)</f>
        <v>4.1666666666666671E-2</v>
      </c>
      <c r="I26" s="20" t="s">
        <v>28</v>
      </c>
    </row>
    <row r="27" spans="1:9" x14ac:dyDescent="0.25">
      <c r="A27" s="9">
        <f t="shared" ref="A27:A32" si="7">A26+1</f>
        <v>45300</v>
      </c>
      <c r="B27" s="7">
        <v>0.375</v>
      </c>
      <c r="C27" s="7">
        <v>0.52083333333333304</v>
      </c>
      <c r="D27" s="7">
        <v>0.5625</v>
      </c>
      <c r="E27" s="7">
        <v>0.75</v>
      </c>
      <c r="F27" s="8">
        <f t="shared" ref="F27:F32" si="8">C27-B27+(E27-D27)</f>
        <v>0.33333333333333304</v>
      </c>
      <c r="G27" s="12">
        <f t="shared" si="6"/>
        <v>0</v>
      </c>
      <c r="H27" s="17">
        <f>MROUND(IF(
AND($A$25&lt;&gt;"astreinte",WORKDAY.INTL(A27-1,1,11,Jours_Fériés)&lt;&gt;A27),2*F27,
IF(AND($A$25&lt;&gt;"astreinte",WEEKDAY(A27,2)=6),1.5*F27,
MAX(0,F27-(WORKDAY.INTL(A27-1,1)=A27)*TIMEVALUE(IF(WEEKDAY(A27,2)=5,"7:25","8:00"))))),
1/1440)</f>
        <v>0</v>
      </c>
      <c r="I27" s="20" t="s">
        <v>36</v>
      </c>
    </row>
    <row r="28" spans="1:9" x14ac:dyDescent="0.25">
      <c r="A28" s="6">
        <f t="shared" si="7"/>
        <v>45301</v>
      </c>
      <c r="B28" s="10">
        <v>0.375</v>
      </c>
      <c r="C28" s="10">
        <v>0.52083333333333304</v>
      </c>
      <c r="D28" s="10">
        <v>0.5625</v>
      </c>
      <c r="E28" s="10">
        <v>0.79166666666666663</v>
      </c>
      <c r="F28" s="11">
        <f t="shared" si="8"/>
        <v>0.37499999999999967</v>
      </c>
      <c r="G28" s="12">
        <f t="shared" si="6"/>
        <v>4.1666666666666352E-2</v>
      </c>
      <c r="H28" s="17">
        <f>MROUND(IF(
AND($A$25&lt;&gt;"astreinte",WORKDAY.INTL(A28-1,1,11,Jours_Fériés)&lt;&gt;A28),2*F28,
IF(AND($A$25&lt;&gt;"astreinte",WEEKDAY(A28,2)=6),1.5*F28,
MAX(0,F28-(WORKDAY.INTL(A28-1,1)=A28)*TIMEVALUE(IF(WEEKDAY(A28,2)=5,"7:25","8:00"))))),
1/1440)</f>
        <v>4.1666666666666671E-2</v>
      </c>
      <c r="I28" s="20" t="s">
        <v>28</v>
      </c>
    </row>
    <row r="29" spans="1:9" x14ac:dyDescent="0.25">
      <c r="A29" s="9">
        <f t="shared" si="7"/>
        <v>45302</v>
      </c>
      <c r="B29" s="7">
        <v>0.375</v>
      </c>
      <c r="C29" s="7">
        <v>0.52083333333333304</v>
      </c>
      <c r="D29" s="7">
        <v>0.5625</v>
      </c>
      <c r="E29" s="7">
        <v>0.79166666666666663</v>
      </c>
      <c r="F29" s="8">
        <f t="shared" si="8"/>
        <v>0.37499999999999967</v>
      </c>
      <c r="G29" s="12">
        <f t="shared" si="6"/>
        <v>4.1666666666666352E-2</v>
      </c>
      <c r="H29" s="17">
        <f>MROUND(IF(
AND($A$25&lt;&gt;"astreinte",WORKDAY.INTL(A29-1,1,11,Jours_Fériés)&lt;&gt;A29),2*F29,
IF(AND($A$25&lt;&gt;"astreinte",WEEKDAY(A29,2)=6),1.5*F29,
MAX(0,F29-(WORKDAY.INTL(A29-1,1)=A29)*TIMEVALUE(IF(WEEKDAY(A29,2)=5,"7:25","8:00"))))),
1/1440)</f>
        <v>4.1666666666666671E-2</v>
      </c>
      <c r="I29" s="20" t="s">
        <v>28</v>
      </c>
    </row>
    <row r="30" spans="1:9" x14ac:dyDescent="0.25">
      <c r="A30" s="6">
        <f t="shared" si="7"/>
        <v>45303</v>
      </c>
      <c r="B30" s="10">
        <v>0.375</v>
      </c>
      <c r="C30" s="10">
        <v>0.52083333333333337</v>
      </c>
      <c r="D30" s="10">
        <v>0.5625</v>
      </c>
      <c r="E30" s="10">
        <v>0.75</v>
      </c>
      <c r="F30" s="11">
        <f t="shared" si="8"/>
        <v>0.33333333333333337</v>
      </c>
      <c r="G30" s="12">
        <f t="shared" si="6"/>
        <v>2.430555555555558E-2</v>
      </c>
      <c r="H30" s="17">
        <f>MROUND(IF(
AND($A$25&lt;&gt;"astreinte",WORKDAY.INTL(A30-1,1,11,Jours_Fériés)&lt;&gt;A30),2*F30,
IF(AND($A$25&lt;&gt;"astreinte",WEEKDAY(A30,2)=6),1.5*F30,
MAX(0,F30-(WORKDAY.INTL(A30-1,1)=A30)*TIMEVALUE(IF(WEEKDAY(A30,2)=5,"7:25","8:00"))))),
1/1440)</f>
        <v>2.4305555555555556E-2</v>
      </c>
      <c r="I30" s="20" t="s">
        <v>33</v>
      </c>
    </row>
    <row r="31" spans="1:9" x14ac:dyDescent="0.25">
      <c r="A31" s="9">
        <f t="shared" si="7"/>
        <v>45304</v>
      </c>
      <c r="B31" s="7">
        <v>0.375</v>
      </c>
      <c r="C31" s="7">
        <v>0.52083333333333304</v>
      </c>
      <c r="D31" s="7">
        <v>0.5625</v>
      </c>
      <c r="E31" s="7">
        <v>0.79166666666666663</v>
      </c>
      <c r="F31" s="8">
        <f t="shared" si="8"/>
        <v>0.37499999999999967</v>
      </c>
      <c r="G31" s="12">
        <f t="shared" si="6"/>
        <v>0.56249999999999956</v>
      </c>
      <c r="H31" s="17">
        <f>MROUND(IF(
AND($A$25&lt;&gt;"astreinte",WORKDAY.INTL(A31-1,1,11,Jours_Fériés)&lt;&gt;A31),2*F31,
IF(AND($A$25&lt;&gt;"astreinte",WEEKDAY(A31,2)=6),1.5*F31,
MAX(0,F31-(WORKDAY.INTL(A31-1,1)=A31)*TIMEVALUE(IF(WEEKDAY(A31,2)=5,"7:25","8:00"))))),
1/1440)</f>
        <v>0.5625</v>
      </c>
      <c r="I31" s="20" t="s">
        <v>34</v>
      </c>
    </row>
    <row r="32" spans="1:9" x14ac:dyDescent="0.25">
      <c r="A32" s="6">
        <f t="shared" si="7"/>
        <v>45305</v>
      </c>
      <c r="B32" s="10">
        <v>0.375</v>
      </c>
      <c r="C32" s="10">
        <v>0.52083333333333304</v>
      </c>
      <c r="D32" s="10">
        <v>0.5625</v>
      </c>
      <c r="E32" s="10">
        <v>0.79166666666666663</v>
      </c>
      <c r="F32" s="11">
        <f t="shared" si="8"/>
        <v>0.37499999999999967</v>
      </c>
      <c r="G32" s="12">
        <f t="shared" si="6"/>
        <v>0.74999999999999933</v>
      </c>
      <c r="H32" s="17">
        <f>MROUND(IF(
AND($A$25&lt;&gt;"astreinte",WORKDAY.INTL(A32-1,1,11,Jours_Fériés)&lt;&gt;A32),2*F32,
IF(AND($A$25&lt;&gt;"astreinte",WEEKDAY(A32,2)=6),1.5*F32,
MAX(0,F32-(WORKDAY.INTL(A32-1,1)=A32)*TIMEVALUE(IF(WEEKDAY(A32,2)=5,"7:25","8:00"))))),
1/1440)</f>
        <v>0.75</v>
      </c>
      <c r="I32" s="20" t="s">
        <v>35</v>
      </c>
    </row>
  </sheetData>
  <dataValidations count="1">
    <dataValidation type="list" allowBlank="1" showInputMessage="1" showErrorMessage="1" sqref="A5 A25 A15" xr:uid="{D330E8DD-A729-407C-A058-5661FD52CD0C}">
      <formula1>"astreinte,"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DATA</vt:lpstr>
      <vt:lpstr>Feuil1</vt:lpstr>
      <vt:lpstr>Jours_Fériés</vt:lpstr>
      <vt:lpstr>JoursFériés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 1026734</dc:creator>
  <cp:lastModifiedBy>BSA</cp:lastModifiedBy>
  <dcterms:created xsi:type="dcterms:W3CDTF">2023-12-14T12:22:30Z</dcterms:created>
  <dcterms:modified xsi:type="dcterms:W3CDTF">2023-12-15T21:34:14Z</dcterms:modified>
</cp:coreProperties>
</file>