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49A0D3F-2799-47BB-9F51-F0B60A09B1EC}" xr6:coauthVersionLast="47" xr6:coauthVersionMax="47" xr10:uidLastSave="{00000000-0000-0000-0000-000000000000}"/>
  <bookViews>
    <workbookView xWindow="-120" yWindow="-120" windowWidth="29040" windowHeight="15855" xr2:uid="{89F24B45-A4AB-49E7-BADA-2B1D8E7A9372}"/>
  </bookViews>
  <sheets>
    <sheet name="Feuil1" sheetId="1" r:id="rId1"/>
    <sheet name="Feuil2" sheetId="2" r:id="rId2"/>
  </sheets>
  <functionGroups builtInGroupCount="19"/>
  <definedNames>
    <definedName name="OpenSolver_ChosenSolver" localSheetId="0" hidden="1">CBC</definedName>
    <definedName name="OpenSolver_LinearityCheck" localSheetId="0" hidden="1">1</definedName>
    <definedName name="solver_adj" localSheetId="0" hidden="1">Feuil1!$E$19:$M$19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Feuil1!$E$19:$M$19</definedName>
    <definedName name="solver_lhs2" localSheetId="0" hidden="1">Feuil1!$O$2:$O$17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Feuil1!$P$19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3</definedName>
    <definedName name="solver_rhs1" localSheetId="0" hidden="1">Feuil1!$E$21:$M$21</definedName>
    <definedName name="solver_rhs2" localSheetId="0" hidden="1">Feuil1!$B$2:$B$17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7" i="1" l="1"/>
  <c r="Q27" i="1"/>
  <c r="F29" i="1"/>
  <c r="G29" i="1"/>
  <c r="H29" i="1"/>
  <c r="I29" i="1"/>
  <c r="J29" i="1"/>
  <c r="K29" i="1"/>
  <c r="L29" i="1"/>
  <c r="M29" i="1"/>
  <c r="E29" i="1"/>
  <c r="R18" i="1"/>
  <c r="O27" i="1"/>
  <c r="O26" i="1"/>
  <c r="P26" i="1"/>
  <c r="N26" i="1"/>
  <c r="B19" i="1"/>
  <c r="N19" i="1"/>
  <c r="I20" i="1" s="1"/>
  <c r="O3" i="1"/>
  <c r="P3" i="1" s="1"/>
  <c r="Q3" i="1" s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2" i="1"/>
  <c r="P2" i="1" s="1"/>
  <c r="G4" i="2"/>
  <c r="G5" i="2"/>
  <c r="G6" i="2"/>
  <c r="G7" i="2"/>
  <c r="G8" i="2"/>
  <c r="G9" i="2"/>
  <c r="G10" i="2"/>
  <c r="G11" i="2"/>
  <c r="G12" i="2"/>
  <c r="H12" i="2" s="1"/>
  <c r="G13" i="2"/>
  <c r="G14" i="2"/>
  <c r="G15" i="2"/>
  <c r="H15" i="2" s="1"/>
  <c r="G16" i="2"/>
  <c r="H16" i="2" s="1"/>
  <c r="G18" i="2"/>
  <c r="G3" i="2"/>
  <c r="H3" i="2" s="1"/>
  <c r="B18" i="2"/>
  <c r="B17" i="2"/>
  <c r="B14" i="2"/>
  <c r="B13" i="2"/>
  <c r="B5" i="2"/>
  <c r="B6" i="2"/>
  <c r="B7" i="2"/>
  <c r="B8" i="2"/>
  <c r="B9" i="2"/>
  <c r="B10" i="2"/>
  <c r="B11" i="2"/>
  <c r="B4" i="2"/>
  <c r="Q2" i="1" l="1"/>
  <c r="Q14" i="1"/>
  <c r="R14" i="1" s="1"/>
  <c r="Q10" i="1"/>
  <c r="R10" i="1" s="1"/>
  <c r="Q6" i="1"/>
  <c r="R6" i="1" s="1"/>
  <c r="Q17" i="1"/>
  <c r="R17" i="1" s="1"/>
  <c r="Q13" i="1"/>
  <c r="R13" i="1" s="1"/>
  <c r="Q9" i="1"/>
  <c r="R9" i="1" s="1"/>
  <c r="Q5" i="1"/>
  <c r="R5" i="1" s="1"/>
  <c r="Q16" i="1"/>
  <c r="R16" i="1" s="1"/>
  <c r="Q12" i="1"/>
  <c r="R12" i="1" s="1"/>
  <c r="Q8" i="1"/>
  <c r="R8" i="1" s="1"/>
  <c r="Q4" i="1"/>
  <c r="R4" i="1" s="1"/>
  <c r="Q15" i="1"/>
  <c r="R15" i="1" s="1"/>
  <c r="Q11" i="1"/>
  <c r="R11" i="1" s="1"/>
  <c r="Q7" i="1"/>
  <c r="R7" i="1" s="1"/>
  <c r="O29" i="1"/>
  <c r="R2" i="1"/>
  <c r="R3" i="1"/>
  <c r="H6" i="2"/>
  <c r="H10" i="2"/>
  <c r="H20" i="1"/>
  <c r="L20" i="1"/>
  <c r="O19" i="1"/>
  <c r="K20" i="1"/>
  <c r="G20" i="1"/>
  <c r="E20" i="1"/>
  <c r="J20" i="1"/>
  <c r="F20" i="1"/>
  <c r="M20" i="1"/>
  <c r="H18" i="2"/>
  <c r="P19" i="1"/>
  <c r="I28" i="1" l="1"/>
  <c r="I30" i="1" s="1"/>
  <c r="I32" i="1" s="1"/>
  <c r="H28" i="1"/>
  <c r="H30" i="1" s="1"/>
  <c r="H32" i="1" s="1"/>
  <c r="L28" i="1"/>
  <c r="L30" i="1" s="1"/>
  <c r="L32" i="1" s="1"/>
  <c r="J28" i="1"/>
  <c r="J30" i="1" s="1"/>
  <c r="J32" i="1" s="1"/>
  <c r="M28" i="1"/>
  <c r="M30" i="1" s="1"/>
  <c r="M32" i="1" s="1"/>
  <c r="K28" i="1"/>
  <c r="K30" i="1" s="1"/>
  <c r="K32" i="1" s="1"/>
  <c r="F28" i="1"/>
  <c r="F30" i="1" s="1"/>
  <c r="F32" i="1" s="1"/>
  <c r="E28" i="1"/>
  <c r="E30" i="1" s="1"/>
  <c r="G28" i="1"/>
  <c r="G30" i="1" s="1"/>
  <c r="G32" i="1" s="1"/>
  <c r="Q19" i="1"/>
  <c r="R19" i="1" s="1"/>
  <c r="O28" i="1" l="1"/>
  <c r="O30" i="1"/>
  <c r="E32" i="1"/>
  <c r="G33" i="1" l="1"/>
  <c r="K33" i="1"/>
  <c r="J33" i="1"/>
  <c r="E33" i="1"/>
  <c r="I33" i="1"/>
  <c r="F33" i="1"/>
  <c r="H33" i="1"/>
  <c r="M33" i="1"/>
  <c r="L33" i="1"/>
</calcChain>
</file>

<file path=xl/sharedStrings.xml><?xml version="1.0" encoding="utf-8"?>
<sst xmlns="http://schemas.openxmlformats.org/spreadsheetml/2006/main" count="71" uniqueCount="51">
  <si>
    <t>0/25</t>
  </si>
  <si>
    <t>0/180</t>
  </si>
  <si>
    <t>0/6</t>
  </si>
  <si>
    <t>0/60</t>
  </si>
  <si>
    <t>0/31,5</t>
  </si>
  <si>
    <t>0/20</t>
  </si>
  <si>
    <t>30/60</t>
  </si>
  <si>
    <t>0/10</t>
  </si>
  <si>
    <t>Alim tertiaire</t>
  </si>
  <si>
    <t>0/2</t>
  </si>
  <si>
    <t>0/4</t>
  </si>
  <si>
    <t>2/4</t>
  </si>
  <si>
    <t>4/6</t>
  </si>
  <si>
    <t>6/10</t>
  </si>
  <si>
    <t>10/14</t>
  </si>
  <si>
    <t>10/20</t>
  </si>
  <si>
    <t xml:space="preserve">Besoin </t>
  </si>
  <si>
    <t>Config 1</t>
  </si>
  <si>
    <t>Config 3</t>
  </si>
  <si>
    <t>Config 4</t>
  </si>
  <si>
    <t>Config 5</t>
  </si>
  <si>
    <t>Config 6</t>
  </si>
  <si>
    <t>Config 7</t>
  </si>
  <si>
    <t>Config 8</t>
  </si>
  <si>
    <t>Config 9</t>
  </si>
  <si>
    <t xml:space="preserve">Config 2 </t>
  </si>
  <si>
    <t>Besoin (en tonne)</t>
  </si>
  <si>
    <t>Débit pour chaque coupure (avec débit)</t>
  </si>
  <si>
    <t>50h</t>
  </si>
  <si>
    <t xml:space="preserve">Besoins </t>
  </si>
  <si>
    <t xml:space="preserve">Excédent </t>
  </si>
  <si>
    <t>Reste à produire</t>
  </si>
  <si>
    <t>Après config 6</t>
  </si>
  <si>
    <t>produit</t>
  </si>
  <si>
    <t>Heures</t>
  </si>
  <si>
    <t>excédent</t>
  </si>
  <si>
    <t>temps</t>
  </si>
  <si>
    <t>heures</t>
  </si>
  <si>
    <t>% Excedent</t>
  </si>
  <si>
    <t>solution</t>
  </si>
  <si>
    <t>delta</t>
  </si>
  <si>
    <t>O19</t>
  </si>
  <si>
    <t>N19</t>
  </si>
  <si>
    <t>cible cellule</t>
  </si>
  <si>
    <t>coupures secondaires</t>
  </si>
  <si>
    <t>tout</t>
  </si>
  <si>
    <t>ranking</t>
  </si>
  <si>
    <t>produit utile</t>
  </si>
  <si>
    <t>rapport : tout/utile</t>
  </si>
  <si>
    <t>max</t>
  </si>
  <si>
    <t>sans config5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</si>
</sst>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_ ;[Red]\-#,##0.00\ "/>
    <numFmt numFmtId="165" formatCode="0.0%"/>
    <numFmt numFmtId="166" formatCode="0.0"/>
    <numFmt numFmtId="167" formatCode="#,##0.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34373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3" fillId="0" borderId="0" xfId="0" applyFont="1"/>
    <xf numFmtId="2" fontId="5" fillId="4" borderId="0" xfId="0" applyNumberFormat="1" applyFont="1" applyFill="1"/>
    <xf numFmtId="4" fontId="0" fillId="0" borderId="0" xfId="0" applyNumberFormat="1"/>
    <xf numFmtId="164" fontId="0" fillId="0" borderId="0" xfId="0" applyNumberFormat="1"/>
    <xf numFmtId="4" fontId="6" fillId="4" borderId="0" xfId="0" applyNumberFormat="1" applyFont="1" applyFill="1"/>
    <xf numFmtId="0" fontId="7" fillId="4" borderId="0" xfId="0" applyFont="1" applyFill="1"/>
    <xf numFmtId="0" fontId="8" fillId="5" borderId="0" xfId="0" applyFont="1" applyFill="1"/>
    <xf numFmtId="164" fontId="0" fillId="5" borderId="0" xfId="0" applyNumberFormat="1" applyFill="1"/>
    <xf numFmtId="4" fontId="0" fillId="6" borderId="0" xfId="0" applyNumberFormat="1" applyFill="1"/>
    <xf numFmtId="164" fontId="0" fillId="6" borderId="0" xfId="0" applyNumberFormat="1" applyFill="1"/>
    <xf numFmtId="9" fontId="0" fillId="0" borderId="0" xfId="0" applyNumberFormat="1"/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164" fontId="0" fillId="0" borderId="7" xfId="0" applyNumberFormat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4" fontId="0" fillId="0" borderId="12" xfId="0" applyNumberFormat="1" applyBorder="1"/>
    <xf numFmtId="164" fontId="0" fillId="0" borderId="12" xfId="0" applyNumberFormat="1" applyBorder="1"/>
    <xf numFmtId="165" fontId="0" fillId="0" borderId="0" xfId="0" applyNumberFormat="1"/>
    <xf numFmtId="165" fontId="0" fillId="0" borderId="0" xfId="1" applyNumberFormat="1" applyFont="1" applyAlignment="1">
      <alignment horizontal="center"/>
    </xf>
    <xf numFmtId="165" fontId="0" fillId="0" borderId="8" xfId="0" applyNumberFormat="1" applyBorder="1"/>
    <xf numFmtId="165" fontId="0" fillId="0" borderId="10" xfId="0" applyNumberFormat="1" applyBorder="1"/>
    <xf numFmtId="165" fontId="0" fillId="0" borderId="13" xfId="0" applyNumberFormat="1" applyBorder="1"/>
    <xf numFmtId="166" fontId="0" fillId="0" borderId="0" xfId="0" applyNumberFormat="1"/>
    <xf numFmtId="166" fontId="0" fillId="0" borderId="12" xfId="0" applyNumberFormat="1" applyBorder="1"/>
    <xf numFmtId="166" fontId="3" fillId="0" borderId="0" xfId="0" applyNumberFormat="1" applyFont="1"/>
    <xf numFmtId="167" fontId="3" fillId="0" borderId="0" xfId="0" applyNumberFormat="1" applyFont="1"/>
    <xf numFmtId="4" fontId="3" fillId="0" borderId="0" xfId="0" applyNumberFormat="1" applyFont="1"/>
    <xf numFmtId="164" fontId="3" fillId="0" borderId="0" xfId="0" applyNumberFormat="1" applyFont="1"/>
    <xf numFmtId="0" fontId="2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/>
    </xf>
    <xf numFmtId="0" fontId="0" fillId="0" borderId="0" xfId="0" applyFont="1" applyAlignment="1">
      <alignment horizontal="right"/>
    </xf>
    <xf numFmtId="0" fontId="0" fillId="7" borderId="14" xfId="0" applyFill="1" applyBorder="1"/>
    <xf numFmtId="0" fontId="0" fillId="7" borderId="15" xfId="0" applyFill="1" applyBorder="1"/>
    <xf numFmtId="4" fontId="6" fillId="7" borderId="15" xfId="0" applyNumberFormat="1" applyFont="1" applyFill="1" applyBorder="1"/>
    <xf numFmtId="164" fontId="0" fillId="7" borderId="15" xfId="0" applyNumberFormat="1" applyFill="1" applyBorder="1"/>
    <xf numFmtId="165" fontId="0" fillId="7" borderId="16" xfId="0" applyNumberFormat="1" applyFill="1" applyBorder="1"/>
    <xf numFmtId="0" fontId="0" fillId="0" borderId="0" xfId="0" applyAlignment="1">
      <alignment shrinkToFit="1"/>
    </xf>
    <xf numFmtId="3" fontId="0" fillId="0" borderId="0" xfId="0" applyNumberFormat="1" applyAlignment="1">
      <alignment shrinkToFit="1"/>
    </xf>
    <xf numFmtId="164" fontId="0" fillId="0" borderId="0" xfId="0" applyNumberFormat="1" applyAlignment="1">
      <alignment shrinkToFit="1"/>
    </xf>
    <xf numFmtId="165" fontId="0" fillId="0" borderId="0" xfId="0" applyNumberFormat="1" applyAlignment="1">
      <alignment shrinkToFit="1"/>
    </xf>
    <xf numFmtId="0" fontId="0" fillId="8" borderId="0" xfId="0" applyFill="1"/>
    <xf numFmtId="9" fontId="0" fillId="9" borderId="0" xfId="0" applyNumberFormat="1" applyFill="1"/>
    <xf numFmtId="0" fontId="0" fillId="0" borderId="0" xfId="0" applyAlignment="1">
      <alignment horizontal="right"/>
    </xf>
    <xf numFmtId="9" fontId="0" fillId="0" borderId="0" xfId="0" applyNumberFormat="1" applyAlignment="1">
      <alignment horizontal="right"/>
    </xf>
    <xf numFmtId="43" fontId="0" fillId="0" borderId="0" xfId="2" applyFont="1"/>
  </cellXfs>
  <cellStyles count="3">
    <cellStyle name="Komma" xfId="2" builtinId="3"/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20</xdr:row>
      <xdr:rowOff>142875</xdr:rowOff>
    </xdr:from>
    <xdr:to>
      <xdr:col>2</xdr:col>
      <xdr:colOff>215265</xdr:colOff>
      <xdr:row>23</xdr:row>
      <xdr:rowOff>192292</xdr:rowOff>
    </xdr:to>
    <xdr:sp macro="[0]!OptimisationMethodColonnes" textlink="">
      <xdr:nvSpPr>
        <xdr:cNvPr id="3" name="Rectangle : coins arrondis 2" descr="ENREGISTRER&#10;">
          <a:extLst>
            <a:ext uri="{FF2B5EF4-FFF2-40B4-BE49-F238E27FC236}">
              <a16:creationId xmlns:a16="http://schemas.microsoft.com/office/drawing/2014/main" id="{0F07EDFB-B93C-443A-9854-CB3232FC02A6}"/>
            </a:ext>
          </a:extLst>
        </xdr:cNvPr>
        <xdr:cNvSpPr/>
      </xdr:nvSpPr>
      <xdr:spPr>
        <a:xfrm>
          <a:off x="441960" y="4010025"/>
          <a:ext cx="1554480" cy="639967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SIMULATION</a:t>
          </a:r>
          <a:r>
            <a:rPr lang="fr-FR" sz="1400" b="1" baseline="0">
              <a:solidFill>
                <a:schemeClr val="tx1"/>
              </a:solidFill>
            </a:rPr>
            <a:t> DE PRODUCTION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9B815-97DA-4D70-BD9E-9109A28CD370}">
  <sheetPr codeName="Feuil1"/>
  <dimension ref="A1:R33"/>
  <sheetViews>
    <sheetView tabSelected="1" workbookViewId="0">
      <selection activeCell="Q27" sqref="Q27:R27"/>
    </sheetView>
  </sheetViews>
  <sheetFormatPr defaultColWidth="11.42578125" defaultRowHeight="15" x14ac:dyDescent="0.25"/>
  <cols>
    <col min="2" max="2" width="15.28515625" bestFit="1" customWidth="1"/>
    <col min="15" max="15" width="11.42578125" style="13"/>
    <col min="16" max="16" width="11.42578125" style="14"/>
    <col min="17" max="17" width="11.42578125" style="31"/>
  </cols>
  <sheetData>
    <row r="1" spans="1:18" ht="15.75" x14ac:dyDescent="0.25">
      <c r="B1" t="s">
        <v>26</v>
      </c>
      <c r="E1" s="6" t="s">
        <v>17</v>
      </c>
      <c r="F1" s="6" t="s">
        <v>25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24</v>
      </c>
      <c r="O1" s="19" t="s">
        <v>33</v>
      </c>
      <c r="P1" s="17" t="s">
        <v>35</v>
      </c>
    </row>
    <row r="2" spans="1:18" x14ac:dyDescent="0.25">
      <c r="A2" s="1" t="s">
        <v>0</v>
      </c>
      <c r="B2" s="5">
        <v>10000</v>
      </c>
      <c r="D2" s="42" t="s">
        <v>27</v>
      </c>
      <c r="E2" s="1">
        <v>150</v>
      </c>
      <c r="F2" s="1"/>
      <c r="G2" s="1">
        <v>230</v>
      </c>
      <c r="H2" s="1">
        <v>100</v>
      </c>
      <c r="I2" s="1"/>
      <c r="J2" s="1">
        <v>200</v>
      </c>
      <c r="K2" s="1">
        <v>54</v>
      </c>
      <c r="L2" s="1">
        <v>2</v>
      </c>
      <c r="M2" s="1"/>
      <c r="O2" s="19">
        <f>SUMPRODUCT(E2:M2,$E$19:$M$19)</f>
        <v>9999.9999999999745</v>
      </c>
      <c r="P2" s="18">
        <f>+O2-B2</f>
        <v>-2.5465851649641991E-11</v>
      </c>
      <c r="Q2" s="32">
        <f>IFERROR(+P2/O2,0)</f>
        <v>-2.5465851649642057E-15</v>
      </c>
      <c r="R2" s="31">
        <f>1-Q2</f>
        <v>1.0000000000000024</v>
      </c>
    </row>
    <row r="3" spans="1:18" x14ac:dyDescent="0.25">
      <c r="A3" s="1" t="s">
        <v>1</v>
      </c>
      <c r="B3" s="1">
        <v>0</v>
      </c>
      <c r="D3" s="42"/>
      <c r="E3" s="1"/>
      <c r="F3" s="1">
        <v>87</v>
      </c>
      <c r="G3" s="1"/>
      <c r="H3" s="1"/>
      <c r="I3" s="1">
        <v>85</v>
      </c>
      <c r="J3" s="1">
        <v>150</v>
      </c>
      <c r="K3" s="1">
        <v>55</v>
      </c>
      <c r="L3" s="1">
        <v>4</v>
      </c>
      <c r="M3" s="1">
        <v>89</v>
      </c>
      <c r="O3" s="19">
        <f t="shared" ref="O3:O17" si="0">SUMPRODUCT(E3:M3,$E$19:$M$19)</f>
        <v>11444.777032918058</v>
      </c>
      <c r="P3" s="18">
        <f t="shared" ref="P3:P17" si="1">+O3-B3</f>
        <v>11444.777032918058</v>
      </c>
      <c r="Q3" s="32">
        <f t="shared" ref="Q3:Q17" si="2">IFERROR(+P3/O3,0)</f>
        <v>1</v>
      </c>
      <c r="R3" s="31">
        <f t="shared" ref="R3:R19" si="3">1-Q3</f>
        <v>0</v>
      </c>
    </row>
    <row r="4" spans="1:18" x14ac:dyDescent="0.25">
      <c r="A4" s="1" t="s">
        <v>2</v>
      </c>
      <c r="B4" s="1">
        <v>0</v>
      </c>
      <c r="D4" s="42"/>
      <c r="E4" s="1"/>
      <c r="F4" s="1"/>
      <c r="G4" s="1">
        <v>150</v>
      </c>
      <c r="H4" s="1">
        <v>100</v>
      </c>
      <c r="I4" s="1"/>
      <c r="J4" s="1">
        <v>140</v>
      </c>
      <c r="K4" s="1">
        <v>56</v>
      </c>
      <c r="L4" s="1"/>
      <c r="M4" s="1"/>
      <c r="O4" s="19">
        <f t="shared" si="0"/>
        <v>-1.1368683772161603E-13</v>
      </c>
      <c r="P4" s="18">
        <f t="shared" si="1"/>
        <v>-1.1368683772161603E-13</v>
      </c>
      <c r="Q4" s="32">
        <f t="shared" si="2"/>
        <v>1</v>
      </c>
      <c r="R4" s="31">
        <f t="shared" si="3"/>
        <v>0</v>
      </c>
    </row>
    <row r="5" spans="1:18" x14ac:dyDescent="0.25">
      <c r="A5" s="1" t="s">
        <v>3</v>
      </c>
      <c r="B5" s="1">
        <v>15000</v>
      </c>
      <c r="D5" s="42"/>
      <c r="E5" s="1">
        <v>48</v>
      </c>
      <c r="F5" s="1">
        <v>68</v>
      </c>
      <c r="G5" s="1"/>
      <c r="H5" s="1"/>
      <c r="I5" s="1">
        <v>87</v>
      </c>
      <c r="J5" s="1"/>
      <c r="K5" s="1"/>
      <c r="L5" s="1">
        <v>50</v>
      </c>
      <c r="M5" s="1"/>
      <c r="O5" s="19">
        <f t="shared" si="0"/>
        <v>14999.999999999993</v>
      </c>
      <c r="P5" s="18">
        <f t="shared" si="1"/>
        <v>0</v>
      </c>
      <c r="Q5" s="32">
        <f t="shared" si="2"/>
        <v>0</v>
      </c>
      <c r="R5" s="31">
        <f t="shared" si="3"/>
        <v>1</v>
      </c>
    </row>
    <row r="6" spans="1:18" x14ac:dyDescent="0.25">
      <c r="A6" s="1" t="s">
        <v>4</v>
      </c>
      <c r="B6" s="1">
        <v>0</v>
      </c>
      <c r="D6" s="42"/>
      <c r="E6" s="1"/>
      <c r="F6" s="1"/>
      <c r="G6" s="1">
        <v>75</v>
      </c>
      <c r="H6" s="1">
        <v>100</v>
      </c>
      <c r="I6" s="1"/>
      <c r="J6" s="1">
        <v>28</v>
      </c>
      <c r="K6" s="1">
        <v>57</v>
      </c>
      <c r="L6" s="1"/>
      <c r="M6" s="1">
        <v>65</v>
      </c>
      <c r="O6" s="19">
        <f t="shared" si="0"/>
        <v>829.3250268393308</v>
      </c>
      <c r="P6" s="18">
        <f t="shared" si="1"/>
        <v>829.3250268393308</v>
      </c>
      <c r="Q6" s="32">
        <f t="shared" si="2"/>
        <v>1</v>
      </c>
      <c r="R6" s="31">
        <f t="shared" si="3"/>
        <v>0</v>
      </c>
    </row>
    <row r="7" spans="1:18" x14ac:dyDescent="0.25">
      <c r="A7" s="1" t="s">
        <v>5</v>
      </c>
      <c r="B7" s="1">
        <v>0</v>
      </c>
      <c r="D7" s="42"/>
      <c r="E7" s="1">
        <v>32</v>
      </c>
      <c r="F7" s="1"/>
      <c r="G7" s="1">
        <v>28</v>
      </c>
      <c r="H7" s="1"/>
      <c r="I7" s="1">
        <v>88</v>
      </c>
      <c r="J7" s="1"/>
      <c r="K7" s="1">
        <v>58</v>
      </c>
      <c r="L7" s="1"/>
      <c r="M7" s="1"/>
      <c r="O7" s="19">
        <f t="shared" si="0"/>
        <v>10423.789590483604</v>
      </c>
      <c r="P7" s="18">
        <f t="shared" si="1"/>
        <v>10423.789590483604</v>
      </c>
      <c r="Q7" s="32">
        <f t="shared" si="2"/>
        <v>1</v>
      </c>
      <c r="R7" s="31">
        <f t="shared" si="3"/>
        <v>0</v>
      </c>
    </row>
    <row r="8" spans="1:18" x14ac:dyDescent="0.25">
      <c r="A8" s="1" t="s">
        <v>6</v>
      </c>
      <c r="B8" s="1">
        <v>0</v>
      </c>
      <c r="D8" s="42"/>
      <c r="E8" s="1"/>
      <c r="F8" s="1">
        <v>220</v>
      </c>
      <c r="G8" s="1"/>
      <c r="H8" s="1"/>
      <c r="I8" s="1">
        <v>89</v>
      </c>
      <c r="J8" s="1">
        <v>28</v>
      </c>
      <c r="K8" s="1">
        <v>59</v>
      </c>
      <c r="L8" s="1"/>
      <c r="M8" s="1"/>
      <c r="O8" s="19">
        <f t="shared" si="0"/>
        <v>13786.507078831917</v>
      </c>
      <c r="P8" s="18">
        <f t="shared" si="1"/>
        <v>13786.507078831917</v>
      </c>
      <c r="Q8" s="32">
        <f t="shared" si="2"/>
        <v>1</v>
      </c>
      <c r="R8" s="31">
        <f t="shared" si="3"/>
        <v>0</v>
      </c>
    </row>
    <row r="9" spans="1:18" x14ac:dyDescent="0.25">
      <c r="A9" s="1" t="s">
        <v>7</v>
      </c>
      <c r="B9" s="1">
        <v>3200</v>
      </c>
      <c r="D9" s="42"/>
      <c r="E9" s="1">
        <v>189</v>
      </c>
      <c r="F9" s="1"/>
      <c r="G9" s="1"/>
      <c r="H9" s="1">
        <v>100</v>
      </c>
      <c r="I9" s="1"/>
      <c r="J9" s="1"/>
      <c r="K9" s="1">
        <v>60</v>
      </c>
      <c r="L9" s="1">
        <v>100</v>
      </c>
      <c r="M9" s="1">
        <v>54</v>
      </c>
      <c r="O9" s="19">
        <f t="shared" si="0"/>
        <v>17086.386684228903</v>
      </c>
      <c r="P9" s="18">
        <f t="shared" si="1"/>
        <v>13886.386684228903</v>
      </c>
      <c r="Q9" s="32">
        <f t="shared" si="2"/>
        <v>0.81271640053928618</v>
      </c>
      <c r="R9" s="31">
        <f t="shared" si="3"/>
        <v>0.18728359946071382</v>
      </c>
    </row>
    <row r="10" spans="1:18" x14ac:dyDescent="0.25">
      <c r="A10" s="1" t="s">
        <v>8</v>
      </c>
      <c r="B10" s="1">
        <v>0</v>
      </c>
      <c r="D10" s="42"/>
      <c r="E10" s="1">
        <v>220</v>
      </c>
      <c r="F10" s="1"/>
      <c r="G10" s="1">
        <v>89</v>
      </c>
      <c r="H10" s="1"/>
      <c r="I10" s="1">
        <v>90</v>
      </c>
      <c r="J10" s="1">
        <v>28</v>
      </c>
      <c r="K10" s="1"/>
      <c r="L10" s="1">
        <v>150</v>
      </c>
      <c r="M10" s="1">
        <v>25</v>
      </c>
      <c r="O10" s="19">
        <f t="shared" si="0"/>
        <v>29210.608442912388</v>
      </c>
      <c r="P10" s="18">
        <f t="shared" si="1"/>
        <v>29210.608442912388</v>
      </c>
      <c r="Q10" s="32">
        <f t="shared" si="2"/>
        <v>1</v>
      </c>
      <c r="R10" s="31">
        <f t="shared" si="3"/>
        <v>0</v>
      </c>
    </row>
    <row r="11" spans="1:18" x14ac:dyDescent="0.25">
      <c r="A11" s="1" t="s">
        <v>9</v>
      </c>
      <c r="B11" s="1">
        <v>5000</v>
      </c>
      <c r="D11" s="42"/>
      <c r="E11" s="1"/>
      <c r="F11" s="1">
        <v>75</v>
      </c>
      <c r="G11" s="1"/>
      <c r="H11" s="1">
        <v>100</v>
      </c>
      <c r="I11" s="1"/>
      <c r="J11" s="1">
        <v>28</v>
      </c>
      <c r="K11" s="1">
        <v>61</v>
      </c>
      <c r="L11" s="1"/>
      <c r="M11" s="1">
        <v>248</v>
      </c>
      <c r="O11" s="19">
        <f t="shared" si="0"/>
        <v>4999.9999999999964</v>
      </c>
      <c r="P11" s="18">
        <f t="shared" si="1"/>
        <v>0</v>
      </c>
      <c r="Q11" s="32">
        <f t="shared" si="2"/>
        <v>0</v>
      </c>
      <c r="R11" s="31">
        <f t="shared" si="3"/>
        <v>1</v>
      </c>
    </row>
    <row r="12" spans="1:18" x14ac:dyDescent="0.25">
      <c r="A12" s="1" t="s">
        <v>10</v>
      </c>
      <c r="B12" s="1">
        <v>0</v>
      </c>
      <c r="D12" s="42"/>
      <c r="E12" s="1"/>
      <c r="F12" s="1"/>
      <c r="G12" s="1">
        <v>65</v>
      </c>
      <c r="H12" s="1"/>
      <c r="I12" s="1">
        <v>91</v>
      </c>
      <c r="J12" s="1">
        <v>27</v>
      </c>
      <c r="K12" s="1">
        <v>62</v>
      </c>
      <c r="L12" s="1"/>
      <c r="M12" s="1"/>
      <c r="O12" s="19">
        <f t="shared" si="0"/>
        <v>8590.2732079585567</v>
      </c>
      <c r="P12" s="18">
        <f t="shared" si="1"/>
        <v>8590.2732079585567</v>
      </c>
      <c r="Q12" s="32">
        <f t="shared" si="2"/>
        <v>1</v>
      </c>
      <c r="R12" s="31">
        <f t="shared" si="3"/>
        <v>0</v>
      </c>
    </row>
    <row r="13" spans="1:18" x14ac:dyDescent="0.25">
      <c r="A13" s="3" t="s">
        <v>11</v>
      </c>
      <c r="B13" s="4">
        <v>0</v>
      </c>
      <c r="D13" s="42"/>
      <c r="E13" s="1"/>
      <c r="F13" s="1"/>
      <c r="G13" s="1">
        <v>87</v>
      </c>
      <c r="H13" s="1">
        <v>100</v>
      </c>
      <c r="I13" s="1"/>
      <c r="J13" s="1">
        <v>26</v>
      </c>
      <c r="K13" s="1">
        <v>63</v>
      </c>
      <c r="L13" s="1">
        <v>3</v>
      </c>
      <c r="M13" s="1"/>
      <c r="O13" s="19">
        <f t="shared" si="0"/>
        <v>116.86732569626429</v>
      </c>
      <c r="P13" s="18">
        <f t="shared" si="1"/>
        <v>116.86732569626429</v>
      </c>
      <c r="Q13" s="32">
        <f t="shared" si="2"/>
        <v>1</v>
      </c>
      <c r="R13" s="31">
        <f t="shared" si="3"/>
        <v>0</v>
      </c>
    </row>
    <row r="14" spans="1:18" x14ac:dyDescent="0.25">
      <c r="A14" s="1" t="s">
        <v>12</v>
      </c>
      <c r="B14" s="1">
        <v>12000</v>
      </c>
      <c r="D14" s="42"/>
      <c r="E14" s="1"/>
      <c r="F14" s="1">
        <v>132</v>
      </c>
      <c r="G14" s="1"/>
      <c r="H14" s="1"/>
      <c r="I14" s="1">
        <v>86</v>
      </c>
      <c r="J14" s="1">
        <v>25</v>
      </c>
      <c r="K14" s="1"/>
      <c r="L14" s="1"/>
      <c r="M14" s="1">
        <v>51</v>
      </c>
      <c r="O14" s="19">
        <f t="shared" si="0"/>
        <v>11999.999999999998</v>
      </c>
      <c r="P14" s="18">
        <f t="shared" si="1"/>
        <v>0</v>
      </c>
      <c r="Q14" s="32">
        <f t="shared" si="2"/>
        <v>0</v>
      </c>
      <c r="R14" s="31">
        <f t="shared" si="3"/>
        <v>1</v>
      </c>
    </row>
    <row r="15" spans="1:18" x14ac:dyDescent="0.25">
      <c r="A15" s="3" t="s">
        <v>13</v>
      </c>
      <c r="B15" s="4">
        <v>6000</v>
      </c>
      <c r="D15" s="42"/>
      <c r="E15" s="1"/>
      <c r="F15" s="1">
        <v>156</v>
      </c>
      <c r="G15" s="1"/>
      <c r="H15" s="1">
        <v>100</v>
      </c>
      <c r="I15" s="1"/>
      <c r="J15" s="1">
        <v>24</v>
      </c>
      <c r="K15" s="1"/>
      <c r="L15" s="1">
        <v>56</v>
      </c>
      <c r="M15" s="1"/>
      <c r="O15" s="19">
        <f t="shared" si="0"/>
        <v>5999.9999999999982</v>
      </c>
      <c r="P15" s="18">
        <f t="shared" si="1"/>
        <v>0</v>
      </c>
      <c r="Q15" s="32">
        <f t="shared" si="2"/>
        <v>0</v>
      </c>
      <c r="R15" s="31">
        <f t="shared" si="3"/>
        <v>1</v>
      </c>
    </row>
    <row r="16" spans="1:18" x14ac:dyDescent="0.25">
      <c r="A16" s="1" t="s">
        <v>14</v>
      </c>
      <c r="B16" s="2">
        <v>0</v>
      </c>
      <c r="D16" s="42"/>
      <c r="E16" s="1"/>
      <c r="F16" s="1">
        <v>78</v>
      </c>
      <c r="G16" s="1"/>
      <c r="H16" s="1"/>
      <c r="I16" s="1">
        <v>78</v>
      </c>
      <c r="J16" s="1">
        <v>23</v>
      </c>
      <c r="K16" s="1">
        <v>65</v>
      </c>
      <c r="L16" s="1"/>
      <c r="M16" s="1">
        <v>189</v>
      </c>
      <c r="O16" s="19">
        <f t="shared" si="0"/>
        <v>11683.751615726303</v>
      </c>
      <c r="P16" s="18">
        <f t="shared" si="1"/>
        <v>11683.751615726303</v>
      </c>
      <c r="Q16" s="32">
        <f t="shared" si="2"/>
        <v>1</v>
      </c>
      <c r="R16" s="31">
        <f t="shared" si="3"/>
        <v>0</v>
      </c>
    </row>
    <row r="17" spans="1:18" x14ac:dyDescent="0.25">
      <c r="A17" s="1" t="s">
        <v>15</v>
      </c>
      <c r="B17" s="1">
        <v>0</v>
      </c>
      <c r="D17" s="42"/>
      <c r="E17" s="1"/>
      <c r="F17" s="1"/>
      <c r="G17" s="1">
        <v>29</v>
      </c>
      <c r="H17" s="1">
        <v>100</v>
      </c>
      <c r="I17" s="1"/>
      <c r="J17" s="1">
        <v>2</v>
      </c>
      <c r="K17" s="1">
        <v>67</v>
      </c>
      <c r="L17" s="1"/>
      <c r="M17" s="1"/>
      <c r="O17" s="19">
        <f t="shared" si="0"/>
        <v>-1.1368683772161603E-13</v>
      </c>
      <c r="P17" s="18">
        <f t="shared" si="1"/>
        <v>-1.1368683772161603E-13</v>
      </c>
      <c r="Q17" s="32">
        <f t="shared" si="2"/>
        <v>1</v>
      </c>
      <c r="R17" s="31">
        <f t="shared" si="3"/>
        <v>0</v>
      </c>
    </row>
    <row r="18" spans="1:18" x14ac:dyDescent="0.25">
      <c r="O18" s="19"/>
      <c r="P18" s="18"/>
      <c r="R18" s="31">
        <f t="shared" si="3"/>
        <v>1</v>
      </c>
    </row>
    <row r="19" spans="1:18" ht="18.75" x14ac:dyDescent="0.3">
      <c r="B19">
        <f>SUM(B2:B17)</f>
        <v>51200</v>
      </c>
      <c r="D19" s="16" t="s">
        <v>34</v>
      </c>
      <c r="E19" s="12">
        <v>66.147256330238662</v>
      </c>
      <c r="F19" s="12">
        <v>24.477414019250396</v>
      </c>
      <c r="G19" s="12">
        <v>0</v>
      </c>
      <c r="H19" s="12">
        <v>-1.1368683772161603E-15</v>
      </c>
      <c r="I19" s="12">
        <v>94.398606680863253</v>
      </c>
      <c r="J19" s="12">
        <v>0</v>
      </c>
      <c r="K19" s="12">
        <v>0</v>
      </c>
      <c r="L19" s="12">
        <v>38.955775232088136</v>
      </c>
      <c r="M19" s="12">
        <v>12.758846566758937</v>
      </c>
      <c r="N19" s="15">
        <f>SUM($E$19:$M$19)</f>
        <v>236.73789882919939</v>
      </c>
      <c r="O19" s="20">
        <f>SUM(O2:O17)</f>
        <v>151172.28600559529</v>
      </c>
      <c r="P19" s="18">
        <f>SUM(P2:P17)</f>
        <v>99972.286005595291</v>
      </c>
      <c r="Q19" s="32">
        <f>+P19/O19</f>
        <v>0.66131358231822368</v>
      </c>
      <c r="R19" s="31">
        <f t="shared" si="3"/>
        <v>0.33868641768177632</v>
      </c>
    </row>
    <row r="20" spans="1:18" x14ac:dyDescent="0.25">
      <c r="E20" s="21">
        <f>+E19/$N$19</f>
        <v>0.2794113517834434</v>
      </c>
      <c r="F20" s="21">
        <f t="shared" ref="F20:M20" si="4">+F19/$N$19</f>
        <v>0.10339457324030003</v>
      </c>
      <c r="G20" s="21">
        <f t="shared" si="4"/>
        <v>0</v>
      </c>
      <c r="H20" s="21">
        <f t="shared" si="4"/>
        <v>-4.8022238215283942E-18</v>
      </c>
      <c r="I20" s="21">
        <f t="shared" si="4"/>
        <v>0.39874733681306151</v>
      </c>
      <c r="J20" s="21">
        <f t="shared" si="4"/>
        <v>0</v>
      </c>
      <c r="K20" s="21">
        <f t="shared" si="4"/>
        <v>0</v>
      </c>
      <c r="L20" s="21">
        <f t="shared" si="4"/>
        <v>0.16455234005516697</v>
      </c>
      <c r="M20" s="21">
        <f t="shared" si="4"/>
        <v>5.3894398108028034E-2</v>
      </c>
    </row>
    <row r="21" spans="1:18" ht="15.75" thickBot="1" x14ac:dyDescent="0.3">
      <c r="D21" t="s">
        <v>49</v>
      </c>
      <c r="E21">
        <v>999</v>
      </c>
      <c r="F21">
        <v>999</v>
      </c>
      <c r="G21">
        <v>999</v>
      </c>
      <c r="H21">
        <v>999</v>
      </c>
      <c r="I21" s="54">
        <v>999</v>
      </c>
      <c r="J21">
        <v>999</v>
      </c>
      <c r="K21">
        <v>999</v>
      </c>
      <c r="L21">
        <v>999</v>
      </c>
      <c r="M21">
        <v>999</v>
      </c>
    </row>
    <row r="22" spans="1:18" ht="15.75" thickTop="1" x14ac:dyDescent="0.25">
      <c r="L22" s="22" t="s">
        <v>43</v>
      </c>
      <c r="M22" s="23" t="s">
        <v>39</v>
      </c>
      <c r="N22" s="23" t="s">
        <v>37</v>
      </c>
      <c r="O22" s="24" t="s">
        <v>33</v>
      </c>
      <c r="P22" s="25" t="s">
        <v>35</v>
      </c>
      <c r="Q22" s="33" t="s">
        <v>38</v>
      </c>
    </row>
    <row r="23" spans="1:18" x14ac:dyDescent="0.25">
      <c r="L23" s="26" t="s">
        <v>41</v>
      </c>
      <c r="M23" t="s">
        <v>35</v>
      </c>
      <c r="N23" s="36">
        <v>236.73789882919939</v>
      </c>
      <c r="O23" s="13">
        <v>151172.28600559529</v>
      </c>
      <c r="P23" s="14">
        <v>99972.286005595291</v>
      </c>
      <c r="Q23" s="34">
        <v>0.66131358231822368</v>
      </c>
    </row>
    <row r="24" spans="1:18" ht="15.75" thickBot="1" x14ac:dyDescent="0.3">
      <c r="L24" s="27" t="s">
        <v>42</v>
      </c>
      <c r="M24" s="28" t="s">
        <v>36</v>
      </c>
      <c r="N24" s="37">
        <v>216.85823754789254</v>
      </c>
      <c r="O24" s="29">
        <v>154966.28352490411</v>
      </c>
      <c r="P24" s="30">
        <v>103766.28352490408</v>
      </c>
      <c r="Q24" s="35">
        <v>0.66960555008875944</v>
      </c>
    </row>
    <row r="25" spans="1:18" ht="17.25" thickTop="1" thickBot="1" x14ac:dyDescent="0.3">
      <c r="L25" s="45" t="s">
        <v>50</v>
      </c>
      <c r="M25" s="46"/>
      <c r="N25" s="47">
        <v>269.87868965178518</v>
      </c>
      <c r="O25" s="48">
        <v>157356.56401944879</v>
      </c>
      <c r="P25" s="48">
        <v>106156.56401944884</v>
      </c>
      <c r="Q25" s="49"/>
    </row>
    <row r="26" spans="1:18" ht="15.75" thickTop="1" x14ac:dyDescent="0.25">
      <c r="M26" s="11" t="s">
        <v>40</v>
      </c>
      <c r="N26" s="38">
        <f>+N23-N24</f>
        <v>19.879661281306852</v>
      </c>
      <c r="O26" s="39">
        <f t="shared" ref="O26:P26" si="5">+O23-O24</f>
        <v>-3793.9975193088176</v>
      </c>
      <c r="P26" s="39">
        <f t="shared" si="5"/>
        <v>-3793.9975193087885</v>
      </c>
    </row>
    <row r="27" spans="1:18" x14ac:dyDescent="0.25">
      <c r="M27" s="11"/>
      <c r="N27" s="11"/>
      <c r="O27" s="40">
        <f>+O26/N26</f>
        <v>-190.8481973420931</v>
      </c>
      <c r="P27" s="41"/>
      <c r="Q27" s="58">
        <f>+N25-N23</f>
        <v>33.140790822585785</v>
      </c>
      <c r="R27" s="58">
        <f>+O25-O23</f>
        <v>6184.2780138535018</v>
      </c>
    </row>
    <row r="28" spans="1:18" s="50" customFormat="1" x14ac:dyDescent="0.25">
      <c r="D28" s="44" t="s">
        <v>44</v>
      </c>
      <c r="E28" s="51">
        <f>SUMPRODUCT(E2:E17,$Q$2:$Q$17)*E19</f>
        <v>26829.552048499463</v>
      </c>
      <c r="F28" s="51">
        <f t="shared" ref="F28:M28" si="6">SUMPRODUCT(F2:F17,$Q$2:$Q$17)*F19</f>
        <v>9423.8043974114025</v>
      </c>
      <c r="G28" s="51">
        <f t="shared" si="6"/>
        <v>0</v>
      </c>
      <c r="H28" s="51">
        <f t="shared" si="6"/>
        <v>-5.4714250842826954E-13</v>
      </c>
      <c r="I28" s="51">
        <f t="shared" si="6"/>
        <v>49181.674080729754</v>
      </c>
      <c r="J28" s="51">
        <f t="shared" si="6"/>
        <v>0</v>
      </c>
      <c r="K28" s="51">
        <f t="shared" si="6"/>
        <v>0</v>
      </c>
      <c r="L28" s="51">
        <f t="shared" si="6"/>
        <v>9282.0564541218519</v>
      </c>
      <c r="M28" s="51">
        <f t="shared" si="6"/>
        <v>5255.1990248328329</v>
      </c>
      <c r="N28" s="51"/>
      <c r="O28" s="51">
        <f>SUM(E28:M28)</f>
        <v>99972.286005595306</v>
      </c>
      <c r="P28" s="52"/>
      <c r="Q28" s="53"/>
    </row>
    <row r="29" spans="1:18" s="50" customFormat="1" x14ac:dyDescent="0.25">
      <c r="D29" s="44" t="s">
        <v>45</v>
      </c>
      <c r="E29" s="51">
        <f>SUM(E2:E17)*E19</f>
        <v>42268.096795022502</v>
      </c>
      <c r="F29" s="51">
        <f t="shared" ref="F29:M29" si="7">SUM(F2:F17)*F19</f>
        <v>19973.569839708325</v>
      </c>
      <c r="G29" s="51">
        <f t="shared" si="7"/>
        <v>0</v>
      </c>
      <c r="H29" s="51">
        <f t="shared" si="7"/>
        <v>-9.0949470177292824E-13</v>
      </c>
      <c r="I29" s="51">
        <f t="shared" si="7"/>
        <v>65512.633036519095</v>
      </c>
      <c r="J29" s="51">
        <f t="shared" si="7"/>
        <v>0</v>
      </c>
      <c r="K29" s="51">
        <f t="shared" si="7"/>
        <v>0</v>
      </c>
      <c r="L29" s="51">
        <f t="shared" si="7"/>
        <v>14218.85795971217</v>
      </c>
      <c r="M29" s="51">
        <f t="shared" si="7"/>
        <v>9199.1283746331937</v>
      </c>
      <c r="N29" s="51"/>
      <c r="O29" s="51">
        <f>SUM(E29:M29)</f>
        <v>151172.28600559529</v>
      </c>
      <c r="P29" s="51"/>
      <c r="Q29" s="53"/>
    </row>
    <row r="30" spans="1:18" s="50" customFormat="1" x14ac:dyDescent="0.25">
      <c r="D30" s="44" t="s">
        <v>47</v>
      </c>
      <c r="E30" s="51">
        <f>+E29-E28</f>
        <v>15438.544746523039</v>
      </c>
      <c r="F30" s="51">
        <f t="shared" ref="F30:M30" si="8">+F29-F28</f>
        <v>10549.765442296923</v>
      </c>
      <c r="G30" s="51">
        <f t="shared" si="8"/>
        <v>0</v>
      </c>
      <c r="H30" s="51">
        <f t="shared" si="8"/>
        <v>-3.623521933446587E-13</v>
      </c>
      <c r="I30" s="51">
        <f t="shared" si="8"/>
        <v>16330.958955789341</v>
      </c>
      <c r="J30" s="51">
        <f t="shared" si="8"/>
        <v>0</v>
      </c>
      <c r="K30" s="51">
        <f t="shared" si="8"/>
        <v>0</v>
      </c>
      <c r="L30" s="51">
        <f t="shared" si="8"/>
        <v>4936.8015055903179</v>
      </c>
      <c r="M30" s="51">
        <f t="shared" si="8"/>
        <v>3943.9293498003608</v>
      </c>
      <c r="N30" s="51"/>
      <c r="O30" s="51">
        <f>SUM(E30:M30)</f>
        <v>51199.999999999978</v>
      </c>
      <c r="P30" s="51"/>
      <c r="Q30" s="53"/>
    </row>
    <row r="31" spans="1:18" x14ac:dyDescent="0.25">
      <c r="D31" s="56"/>
    </row>
    <row r="32" spans="1:18" s="21" customFormat="1" x14ac:dyDescent="0.25">
      <c r="D32" s="57" t="s">
        <v>48</v>
      </c>
      <c r="E32" s="55">
        <f>IFERROR(+E29/E30,"-")</f>
        <v>2.7378290822742102</v>
      </c>
      <c r="F32" s="55">
        <f t="shared" ref="F32:M32" si="9">IFERROR(+F29/F30,"-")</f>
        <v>1.8932714617169373</v>
      </c>
      <c r="G32" s="55" t="str">
        <f t="shared" si="9"/>
        <v>-</v>
      </c>
      <c r="H32" s="55">
        <f t="shared" si="9"/>
        <v>2.5099743246423341</v>
      </c>
      <c r="I32" s="55">
        <f t="shared" si="9"/>
        <v>4.011560693641619</v>
      </c>
      <c r="J32" s="55" t="str">
        <f t="shared" si="9"/>
        <v>-</v>
      </c>
      <c r="K32" s="55" t="str">
        <f t="shared" si="9"/>
        <v>-</v>
      </c>
      <c r="L32" s="55">
        <f t="shared" si="9"/>
        <v>2.8801761512207995</v>
      </c>
      <c r="M32" s="55">
        <f t="shared" si="9"/>
        <v>2.3324779829280784</v>
      </c>
    </row>
    <row r="33" spans="4:13" x14ac:dyDescent="0.25">
      <c r="D33" s="56" t="s">
        <v>46</v>
      </c>
      <c r="E33">
        <f>IF(ISNUMBER(E32),RANK(E32,$E$32:$M$32),"-")</f>
        <v>3</v>
      </c>
      <c r="F33">
        <f t="shared" ref="F33:M33" si="10">IF(ISNUMBER(F32),RANK(F32,$E$32:$M$32),"-")</f>
        <v>6</v>
      </c>
      <c r="G33" t="str">
        <f t="shared" si="10"/>
        <v>-</v>
      </c>
      <c r="H33">
        <f t="shared" si="10"/>
        <v>4</v>
      </c>
      <c r="I33">
        <f t="shared" si="10"/>
        <v>1</v>
      </c>
      <c r="J33" t="str">
        <f t="shared" si="10"/>
        <v>-</v>
      </c>
      <c r="K33" t="str">
        <f t="shared" si="10"/>
        <v>-</v>
      </c>
      <c r="L33">
        <f t="shared" si="10"/>
        <v>2</v>
      </c>
      <c r="M33">
        <f t="shared" si="10"/>
        <v>5</v>
      </c>
    </row>
  </sheetData>
  <mergeCells count="1">
    <mergeCell ref="D2:D17"/>
  </mergeCells>
  <phoneticPr fontId="1" type="noConversion"/>
  <conditionalFormatting sqref="Q2:Q19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{F78156CB-05C3-43E2-847B-9122B68C216C}</x14:id>
        </ext>
      </extLst>
    </cfRule>
  </conditionalFormatting>
  <pageMargins left="0.7" right="0.7" top="0.75" bottom="0.75" header="0.3" footer="0.3"/>
  <ignoredErrors>
    <ignoredError sqref="A16:A17" twoDigitTextYear="1"/>
  </ignoredError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8156CB-05C3-43E2-847B-9122B68C21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Q2:Q19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5BD23-DCDC-44BB-99B7-82CCA235127A}">
  <sheetPr codeName="Feuil2"/>
  <dimension ref="A1:H18"/>
  <sheetViews>
    <sheetView workbookViewId="0">
      <selection activeCell="H6" sqref="H6"/>
    </sheetView>
  </sheetViews>
  <sheetFormatPr defaultColWidth="11.42578125" defaultRowHeight="15" x14ac:dyDescent="0.25"/>
  <cols>
    <col min="8" max="8" width="14.7109375" customWidth="1"/>
  </cols>
  <sheetData>
    <row r="1" spans="1:8" x14ac:dyDescent="0.25">
      <c r="B1" s="11" t="s">
        <v>28</v>
      </c>
      <c r="G1" s="43" t="s">
        <v>32</v>
      </c>
      <c r="H1" s="43"/>
    </row>
    <row r="2" spans="1:8" x14ac:dyDescent="0.25">
      <c r="B2" t="s">
        <v>21</v>
      </c>
      <c r="D2" s="8"/>
      <c r="E2" t="s">
        <v>29</v>
      </c>
      <c r="G2" s="6" t="s">
        <v>16</v>
      </c>
      <c r="H2" s="6" t="s">
        <v>31</v>
      </c>
    </row>
    <row r="3" spans="1:8" x14ac:dyDescent="0.25">
      <c r="A3" s="1" t="s">
        <v>0</v>
      </c>
      <c r="B3" s="7">
        <v>10000</v>
      </c>
      <c r="D3" s="10"/>
      <c r="E3" t="s">
        <v>30</v>
      </c>
      <c r="G3" s="6">
        <f>Feuil1!B2</f>
        <v>10000</v>
      </c>
      <c r="H3" s="6">
        <f>G3-B3</f>
        <v>0</v>
      </c>
    </row>
    <row r="4" spans="1:8" x14ac:dyDescent="0.25">
      <c r="A4" s="1" t="s">
        <v>1</v>
      </c>
      <c r="B4" s="9">
        <f>50*Feuil1!J3</f>
        <v>7500</v>
      </c>
      <c r="G4" s="1">
        <f>Feuil1!B3</f>
        <v>0</v>
      </c>
      <c r="H4" s="1"/>
    </row>
    <row r="5" spans="1:8" x14ac:dyDescent="0.25">
      <c r="A5" s="1" t="s">
        <v>2</v>
      </c>
      <c r="B5" s="9">
        <f>50*Feuil1!J4</f>
        <v>7000</v>
      </c>
      <c r="G5" s="1">
        <f>Feuil1!B4</f>
        <v>0</v>
      </c>
      <c r="H5" s="1"/>
    </row>
    <row r="6" spans="1:8" x14ac:dyDescent="0.25">
      <c r="A6" s="1" t="s">
        <v>3</v>
      </c>
      <c r="B6" s="7">
        <f>50*Feuil1!J5</f>
        <v>0</v>
      </c>
      <c r="G6" s="1">
        <f>Feuil1!B5</f>
        <v>15000</v>
      </c>
      <c r="H6" s="1">
        <f t="shared" ref="H6:H18" si="0">G6-B6</f>
        <v>15000</v>
      </c>
    </row>
    <row r="7" spans="1:8" x14ac:dyDescent="0.25">
      <c r="A7" s="1" t="s">
        <v>4</v>
      </c>
      <c r="B7" s="9">
        <f>50*Feuil1!J6</f>
        <v>1400</v>
      </c>
      <c r="G7" s="1">
        <f>Feuil1!B6</f>
        <v>0</v>
      </c>
      <c r="H7" s="1"/>
    </row>
    <row r="8" spans="1:8" x14ac:dyDescent="0.25">
      <c r="A8" s="1" t="s">
        <v>5</v>
      </c>
      <c r="B8" s="9">
        <f>50*Feuil1!J7</f>
        <v>0</v>
      </c>
      <c r="G8" s="1">
        <f>Feuil1!B7</f>
        <v>0</v>
      </c>
      <c r="H8" s="1"/>
    </row>
    <row r="9" spans="1:8" x14ac:dyDescent="0.25">
      <c r="A9" s="1" t="s">
        <v>6</v>
      </c>
      <c r="B9" s="9">
        <f>50*Feuil1!J8</f>
        <v>1400</v>
      </c>
      <c r="G9" s="1">
        <f>Feuil1!B8</f>
        <v>0</v>
      </c>
      <c r="H9" s="1"/>
    </row>
    <row r="10" spans="1:8" x14ac:dyDescent="0.25">
      <c r="A10" s="1" t="s">
        <v>7</v>
      </c>
      <c r="B10" s="7">
        <f>50*Feuil1!J9</f>
        <v>0</v>
      </c>
      <c r="G10" s="1">
        <f>Feuil1!B9</f>
        <v>3200</v>
      </c>
      <c r="H10" s="1">
        <f t="shared" si="0"/>
        <v>3200</v>
      </c>
    </row>
    <row r="11" spans="1:8" x14ac:dyDescent="0.25">
      <c r="A11" s="1" t="s">
        <v>8</v>
      </c>
      <c r="B11" s="9">
        <f>50*Feuil1!J10</f>
        <v>1400</v>
      </c>
      <c r="G11" s="1">
        <f>Feuil1!B10</f>
        <v>0</v>
      </c>
      <c r="H11" s="1"/>
    </row>
    <row r="12" spans="1:8" x14ac:dyDescent="0.25">
      <c r="A12" s="1" t="s">
        <v>9</v>
      </c>
      <c r="B12" s="7">
        <v>1400</v>
      </c>
      <c r="G12" s="1">
        <f>Feuil1!B11</f>
        <v>5000</v>
      </c>
      <c r="H12" s="1">
        <f t="shared" si="0"/>
        <v>3600</v>
      </c>
    </row>
    <row r="13" spans="1:8" x14ac:dyDescent="0.25">
      <c r="A13" s="1" t="s">
        <v>10</v>
      </c>
      <c r="B13" s="9">
        <f>50*Feuil1!J12</f>
        <v>1350</v>
      </c>
      <c r="G13" s="1">
        <f>Feuil1!B12</f>
        <v>0</v>
      </c>
      <c r="H13" s="1"/>
    </row>
    <row r="14" spans="1:8" x14ac:dyDescent="0.25">
      <c r="A14" s="3" t="s">
        <v>11</v>
      </c>
      <c r="B14" s="9">
        <f>50*Feuil1!J13</f>
        <v>1300</v>
      </c>
      <c r="G14" s="1">
        <f>Feuil1!B13</f>
        <v>0</v>
      </c>
      <c r="H14" s="1"/>
    </row>
    <row r="15" spans="1:8" x14ac:dyDescent="0.25">
      <c r="A15" s="1" t="s">
        <v>12</v>
      </c>
      <c r="B15" s="7">
        <v>1250</v>
      </c>
      <c r="G15" s="1">
        <f>Feuil1!B14</f>
        <v>12000</v>
      </c>
      <c r="H15" s="1">
        <f t="shared" si="0"/>
        <v>10750</v>
      </c>
    </row>
    <row r="16" spans="1:8" x14ac:dyDescent="0.25">
      <c r="A16" s="3" t="s">
        <v>13</v>
      </c>
      <c r="B16" s="7">
        <v>1200</v>
      </c>
      <c r="G16" s="1">
        <f>Feuil1!B15</f>
        <v>6000</v>
      </c>
      <c r="H16" s="1">
        <f t="shared" si="0"/>
        <v>4800</v>
      </c>
    </row>
    <row r="17" spans="1:8" x14ac:dyDescent="0.25">
      <c r="A17" s="1" t="s">
        <v>14</v>
      </c>
      <c r="B17" s="9">
        <f>50*Feuil1!J16</f>
        <v>1150</v>
      </c>
      <c r="G17" s="1">
        <v>0</v>
      </c>
      <c r="H17" s="1"/>
    </row>
    <row r="18" spans="1:8" x14ac:dyDescent="0.25">
      <c r="A18" s="1" t="s">
        <v>15</v>
      </c>
      <c r="B18" s="9">
        <f>50*Feuil1!J17</f>
        <v>100</v>
      </c>
      <c r="G18" s="1">
        <f>Feuil1!B17</f>
        <v>0</v>
      </c>
      <c r="H18" s="1">
        <f t="shared" si="0"/>
        <v>-100</v>
      </c>
    </row>
  </sheetData>
  <mergeCells count="1">
    <mergeCell ref="G1:H1"/>
  </mergeCells>
  <pageMargins left="0.7" right="0.7" top="0.75" bottom="0.75" header="0.3" footer="0.3"/>
  <ignoredErrors>
    <ignoredError sqref="A17:A1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TOUSSAINT- NOVIANT, Manon (PTPGRANULA)</dc:creator>
  <cp:lastModifiedBy>BSA</cp:lastModifiedBy>
  <dcterms:created xsi:type="dcterms:W3CDTF">2023-11-16T06:58:56Z</dcterms:created>
  <dcterms:modified xsi:type="dcterms:W3CDTF">2023-11-21T16:37:30Z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2023-11-16T07:09:15Z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a6b9b008-1fbf-4f0e-833a-acf420bb8656</vt:lpwstr>
  </property>
  <property fmtid="{D5CDD505-2E9C-101B-9397-08002B2CF9AE}" pid="8" name="MSIP_Label_06b95ba9-d50e-4074-b623-0a9711dc916f_ContentBits">
    <vt:lpwstr>0</vt:lpwstr>
  </property>
</Properties>
</file>