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CF56736-8034-4690-82BC-C549F5E27004}" xr6:coauthVersionLast="47" xr6:coauthVersionMax="47" xr10:uidLastSave="{00000000-0000-0000-0000-000000000000}"/>
  <bookViews>
    <workbookView xWindow="-120" yWindow="-120" windowWidth="29040" windowHeight="15855" xr2:uid="{4F4E3B80-A50F-49ED-AE6B-23C8D753D063}"/>
  </bookViews>
  <sheets>
    <sheet name="Feuil1" sheetId="1" r:id="rId1"/>
  </sheets>
  <calcPr calcId="191029" iterate="1" iterateDelta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13" i="1" l="1"/>
  <c r="AI11" i="1"/>
  <c r="AI9" i="1"/>
  <c r="AI6" i="1"/>
  <c r="AI2" i="1"/>
  <c r="M14" i="1"/>
  <c r="AG13" i="1" s="1"/>
  <c r="M12" i="1"/>
  <c r="AD11" i="1" s="1"/>
  <c r="M10" i="1"/>
  <c r="T9" i="1" s="1"/>
  <c r="M7" i="1"/>
  <c r="AF6" i="1" s="1"/>
  <c r="M3" i="1"/>
  <c r="Q2" i="1" s="1"/>
  <c r="AD13" i="1"/>
  <c r="Z13" i="1"/>
  <c r="W13" i="1"/>
  <c r="V13" i="1"/>
  <c r="S13" i="1"/>
  <c r="R13" i="1"/>
  <c r="AF11" i="1"/>
  <c r="AE11" i="1"/>
  <c r="AB11" i="1"/>
  <c r="AA11" i="1"/>
  <c r="X11" i="1"/>
  <c r="W11" i="1"/>
  <c r="T11" i="1"/>
  <c r="S11" i="1"/>
  <c r="P11" i="1"/>
  <c r="R9" i="1"/>
  <c r="S9" i="1"/>
  <c r="V9" i="1"/>
  <c r="W9" i="1"/>
  <c r="Z9" i="1"/>
  <c r="AA9" i="1"/>
  <c r="AD9" i="1"/>
  <c r="AE9" i="1"/>
  <c r="P9" i="1"/>
  <c r="AG6" i="1"/>
  <c r="AC6" i="1"/>
  <c r="Y6" i="1"/>
  <c r="U6" i="1"/>
  <c r="Q6" i="1"/>
  <c r="P2" i="1"/>
  <c r="AE19" i="1"/>
  <c r="AD19" i="1" s="1"/>
  <c r="AC19" i="1" s="1"/>
  <c r="AB19" i="1" s="1"/>
  <c r="AA19" i="1" s="1"/>
  <c r="Z19" i="1" s="1"/>
  <c r="Y19" i="1" s="1"/>
  <c r="X19" i="1" s="1"/>
  <c r="W19" i="1" s="1"/>
  <c r="V19" i="1" s="1"/>
  <c r="U19" i="1" s="1"/>
  <c r="T19" i="1" s="1"/>
  <c r="S19" i="1" s="1"/>
  <c r="R19" i="1" s="1"/>
  <c r="Q19" i="1" s="1"/>
  <c r="AE20" i="1" s="1"/>
  <c r="U16" i="1"/>
  <c r="U17" i="1" s="1"/>
  <c r="I14" i="1"/>
  <c r="C14" i="1" a="1"/>
  <c r="C14" i="1" s="1"/>
  <c r="B14" i="1"/>
  <c r="I12" i="1"/>
  <c r="C12" i="1" a="1"/>
  <c r="C12" i="1" s="1"/>
  <c r="B12" i="1"/>
  <c r="I10" i="1"/>
  <c r="C10" i="1" a="1"/>
  <c r="C10" i="1" s="1"/>
  <c r="B10" i="1"/>
  <c r="I7" i="1"/>
  <c r="C7" i="1" a="1"/>
  <c r="C7" i="1" s="1"/>
  <c r="B7" i="1"/>
  <c r="I3" i="1"/>
  <c r="C3" i="1" a="1"/>
  <c r="C3" i="1" s="1"/>
  <c r="B3" i="1"/>
  <c r="AA13" i="1" l="1"/>
  <c r="P13" i="1"/>
  <c r="T13" i="1"/>
  <c r="X13" i="1"/>
  <c r="AB13" i="1"/>
  <c r="AF13" i="1"/>
  <c r="AE13" i="1"/>
  <c r="Q13" i="1"/>
  <c r="U13" i="1"/>
  <c r="Y13" i="1"/>
  <c r="AC13" i="1"/>
  <c r="Q11" i="1"/>
  <c r="U11" i="1"/>
  <c r="Y11" i="1"/>
  <c r="AC11" i="1"/>
  <c r="AG11" i="1"/>
  <c r="R11" i="1"/>
  <c r="V11" i="1"/>
  <c r="Z11" i="1"/>
  <c r="AG9" i="1"/>
  <c r="AC9" i="1"/>
  <c r="Y9" i="1"/>
  <c r="U9" i="1"/>
  <c r="Q9" i="1"/>
  <c r="AF9" i="1"/>
  <c r="AB9" i="1"/>
  <c r="X9" i="1"/>
  <c r="R6" i="1"/>
  <c r="V6" i="1"/>
  <c r="Z6" i="1"/>
  <c r="AD6" i="1"/>
  <c r="S6" i="1"/>
  <c r="W6" i="1"/>
  <c r="AA6" i="1"/>
  <c r="AE6" i="1"/>
  <c r="P6" i="1"/>
  <c r="T6" i="1"/>
  <c r="X6" i="1"/>
  <c r="AB6" i="1"/>
  <c r="AF2" i="1"/>
  <c r="AB2" i="1"/>
  <c r="X2" i="1"/>
  <c r="T2" i="1"/>
  <c r="AE2" i="1"/>
  <c r="AA2" i="1"/>
  <c r="W2" i="1"/>
  <c r="S2" i="1"/>
  <c r="AD2" i="1"/>
  <c r="Z2" i="1"/>
  <c r="V2" i="1"/>
  <c r="R2" i="1"/>
  <c r="AG2" i="1"/>
  <c r="AC2" i="1"/>
  <c r="Y2" i="1"/>
  <c r="U2" i="1"/>
  <c r="V20" i="1"/>
  <c r="U20" i="1"/>
  <c r="N7" i="1"/>
  <c r="N14" i="1"/>
  <c r="P14" i="1" s="1"/>
  <c r="N12" i="1"/>
  <c r="P12" i="1" s="1"/>
  <c r="N10" i="1"/>
  <c r="P10" i="1" s="1"/>
  <c r="N3" i="1"/>
  <c r="P3" i="1" s="1"/>
  <c r="S7" i="1" l="1"/>
  <c r="P7" i="1"/>
  <c r="AE3" i="1"/>
  <c r="AB3" i="1"/>
  <c r="AF3" i="1"/>
  <c r="AC3" i="1"/>
  <c r="AD3" i="1"/>
  <c r="R7" i="1"/>
  <c r="Z7" i="1"/>
  <c r="T7" i="1"/>
  <c r="U7" i="1"/>
  <c r="V7" i="1"/>
  <c r="W7" i="1"/>
  <c r="X7" i="1"/>
  <c r="Y7" i="1"/>
  <c r="AA7" i="1"/>
  <c r="Q7" i="1"/>
  <c r="Q10" i="1"/>
  <c r="R10" i="1"/>
  <c r="U10" i="1"/>
  <c r="V10" i="1"/>
  <c r="W10" i="1"/>
  <c r="Y10" i="1"/>
  <c r="AA10" i="1"/>
  <c r="S10" i="1"/>
  <c r="T10" i="1"/>
  <c r="X10" i="1"/>
  <c r="Z10" i="1"/>
  <c r="Q12" i="1"/>
  <c r="R12" i="1"/>
  <c r="S12" i="1"/>
  <c r="T12" i="1"/>
  <c r="AA12" i="1"/>
  <c r="V12" i="1"/>
  <c r="X12" i="1"/>
  <c r="Z12" i="1"/>
  <c r="U12" i="1"/>
  <c r="W12" i="1"/>
  <c r="Y12" i="1"/>
  <c r="Q3" i="1"/>
  <c r="R3" i="1"/>
  <c r="U3" i="1"/>
  <c r="V3" i="1"/>
  <c r="T16" i="1" s="1"/>
  <c r="W3" i="1"/>
  <c r="Y3" i="1"/>
  <c r="AA3" i="1"/>
  <c r="S3" i="1"/>
  <c r="T3" i="1"/>
  <c r="X3" i="1"/>
  <c r="Z3" i="1"/>
  <c r="Q14" i="1"/>
  <c r="R14" i="1"/>
  <c r="U14" i="1"/>
  <c r="V14" i="1"/>
  <c r="W14" i="1"/>
  <c r="X14" i="1"/>
  <c r="Z14" i="1"/>
  <c r="S14" i="1"/>
  <c r="T14" i="1"/>
  <c r="Y14" i="1"/>
  <c r="AA1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<sst xmlns="http://schemas.openxmlformats.org/spreadsheetml/2006/main" count="40" uniqueCount="32">
  <si>
    <t/>
  </si>
  <si>
    <t>Denom.</t>
  </si>
  <si>
    <t>Actif/Rebus</t>
  </si>
  <si>
    <t>Désignation</t>
  </si>
  <si>
    <t>N° Série / Modèle</t>
  </si>
  <si>
    <t>Fournisseur + N° Facture</t>
  </si>
  <si>
    <t>Date acq. M T</t>
  </si>
  <si>
    <t>En compta</t>
  </si>
  <si>
    <t>Amort</t>
  </si>
  <si>
    <t>Année Fin Amort.</t>
  </si>
  <si>
    <t>Assiette de calcul initiale</t>
  </si>
  <si>
    <t>REM 05</t>
  </si>
  <si>
    <t>ACTIF</t>
  </si>
  <si>
    <t>[EW-830-BX] REMORQUE LIDER 3M50</t>
  </si>
  <si>
    <t>VN52L1630J1000067</t>
  </si>
  <si>
    <t>DESTRIAN 2018/302999</t>
  </si>
  <si>
    <t>L</t>
  </si>
  <si>
    <t>REM 06</t>
  </si>
  <si>
    <t xml:space="preserve">[FA-961-PD] REMORQUE LIDER 3M50 </t>
  </si>
  <si>
    <t>VN52L1630J1000246</t>
  </si>
  <si>
    <t>DESTRIAN 2018/901867</t>
  </si>
  <si>
    <t>REM 07</t>
  </si>
  <si>
    <t>[FB-093-FX] REMORQUE LIDER 750KG  + REHAUSSE GRIL. (190,00€)</t>
  </si>
  <si>
    <t>VN51L2B23J1001231</t>
  </si>
  <si>
    <t>DESTRIAN 2018/1002638</t>
  </si>
  <si>
    <t>BEN 05</t>
  </si>
  <si>
    <t>[EV-324-LW] CAMION IVECO DAILY</t>
  </si>
  <si>
    <t>ZCFC635B40D6045529</t>
  </si>
  <si>
    <t>BEN 01</t>
  </si>
  <si>
    <t>[DJ-492-HG] CAMION IVECO DAILY</t>
  </si>
  <si>
    <t>ZCFC35A740D533467</t>
  </si>
  <si>
    <t xml:space="preserve">Vendu à GPDG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</si>
</sst>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000"/>
    <numFmt numFmtId="165" formatCode="yyyy"/>
    <numFmt numFmtId="166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9"/>
      <color theme="1"/>
      <name val="Arial"/>
      <family val="2"/>
    </font>
    <font>
      <sz val="10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4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44" fontId="4" fillId="0" borderId="0" xfId="2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0" xfId="0" applyFont="1"/>
    <xf numFmtId="14" fontId="3" fillId="0" borderId="0" xfId="0" applyNumberFormat="1" applyFont="1"/>
    <xf numFmtId="1" fontId="3" fillId="0" borderId="0" xfId="1" applyNumberFormat="1" applyFont="1"/>
    <xf numFmtId="44" fontId="4" fillId="0" borderId="0" xfId="2" applyFont="1"/>
    <xf numFmtId="0" fontId="3" fillId="0" borderId="0" xfId="0" applyFont="1" applyAlignment="1">
      <alignment horizontal="center"/>
    </xf>
    <xf numFmtId="1" fontId="3" fillId="0" borderId="0" xfId="0" applyNumberFormat="1" applyFont="1"/>
    <xf numFmtId="2" fontId="3" fillId="0" borderId="0" xfId="0" applyNumberFormat="1" applyFont="1"/>
    <xf numFmtId="44" fontId="4" fillId="0" borderId="0" xfId="2" applyFont="1" applyFill="1"/>
    <xf numFmtId="0" fontId="2" fillId="0" borderId="0" xfId="0" applyFont="1"/>
    <xf numFmtId="14" fontId="2" fillId="0" borderId="0" xfId="0" applyNumberFormat="1" applyFont="1"/>
    <xf numFmtId="2" fontId="3" fillId="0" borderId="0" xfId="0" applyNumberFormat="1" applyFont="1" applyAlignment="1">
      <alignment horizontal="left"/>
    </xf>
    <xf numFmtId="1" fontId="0" fillId="0" borderId="0" xfId="0" applyNumberFormat="1"/>
    <xf numFmtId="165" fontId="3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166" fontId="5" fillId="0" borderId="2" xfId="0" applyNumberFormat="1" applyFont="1" applyBorder="1" applyAlignment="1">
      <alignment horizontal="center" vertical="center"/>
    </xf>
    <xf numFmtId="44" fontId="4" fillId="0" borderId="2" xfId="2" applyFont="1" applyBorder="1"/>
    <xf numFmtId="44" fontId="4" fillId="0" borderId="3" xfId="2" applyFont="1" applyBorder="1"/>
    <xf numFmtId="2" fontId="6" fillId="0" borderId="0" xfId="0" applyNumberFormat="1" applyFont="1"/>
    <xf numFmtId="166" fontId="3" fillId="0" borderId="0" xfId="0" applyNumberFormat="1" applyFont="1"/>
    <xf numFmtId="10" fontId="3" fillId="0" borderId="0" xfId="0" applyNumberFormat="1" applyFont="1"/>
    <xf numFmtId="2" fontId="4" fillId="0" borderId="0" xfId="0" applyNumberFormat="1" applyFont="1" applyAlignment="1">
      <alignment horizontal="center" vertical="center" wrapText="1"/>
    </xf>
    <xf numFmtId="2" fontId="4" fillId="0" borderId="0" xfId="2" applyNumberFormat="1" applyFont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vertical="top" wrapText="1"/>
    </xf>
    <xf numFmtId="2" fontId="3" fillId="0" borderId="0" xfId="0" applyNumberFormat="1" applyFont="1" applyAlignment="1">
      <alignment horizontal="center" vertical="center" wrapText="1"/>
    </xf>
    <xf numFmtId="2" fontId="4" fillId="2" borderId="0" xfId="0" applyNumberFormat="1" applyFont="1" applyFill="1" applyAlignment="1">
      <alignment horizontal="center" vertical="center" wrapText="1"/>
    </xf>
    <xf numFmtId="2" fontId="4" fillId="3" borderId="0" xfId="0" applyNumberFormat="1" applyFont="1" applyFill="1" applyAlignment="1">
      <alignment horizontal="center" vertical="center" wrapText="1"/>
    </xf>
    <xf numFmtId="9" fontId="3" fillId="0" borderId="0" xfId="3" applyFont="1" applyAlignment="1">
      <alignment vertical="top" wrapText="1"/>
    </xf>
  </cellXfs>
  <cellStyles count="4">
    <cellStyle name="Komma" xfId="1" builtinId="3"/>
    <cellStyle name="Procent" xfId="3" builtinId="5"/>
    <cellStyle name="Standaard" xfId="0" builtinId="0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28576</xdr:colOff>
      <xdr:row>20</xdr:row>
      <xdr:rowOff>104776</xdr:rowOff>
    </xdr:from>
    <xdr:to>
      <xdr:col>21</xdr:col>
      <xdr:colOff>161926</xdr:colOff>
      <xdr:row>44</xdr:row>
      <xdr:rowOff>5784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82C497F-36BB-4ED9-AE2C-72D7A63C55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72301" y="3676651"/>
          <a:ext cx="5314950" cy="4387283"/>
        </a:xfrm>
        <a:prstGeom prst="rect">
          <a:avLst/>
        </a:prstGeom>
      </xdr:spPr>
    </xdr:pic>
    <xdr:clientData/>
  </xdr:twoCellAnchor>
  <xdr:twoCellAnchor>
    <xdr:from>
      <xdr:col>4</xdr:col>
      <xdr:colOff>38100</xdr:colOff>
      <xdr:row>24</xdr:row>
      <xdr:rowOff>161925</xdr:rowOff>
    </xdr:from>
    <xdr:to>
      <xdr:col>9</xdr:col>
      <xdr:colOff>238125</xdr:colOff>
      <xdr:row>31</xdr:row>
      <xdr:rowOff>95250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BD1B8049-065B-4933-A7F6-C3056E605FE0}"/>
            </a:ext>
          </a:extLst>
        </xdr:cNvPr>
        <xdr:cNvSpPr txBox="1">
          <a:spLocks noChangeArrowheads="1"/>
        </xdr:cNvSpPr>
      </xdr:nvSpPr>
      <xdr:spPr bwMode="auto">
        <a:xfrm>
          <a:off x="2143125" y="3276600"/>
          <a:ext cx="5353050" cy="1266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Apres amortissement comptable ou fin de leasinf, les bennes subissent une décote de 35% sur la valeur d'achat initiale, suivie de 5% par année.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Les VL + remorques subissent une décote de 50% sur la valeur initiale, suivie de 7% par année.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ea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Apres la période d'amortissement,  reprendre la même durée de période pour la décote,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081AB-152E-4472-AD78-4463D0C8EBE1}">
  <sheetPr codeName="Sheet1"/>
  <dimension ref="A1:AI47"/>
  <sheetViews>
    <sheetView tabSelected="1" workbookViewId="0">
      <selection activeCell="A20" sqref="A20"/>
    </sheetView>
  </sheetViews>
  <sheetFormatPr defaultColWidth="11.42578125" defaultRowHeight="15" x14ac:dyDescent="0.25"/>
  <cols>
    <col min="1" max="3" width="7.140625" customWidth="1"/>
    <col min="4" max="4" width="10.140625" customWidth="1"/>
    <col min="5" max="5" width="38.28515625" customWidth="1"/>
    <col min="6" max="6" width="19" hidden="1" customWidth="1"/>
    <col min="7" max="7" width="29.28515625" hidden="1" customWidth="1"/>
    <col min="9" max="9" width="11.42578125" style="18"/>
    <col min="11" max="11" width="1.7109375" bestFit="1" customWidth="1"/>
    <col min="12" max="12" width="5.85546875" bestFit="1" customWidth="1"/>
    <col min="13" max="13" width="5.85546875" customWidth="1"/>
    <col min="14" max="14" width="7.5703125" style="18" customWidth="1"/>
    <col min="15" max="15" width="14.7109375" customWidth="1"/>
    <col min="16" max="33" width="7" customWidth="1"/>
  </cols>
  <sheetData>
    <row r="1" spans="1:35" s="5" customFormat="1" ht="38.25" x14ac:dyDescent="0.25">
      <c r="A1" s="1" t="s">
        <v>1</v>
      </c>
      <c r="B1" s="1"/>
      <c r="C1" s="1"/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/>
      <c r="J1" s="3" t="s">
        <v>7</v>
      </c>
      <c r="K1" s="1" t="s">
        <v>0</v>
      </c>
      <c r="L1" s="1" t="s">
        <v>8</v>
      </c>
      <c r="M1" s="1"/>
      <c r="N1" s="2" t="s">
        <v>9</v>
      </c>
      <c r="O1" s="20" t="s">
        <v>10</v>
      </c>
      <c r="P1" s="4">
        <v>2034</v>
      </c>
      <c r="Q1" s="4">
        <v>2033</v>
      </c>
      <c r="R1" s="4">
        <v>2032</v>
      </c>
      <c r="S1" s="4">
        <v>2031</v>
      </c>
      <c r="T1" s="4">
        <v>2030</v>
      </c>
      <c r="U1" s="4">
        <v>2029</v>
      </c>
      <c r="V1" s="4">
        <v>2028</v>
      </c>
      <c r="W1" s="4">
        <v>2027</v>
      </c>
      <c r="X1" s="4">
        <v>2026</v>
      </c>
      <c r="Y1" s="4">
        <v>2025</v>
      </c>
      <c r="Z1" s="4">
        <v>2024</v>
      </c>
      <c r="AA1" s="4">
        <v>2023</v>
      </c>
      <c r="AB1" s="4">
        <v>2022</v>
      </c>
      <c r="AC1" s="4">
        <v>2021</v>
      </c>
      <c r="AD1" s="4">
        <v>2020</v>
      </c>
      <c r="AE1" s="4">
        <v>2019</v>
      </c>
      <c r="AF1" s="4">
        <v>2018</v>
      </c>
      <c r="AG1" s="4">
        <v>2017</v>
      </c>
      <c r="AH1" s="6"/>
      <c r="AI1" s="6"/>
    </row>
    <row r="2" spans="1:35" s="31" customFormat="1" ht="12.75" x14ac:dyDescent="0.25">
      <c r="A2" s="27"/>
      <c r="B2" s="27"/>
      <c r="C2" s="27"/>
      <c r="D2" s="27"/>
      <c r="E2" s="27"/>
      <c r="F2" s="27"/>
      <c r="G2" s="27"/>
      <c r="H2" s="27"/>
      <c r="I2" s="27"/>
      <c r="J2" s="28"/>
      <c r="K2" s="27"/>
      <c r="L2" s="27"/>
      <c r="M2" s="27"/>
      <c r="N2" s="27"/>
      <c r="O2" s="29"/>
      <c r="P2" s="32">
        <f>$O3/$M3/12*IF(OR(P$1&lt;$I3,P$1-$I3&gt;=$M3+5),0,IF(P$1-$I3&lt;$M3,1,POWER(0.93,P$1-$I3-$M3)/2))</f>
        <v>0</v>
      </c>
      <c r="Q2" s="32">
        <f t="shared" ref="Q2:AG2" si="0">$O3/$M3/12*IF(OR(Q$1&lt;$I3,Q$1-$I3&gt;=$M3+5),0,IF(Q$1-$I3&lt;$M3,1,POWER(0.93,Q$1-$I3-$M3)/2))</f>
        <v>0</v>
      </c>
      <c r="R2" s="32">
        <f t="shared" si="0"/>
        <v>7.5615590677500011</v>
      </c>
      <c r="S2" s="32">
        <f t="shared" si="0"/>
        <v>8.1307086750000011</v>
      </c>
      <c r="T2" s="32">
        <f t="shared" si="0"/>
        <v>8.7426975000000002</v>
      </c>
      <c r="U2" s="32">
        <f t="shared" si="0"/>
        <v>9.4007500000000004</v>
      </c>
      <c r="V2" s="32">
        <f t="shared" si="0"/>
        <v>10.108333333333333</v>
      </c>
      <c r="W2" s="32">
        <f t="shared" si="0"/>
        <v>20.216666666666665</v>
      </c>
      <c r="X2" s="32">
        <f t="shared" si="0"/>
        <v>20.216666666666665</v>
      </c>
      <c r="Y2" s="32">
        <f t="shared" si="0"/>
        <v>20.216666666666665</v>
      </c>
      <c r="Z2" s="32">
        <f t="shared" si="0"/>
        <v>20.216666666666665</v>
      </c>
      <c r="AA2" s="32">
        <f t="shared" si="0"/>
        <v>20.216666666666665</v>
      </c>
      <c r="AB2" s="32">
        <f t="shared" si="0"/>
        <v>20.216666666666665</v>
      </c>
      <c r="AC2" s="32">
        <f t="shared" si="0"/>
        <v>20.216666666666665</v>
      </c>
      <c r="AD2" s="32">
        <f t="shared" si="0"/>
        <v>20.216666666666665</v>
      </c>
      <c r="AE2" s="32">
        <f t="shared" si="0"/>
        <v>20.216666666666665</v>
      </c>
      <c r="AF2" s="32">
        <f t="shared" si="0"/>
        <v>20.216666666666665</v>
      </c>
      <c r="AG2" s="32">
        <f t="shared" si="0"/>
        <v>0</v>
      </c>
      <c r="AH2" s="30"/>
      <c r="AI2" s="34">
        <f>SUM(P2:AG2)*12/O3</f>
        <v>1.2173654505</v>
      </c>
    </row>
    <row r="3" spans="1:35" s="7" customFormat="1" ht="12.75" x14ac:dyDescent="0.2">
      <c r="A3" s="7" t="s">
        <v>11</v>
      </c>
      <c r="B3" s="7" t="str">
        <f>MID(A3,1,3)</f>
        <v>REM</v>
      </c>
      <c r="C3" s="7" cm="1">
        <f t="array" ref="C3">_xlfn.IFS(LEFT(A3)="B",1,LEFT(A3)="R",2,LEFT(A3)="T",2,LEFT(A3)="V",2,LEFT(A3)="","")</f>
        <v>2</v>
      </c>
      <c r="D3" s="7" t="s">
        <v>12</v>
      </c>
      <c r="E3" s="7" t="s">
        <v>13</v>
      </c>
      <c r="F3" s="7" t="s">
        <v>14</v>
      </c>
      <c r="G3" s="7" t="s">
        <v>15</v>
      </c>
      <c r="H3" s="8">
        <v>43185</v>
      </c>
      <c r="I3" s="9">
        <f>YEAR(H3)</f>
        <v>2018</v>
      </c>
      <c r="J3" s="10">
        <v>2426</v>
      </c>
      <c r="K3" s="11" t="s">
        <v>16</v>
      </c>
      <c r="L3" s="7">
        <v>10</v>
      </c>
      <c r="M3" s="7">
        <f>ROUND(100/L3,1)</f>
        <v>10</v>
      </c>
      <c r="N3" s="12">
        <f>I3+M3</f>
        <v>2028</v>
      </c>
      <c r="O3" s="21">
        <v>2426</v>
      </c>
      <c r="P3" s="13">
        <f t="shared" ref="P3:Z14" si="1">_xlfn.LET(_xlpm.x,IF(P$1&lt;=$N3,$J3/$M3,IF($C3=1,$J3*35%-(P$1-$N3)*5%*$J3,$J3*50%-(P$1-$N3)*7%*$J3)),IF(_xlpm.x&lt;0,0,_xlpm.x/12))</f>
        <v>16.173333333333328</v>
      </c>
      <c r="Q3" s="13">
        <f t="shared" si="1"/>
        <v>30.324999999999989</v>
      </c>
      <c r="R3" s="13">
        <f t="shared" si="1"/>
        <v>44.476666666666659</v>
      </c>
      <c r="S3" s="13">
        <f t="shared" si="1"/>
        <v>58.62833333333333</v>
      </c>
      <c r="T3" s="13">
        <f t="shared" si="1"/>
        <v>72.779999999999987</v>
      </c>
      <c r="U3" s="13">
        <f t="shared" si="1"/>
        <v>86.931666666666672</v>
      </c>
      <c r="V3" s="13">
        <f t="shared" si="1"/>
        <v>20.216666666666665</v>
      </c>
      <c r="W3" s="13">
        <f t="shared" si="1"/>
        <v>20.216666666666665</v>
      </c>
      <c r="X3" s="13">
        <f t="shared" si="1"/>
        <v>20.216666666666665</v>
      </c>
      <c r="Y3" s="13">
        <f t="shared" si="1"/>
        <v>20.216666666666665</v>
      </c>
      <c r="Z3" s="13">
        <f t="shared" si="1"/>
        <v>20.216666666666665</v>
      </c>
      <c r="AA3" s="13">
        <f t="shared" ref="AA3:AG14" si="2">_xlfn.LET(_xlpm.x,IF(AA$1&lt;=$N3,$J3/$M3,IF($C3=1,$J3*35%-(AA$1-$N3)*5%*$J3,$J3*50%-(AA$1-$N3)*7%*$J3)),IF(_xlpm.x&lt;0,0,_xlpm.x/12))</f>
        <v>20.216666666666665</v>
      </c>
      <c r="AB3" s="13">
        <f t="shared" si="2"/>
        <v>20.216666666666665</v>
      </c>
      <c r="AC3" s="13">
        <f t="shared" si="2"/>
        <v>20.216666666666665</v>
      </c>
      <c r="AD3" s="13">
        <f t="shared" si="2"/>
        <v>20.216666666666665</v>
      </c>
      <c r="AE3" s="13">
        <f t="shared" si="2"/>
        <v>20.216666666666665</v>
      </c>
      <c r="AF3" s="13">
        <f t="shared" si="2"/>
        <v>20.216666666666665</v>
      </c>
      <c r="AG3" s="13"/>
      <c r="AH3" s="6"/>
      <c r="AI3" s="6"/>
    </row>
    <row r="4" spans="1:35" s="7" customFormat="1" ht="12.75" x14ac:dyDescent="0.2">
      <c r="H4" s="8"/>
      <c r="I4" s="9"/>
      <c r="J4" s="10"/>
      <c r="K4" s="11"/>
      <c r="N4" s="12"/>
      <c r="O4" s="21"/>
      <c r="P4" s="24">
        <v>6.56</v>
      </c>
      <c r="Q4" s="24">
        <v>7.56</v>
      </c>
      <c r="R4" s="24">
        <v>8.1300000000000008</v>
      </c>
      <c r="S4" s="24">
        <v>8.74</v>
      </c>
      <c r="T4" s="24">
        <v>9.4</v>
      </c>
      <c r="U4" s="24">
        <v>10.11</v>
      </c>
      <c r="V4" s="24">
        <v>20.22</v>
      </c>
      <c r="W4" s="24">
        <v>20.22</v>
      </c>
      <c r="X4" s="24">
        <v>20.22</v>
      </c>
      <c r="Y4" s="24">
        <v>20.22</v>
      </c>
      <c r="Z4" s="24">
        <v>20.22</v>
      </c>
      <c r="AA4" s="24">
        <v>20.22</v>
      </c>
      <c r="AB4" s="24">
        <v>20.22</v>
      </c>
      <c r="AC4" s="24">
        <v>20.22</v>
      </c>
      <c r="AD4" s="24">
        <v>20.22</v>
      </c>
      <c r="AE4" s="24">
        <v>20.22</v>
      </c>
      <c r="AF4" s="24">
        <v>20.22</v>
      </c>
      <c r="AG4" s="24"/>
      <c r="AH4" s="6"/>
      <c r="AI4" s="6"/>
    </row>
    <row r="5" spans="1:35" s="7" customFormat="1" ht="12.75" x14ac:dyDescent="0.2">
      <c r="H5" s="8"/>
      <c r="I5" s="9"/>
      <c r="J5" s="10"/>
      <c r="K5" s="11"/>
      <c r="N5" s="12"/>
      <c r="O5" s="21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6"/>
      <c r="AI5" s="6"/>
    </row>
    <row r="6" spans="1:35" s="7" customFormat="1" ht="12.75" x14ac:dyDescent="0.2">
      <c r="H6" s="8"/>
      <c r="I6" s="9"/>
      <c r="J6" s="10"/>
      <c r="K6" s="11"/>
      <c r="N6" s="12"/>
      <c r="O6" s="21"/>
      <c r="P6" s="32">
        <f>$O7/$M7/12*IF(OR(P$1&lt;$I7,P$1-$I7&gt;=$M7+5),0,IF(P$1-$I7&lt;$M7,1,POWER(0.93,P$1-$I7-$M7)/2))</f>
        <v>0</v>
      </c>
      <c r="Q6" s="32">
        <f t="shared" ref="Q6" si="3">$O7/$M7/12*IF(OR(Q$1&lt;$I7,Q$1-$I7&gt;=$M7+5),0,IF(Q$1-$I7&lt;$M7,1,POWER(0.93,Q$1-$I7-$M7)/2))</f>
        <v>0</v>
      </c>
      <c r="R6" s="32">
        <f t="shared" ref="R6" si="4">$O7/$M7/12*IF(OR(R$1&lt;$I7,R$1-$I7&gt;=$M7+5),0,IF(R$1-$I7&lt;$M7,1,POWER(0.93,R$1-$I7-$M7)/2))</f>
        <v>0</v>
      </c>
      <c r="S6" s="32">
        <f t="shared" ref="S6" si="5">$O7/$M7/12*IF(OR(S$1&lt;$I7,S$1-$I7&gt;=$M7+5),0,IF(S$1-$I7&lt;$M7,1,POWER(0.93,S$1-$I7-$M7)/2))</f>
        <v>0</v>
      </c>
      <c r="T6" s="32">
        <f t="shared" ref="T6" si="6">$O7/$M7/12*IF(OR(T$1&lt;$I7,T$1-$I7&gt;=$M7+5),0,IF(T$1-$I7&lt;$M7,1,POWER(0.93,T$1-$I7-$M7)/2))</f>
        <v>0</v>
      </c>
      <c r="U6" s="32">
        <f t="shared" ref="U6" si="7">$O7/$M7/12*IF(OR(U$1&lt;$I7,U$1-$I7&gt;=$M7+5),0,IF(U$1-$I7&lt;$M7,1,POWER(0.93,U$1-$I7-$M7)/2))</f>
        <v>0</v>
      </c>
      <c r="V6" s="32">
        <f t="shared" ref="V6" si="8">$O7/$M7/12*IF(OR(V$1&lt;$I7,V$1-$I7&gt;=$M7+5),0,IF(V$1-$I7&lt;$M7,1,POWER(0.93,V$1-$I7-$M7)/2))</f>
        <v>0</v>
      </c>
      <c r="W6" s="32">
        <f t="shared" ref="W6" si="9">$O7/$M7/12*IF(OR(W$1&lt;$I7,W$1-$I7&gt;=$M7+5),0,IF(W$1-$I7&lt;$M7,1,POWER(0.93,W$1-$I7-$M7)/2))</f>
        <v>14.961040200000005</v>
      </c>
      <c r="X6" s="32">
        <f t="shared" ref="X6" si="10">$O7/$M7/12*IF(OR(X$1&lt;$I7,X$1-$I7&gt;=$M7+5),0,IF(X$1-$I7&lt;$M7,1,POWER(0.93,X$1-$I7-$M7)/2))</f>
        <v>16.087140000000002</v>
      </c>
      <c r="Y6" s="32">
        <f t="shared" ref="Y6" si="11">$O7/$M7/12*IF(OR(Y$1&lt;$I7,Y$1-$I7&gt;=$M7+5),0,IF(Y$1-$I7&lt;$M7,1,POWER(0.93,Y$1-$I7-$M7)/2))</f>
        <v>17.298000000000002</v>
      </c>
      <c r="Z6" s="32">
        <f t="shared" ref="Z6" si="12">$O7/$M7/12*IF(OR(Z$1&lt;$I7,Z$1-$I7&gt;=$M7+5),0,IF(Z$1-$I7&lt;$M7,1,POWER(0.93,Z$1-$I7-$M7)/2))</f>
        <v>18.600000000000001</v>
      </c>
      <c r="AA6" s="32">
        <f t="shared" ref="AA6" si="13">$O7/$M7/12*IF(OR(AA$1&lt;$I7,AA$1-$I7&gt;=$M7+5),0,IF(AA$1-$I7&lt;$M7,1,POWER(0.93,AA$1-$I7-$M7)/2))</f>
        <v>20</v>
      </c>
      <c r="AB6" s="32">
        <f t="shared" ref="AB6" si="14">$O7/$M7/12*IF(OR(AB$1&lt;$I7,AB$1-$I7&gt;=$M7+5),0,IF(AB$1-$I7&lt;$M7,1,POWER(0.93,AB$1-$I7-$M7)/2))</f>
        <v>40</v>
      </c>
      <c r="AC6" s="32">
        <f t="shared" ref="AC6" si="15">$O7/$M7/12*IF(OR(AC$1&lt;$I7,AC$1-$I7&gt;=$M7+5),0,IF(AC$1-$I7&lt;$M7,1,POWER(0.93,AC$1-$I7-$M7)/2))</f>
        <v>40</v>
      </c>
      <c r="AD6" s="32">
        <f t="shared" ref="AD6" si="16">$O7/$M7/12*IF(OR(AD$1&lt;$I7,AD$1-$I7&gt;=$M7+5),0,IF(AD$1-$I7&lt;$M7,1,POWER(0.93,AD$1-$I7-$M7)/2))</f>
        <v>40</v>
      </c>
      <c r="AE6" s="32">
        <f t="shared" ref="AE6" si="17">$O7/$M7/12*IF(OR(AE$1&lt;$I7,AE$1-$I7&gt;=$M7+5),0,IF(AE$1-$I7&lt;$M7,1,POWER(0.93,AE$1-$I7-$M7)/2))</f>
        <v>40</v>
      </c>
      <c r="AF6" s="32">
        <f t="shared" ref="AF6" si="18">$O7/$M7/12*IF(OR(AF$1&lt;$I7,AF$1-$I7&gt;=$M7+5),0,IF(AF$1-$I7&lt;$M7,1,POWER(0.93,AF$1-$I7-$M7)/2))</f>
        <v>40</v>
      </c>
      <c r="AG6" s="32">
        <f t="shared" ref="AG6" si="19">$O7/$M7/12*IF(OR(AG$1&lt;$I7,AG$1-$I7&gt;=$M7+5),0,IF(AG$1-$I7&lt;$M7,1,POWER(0.93,AG$1-$I7-$M7)/2))</f>
        <v>0</v>
      </c>
      <c r="AH6" s="6"/>
      <c r="AI6" s="34">
        <f>SUM(P6:AG6)*12/O7</f>
        <v>1.434730901</v>
      </c>
    </row>
    <row r="7" spans="1:35" s="7" customFormat="1" ht="12.75" x14ac:dyDescent="0.2">
      <c r="A7" s="7" t="s">
        <v>17</v>
      </c>
      <c r="B7" s="7" t="str">
        <f t="shared" ref="B7:B14" si="20">MID(A7,1,3)</f>
        <v>REM</v>
      </c>
      <c r="C7" s="7" cm="1">
        <f t="array" ref="C7">_xlfn.IFS(LEFT(A7)="B",1,LEFT(A7)="R",2,LEFT(A7)="T",2,LEFT(A7)="V",2,LEFT(A7)="","")</f>
        <v>2</v>
      </c>
      <c r="D7" s="7" t="s">
        <v>12</v>
      </c>
      <c r="E7" s="7" t="s">
        <v>18</v>
      </c>
      <c r="F7" s="7" t="s">
        <v>19</v>
      </c>
      <c r="G7" s="7" t="s">
        <v>20</v>
      </c>
      <c r="H7" s="8">
        <v>43368</v>
      </c>
      <c r="I7" s="9">
        <f t="shared" ref="I7:I14" si="21">YEAR(H7)</f>
        <v>2018</v>
      </c>
      <c r="J7" s="10">
        <v>2400</v>
      </c>
      <c r="K7" s="11" t="s">
        <v>16</v>
      </c>
      <c r="L7" s="13">
        <v>20</v>
      </c>
      <c r="M7" s="7">
        <f>ROUND(100/L7,1)</f>
        <v>5</v>
      </c>
      <c r="N7" s="12">
        <f t="shared" ref="N7:N14" si="22">I7+M7</f>
        <v>2023</v>
      </c>
      <c r="O7" s="21">
        <v>2400</v>
      </c>
      <c r="P7" s="13">
        <f t="shared" si="1"/>
        <v>0</v>
      </c>
      <c r="Q7" s="13">
        <f t="shared" si="1"/>
        <v>0</v>
      </c>
      <c r="R7" s="13">
        <f t="shared" si="1"/>
        <v>0</v>
      </c>
      <c r="S7" s="13">
        <f t="shared" si="1"/>
        <v>0</v>
      </c>
      <c r="T7" s="13">
        <f t="shared" si="1"/>
        <v>2</v>
      </c>
      <c r="U7" s="13">
        <f t="shared" si="1"/>
        <v>15.999999999999991</v>
      </c>
      <c r="V7" s="13">
        <f t="shared" si="1"/>
        <v>29.999999999999989</v>
      </c>
      <c r="W7" s="13">
        <f t="shared" si="1"/>
        <v>43.999999999999993</v>
      </c>
      <c r="X7" s="13">
        <f t="shared" si="1"/>
        <v>58</v>
      </c>
      <c r="Y7" s="13">
        <f t="shared" si="1"/>
        <v>72</v>
      </c>
      <c r="Z7" s="13">
        <f t="shared" si="1"/>
        <v>86</v>
      </c>
      <c r="AA7" s="13">
        <f t="shared" si="2"/>
        <v>40</v>
      </c>
      <c r="AC7" s="6"/>
      <c r="AD7" s="6"/>
      <c r="AE7" s="6"/>
      <c r="AF7" s="6"/>
      <c r="AG7" s="6"/>
      <c r="AH7" s="6"/>
      <c r="AI7" s="6"/>
    </row>
    <row r="8" spans="1:35" s="7" customFormat="1" ht="12.75" x14ac:dyDescent="0.2">
      <c r="H8" s="8"/>
      <c r="I8" s="9"/>
      <c r="J8" s="10"/>
      <c r="K8" s="11"/>
      <c r="L8" s="13"/>
      <c r="N8" s="12"/>
      <c r="O8" s="21"/>
      <c r="P8" s="24">
        <v>18.36</v>
      </c>
      <c r="Q8" s="24">
        <v>19.36</v>
      </c>
      <c r="R8" s="24">
        <v>20.82</v>
      </c>
      <c r="S8" s="24">
        <v>22.38</v>
      </c>
      <c r="T8" s="24">
        <v>24.07</v>
      </c>
      <c r="U8" s="24">
        <v>25.88</v>
      </c>
      <c r="V8" s="24">
        <v>27.83</v>
      </c>
      <c r="W8" s="24">
        <v>29.92</v>
      </c>
      <c r="X8" s="24">
        <v>32.17</v>
      </c>
      <c r="Y8" s="24">
        <v>34.6</v>
      </c>
      <c r="Z8" s="24">
        <v>37.200000000000003</v>
      </c>
      <c r="AA8" s="24">
        <v>40</v>
      </c>
      <c r="AC8" s="6"/>
      <c r="AD8" s="6"/>
      <c r="AE8" s="6"/>
      <c r="AF8" s="6"/>
      <c r="AG8" s="6"/>
      <c r="AH8" s="6"/>
      <c r="AI8" s="6"/>
    </row>
    <row r="9" spans="1:35" s="7" customFormat="1" ht="12.75" x14ac:dyDescent="0.2">
      <c r="H9" s="8"/>
      <c r="I9" s="9"/>
      <c r="J9" s="10"/>
      <c r="K9" s="11"/>
      <c r="L9" s="13"/>
      <c r="N9" s="12"/>
      <c r="O9" s="21"/>
      <c r="P9" s="32">
        <f>$O10/$M10/12*IF(OR(P$1&lt;$I10,P$1-$I10&gt;=$M10+5),0,IF(P$1-$I10&lt;$M10,1,POWER(0.93,P$1-$I10-$M10)/2))</f>
        <v>0</v>
      </c>
      <c r="Q9" s="32">
        <f t="shared" ref="Q9:AG9" si="23">$O10/$M10/12*IF(OR(Q$1&lt;$I10,Q$1-$I10&gt;=$M10+5),0,IF(Q$1-$I10&lt;$M10,1,POWER(0.93,Q$1-$I10-$M10)/2))</f>
        <v>0</v>
      </c>
      <c r="R9" s="32">
        <f t="shared" si="23"/>
        <v>0</v>
      </c>
      <c r="S9" s="32">
        <f t="shared" si="23"/>
        <v>0</v>
      </c>
      <c r="T9" s="32">
        <f t="shared" si="23"/>
        <v>0</v>
      </c>
      <c r="U9" s="32">
        <f t="shared" si="23"/>
        <v>0</v>
      </c>
      <c r="V9" s="32">
        <f t="shared" si="23"/>
        <v>0</v>
      </c>
      <c r="W9" s="32">
        <f t="shared" si="23"/>
        <v>0</v>
      </c>
      <c r="X9" s="32">
        <f t="shared" si="23"/>
        <v>0</v>
      </c>
      <c r="Y9" s="32">
        <f t="shared" si="23"/>
        <v>9.0909098437500031</v>
      </c>
      <c r="Z9" s="32">
        <f t="shared" si="23"/>
        <v>9.7751718750000016</v>
      </c>
      <c r="AA9" s="32">
        <f t="shared" si="23"/>
        <v>10.510937500000002</v>
      </c>
      <c r="AB9" s="32">
        <f t="shared" si="23"/>
        <v>11.302083333333334</v>
      </c>
      <c r="AC9" s="33">
        <f t="shared" si="23"/>
        <v>12.152777777777779</v>
      </c>
      <c r="AD9" s="32">
        <f t="shared" si="23"/>
        <v>24.305555555555557</v>
      </c>
      <c r="AE9" s="32">
        <f t="shared" si="23"/>
        <v>24.305555555555557</v>
      </c>
      <c r="AF9" s="32">
        <f t="shared" si="23"/>
        <v>24.305555555555557</v>
      </c>
      <c r="AG9" s="32">
        <f t="shared" si="23"/>
        <v>0</v>
      </c>
      <c r="AH9" s="6"/>
      <c r="AI9" s="34">
        <f>SUM(P9:AG9)*12/O10</f>
        <v>1.7245515016666668</v>
      </c>
    </row>
    <row r="10" spans="1:35" s="7" customFormat="1" ht="12.75" x14ac:dyDescent="0.2">
      <c r="A10" s="7" t="s">
        <v>21</v>
      </c>
      <c r="B10" s="7" t="str">
        <f t="shared" si="20"/>
        <v>REM</v>
      </c>
      <c r="C10" s="7" cm="1">
        <f t="array" ref="C10">_xlfn.IFS(LEFT(A10)="B",1,LEFT(A10)="R",2,LEFT(A10)="T",2,LEFT(A10)="V",2,LEFT(A10)="","")</f>
        <v>2</v>
      </c>
      <c r="D10" s="7" t="s">
        <v>12</v>
      </c>
      <c r="E10" s="7" t="s">
        <v>22</v>
      </c>
      <c r="F10" s="7" t="s">
        <v>23</v>
      </c>
      <c r="G10" s="7" t="s">
        <v>24</v>
      </c>
      <c r="H10" s="8">
        <v>43397</v>
      </c>
      <c r="I10" s="9">
        <f t="shared" si="21"/>
        <v>2018</v>
      </c>
      <c r="J10" s="10">
        <v>685</v>
      </c>
      <c r="K10" s="11" t="s">
        <v>16</v>
      </c>
      <c r="L10" s="7">
        <v>33.33</v>
      </c>
      <c r="M10" s="7">
        <f>ROUND(100/L10,1)</f>
        <v>3</v>
      </c>
      <c r="N10" s="12">
        <f t="shared" si="22"/>
        <v>2021</v>
      </c>
      <c r="O10" s="21">
        <v>875</v>
      </c>
      <c r="P10" s="13">
        <f t="shared" si="1"/>
        <v>0</v>
      </c>
      <c r="Q10" s="13">
        <f t="shared" si="1"/>
        <v>0</v>
      </c>
      <c r="R10" s="13">
        <f t="shared" si="1"/>
        <v>0</v>
      </c>
      <c r="S10" s="13">
        <f t="shared" si="1"/>
        <v>0</v>
      </c>
      <c r="T10" s="13">
        <f t="shared" si="1"/>
        <v>0</v>
      </c>
      <c r="U10" s="13">
        <f t="shared" si="1"/>
        <v>0</v>
      </c>
      <c r="V10" s="13">
        <f t="shared" si="1"/>
        <v>0.57083333333333053</v>
      </c>
      <c r="W10" s="13">
        <f t="shared" si="1"/>
        <v>4.5666666666666629</v>
      </c>
      <c r="X10" s="13">
        <f t="shared" si="1"/>
        <v>8.5624999999999982</v>
      </c>
      <c r="Y10" s="13">
        <f t="shared" si="1"/>
        <v>12.558333333333332</v>
      </c>
      <c r="Z10" s="13">
        <f t="shared" si="1"/>
        <v>16.554166666666664</v>
      </c>
      <c r="AA10" s="13">
        <f t="shared" si="2"/>
        <v>20.55</v>
      </c>
      <c r="AC10" s="6"/>
      <c r="AD10" s="6"/>
      <c r="AE10" s="6"/>
      <c r="AF10" s="6"/>
      <c r="AG10" s="6"/>
      <c r="AH10" s="6"/>
      <c r="AI10" s="6"/>
    </row>
    <row r="11" spans="1:35" s="7" customFormat="1" ht="12.75" x14ac:dyDescent="0.2">
      <c r="H11" s="8"/>
      <c r="I11" s="9"/>
      <c r="J11" s="10"/>
      <c r="K11" s="11"/>
      <c r="N11" s="12"/>
      <c r="O11" s="22"/>
      <c r="P11" s="32">
        <f>$O12/$M12/12*IF(OR(P$1&lt;$I12,P$1-$I12&gt;=$M12+5),0,IF(P$1-$I12&lt;$M12,1,POWER(0.93,P$1-$I12-$M12)/2))</f>
        <v>0</v>
      </c>
      <c r="Q11" s="32">
        <f t="shared" ref="Q11" si="24">$O12/$M12/12*IF(OR(Q$1&lt;$I12,Q$1-$I12&gt;=$M12+5),0,IF(Q$1-$I12&lt;$M12,1,POWER(0.93,Q$1-$I12-$M12)/2))</f>
        <v>0</v>
      </c>
      <c r="R11" s="32">
        <f t="shared" ref="R11" si="25">$O12/$M12/12*IF(OR(R$1&lt;$I12,R$1-$I12&gt;=$M12+5),0,IF(R$1-$I12&lt;$M12,1,POWER(0.93,R$1-$I12-$M12)/2))</f>
        <v>0</v>
      </c>
      <c r="S11" s="32">
        <f t="shared" ref="S11" si="26">$O12/$M12/12*IF(OR(S$1&lt;$I12,S$1-$I12&gt;=$M12+5),0,IF(S$1-$I12&lt;$M12,1,POWER(0.93,S$1-$I12-$M12)/2))</f>
        <v>0</v>
      </c>
      <c r="T11" s="32">
        <f t="shared" ref="T11" si="27">$O12/$M12/12*IF(OR(T$1&lt;$I12,T$1-$I12&gt;=$M12+5),0,IF(T$1-$I12&lt;$M12,1,POWER(0.93,T$1-$I12-$M12)/2))</f>
        <v>0</v>
      </c>
      <c r="U11" s="32">
        <f t="shared" ref="U11" si="28">$O12/$M12/12*IF(OR(U$1&lt;$I12,U$1-$I12&gt;=$M12+5),0,IF(U$1-$I12&lt;$M12,1,POWER(0.93,U$1-$I12-$M12)/2))</f>
        <v>0</v>
      </c>
      <c r="V11" s="32">
        <f t="shared" ref="V11" si="29">$O12/$M12/12*IF(OR(V$1&lt;$I12,V$1-$I12&gt;=$M12+5),0,IF(V$1-$I12&lt;$M12,1,POWER(0.93,V$1-$I12-$M12)/2))</f>
        <v>148.05196031250003</v>
      </c>
      <c r="W11" s="32">
        <f t="shared" ref="W11" si="30">$O12/$M12/12*IF(OR(W$1&lt;$I12,W$1-$I12&gt;=$M12+5),0,IF(W$1-$I12&lt;$M12,1,POWER(0.93,W$1-$I12-$M12)/2))</f>
        <v>159.19565625000001</v>
      </c>
      <c r="X11" s="32">
        <f t="shared" ref="X11" si="31">$O12/$M12/12*IF(OR(X$1&lt;$I12,X$1-$I12&gt;=$M12+5),0,IF(X$1-$I12&lt;$M12,1,POWER(0.93,X$1-$I12-$M12)/2))</f>
        <v>171.17812500000002</v>
      </c>
      <c r="Y11" s="32">
        <f t="shared" ref="Y11" si="32">$O12/$M12/12*IF(OR(Y$1&lt;$I12,Y$1-$I12&gt;=$M12+5),0,IF(Y$1-$I12&lt;$M12,1,POWER(0.93,Y$1-$I12-$M12)/2))</f>
        <v>184.0625</v>
      </c>
      <c r="Z11" s="32">
        <f t="shared" ref="Z11" si="33">$O12/$M12/12*IF(OR(Z$1&lt;$I12,Z$1-$I12&gt;=$M12+5),0,IF(Z$1-$I12&lt;$M12,1,POWER(0.93,Z$1-$I12-$M12)/2))</f>
        <v>197.91666666666666</v>
      </c>
      <c r="AA11" s="32">
        <f t="shared" ref="AA11" si="34">$O12/$M12/12*IF(OR(AA$1&lt;$I12,AA$1-$I12&gt;=$M12+5),0,IF(AA$1-$I12&lt;$M12,1,POWER(0.93,AA$1-$I12-$M12)/2))</f>
        <v>395.83333333333331</v>
      </c>
      <c r="AB11" s="32">
        <f t="shared" ref="AB11" si="35">$O12/$M12/12*IF(OR(AB$1&lt;$I12,AB$1-$I12&gt;=$M12+5),0,IF(AB$1-$I12&lt;$M12,1,POWER(0.93,AB$1-$I12-$M12)/2))</f>
        <v>395.83333333333331</v>
      </c>
      <c r="AC11" s="32">
        <f t="shared" ref="AC11" si="36">$O12/$M12/12*IF(OR(AC$1&lt;$I12,AC$1-$I12&gt;=$M12+5),0,IF(AC$1-$I12&lt;$M12,1,POWER(0.93,AC$1-$I12-$M12)/2))</f>
        <v>395.83333333333331</v>
      </c>
      <c r="AD11" s="32">
        <f t="shared" ref="AD11" si="37">$O12/$M12/12*IF(OR(AD$1&lt;$I12,AD$1-$I12&gt;=$M12+5),0,IF(AD$1-$I12&lt;$M12,1,POWER(0.93,AD$1-$I12-$M12)/2))</f>
        <v>395.83333333333331</v>
      </c>
      <c r="AE11" s="32">
        <f t="shared" ref="AE11" si="38">$O12/$M12/12*IF(OR(AE$1&lt;$I12,AE$1-$I12&gt;=$M12+5),0,IF(AE$1-$I12&lt;$M12,1,POWER(0.93,AE$1-$I12-$M12)/2))</f>
        <v>395.83333333333331</v>
      </c>
      <c r="AF11" s="32">
        <f t="shared" ref="AF11" si="39">$O12/$M12/12*IF(OR(AF$1&lt;$I12,AF$1-$I12&gt;=$M12+5),0,IF(AF$1-$I12&lt;$M12,1,POWER(0.93,AF$1-$I12-$M12)/2))</f>
        <v>0</v>
      </c>
      <c r="AG11" s="32">
        <f t="shared" ref="AG11" si="40">$O12/$M12/12*IF(OR(AG$1&lt;$I12,AG$1-$I12&gt;=$M12+5),0,IF(AG$1-$I12&lt;$M12,1,POWER(0.93,AG$1-$I12-$M12)/2))</f>
        <v>0</v>
      </c>
      <c r="AH11" s="6"/>
      <c r="AI11" s="34">
        <f>SUM(P11:AG11)*12/O12</f>
        <v>1.4347309009999998</v>
      </c>
    </row>
    <row r="12" spans="1:35" s="7" customFormat="1" ht="12.75" x14ac:dyDescent="0.2">
      <c r="A12" s="7" t="s">
        <v>25</v>
      </c>
      <c r="B12" s="7" t="str">
        <f t="shared" si="20"/>
        <v>BEN</v>
      </c>
      <c r="C12" s="7" cm="1">
        <f t="array" ref="C12">_xlfn.IFS(LEFT(A12)="B",1,LEFT(A12)="R",2,LEFT(A12)="T",2,LEFT(A12)="V",2,LEFT(A12)="","")</f>
        <v>1</v>
      </c>
      <c r="D12" s="7" t="s">
        <v>12</v>
      </c>
      <c r="E12" s="7" t="s">
        <v>26</v>
      </c>
      <c r="F12" s="7" t="s">
        <v>27</v>
      </c>
      <c r="H12" s="8">
        <v>43725</v>
      </c>
      <c r="I12" s="9">
        <f t="shared" si="21"/>
        <v>2019</v>
      </c>
      <c r="J12" s="10">
        <v>23750</v>
      </c>
      <c r="K12" s="11" t="s">
        <v>16</v>
      </c>
      <c r="L12" s="7">
        <v>20</v>
      </c>
      <c r="M12" s="7">
        <f>ROUND(100/L12,1)</f>
        <v>5</v>
      </c>
      <c r="N12" s="12">
        <f t="shared" si="22"/>
        <v>2024</v>
      </c>
      <c r="O12" s="22">
        <v>23750</v>
      </c>
      <c r="P12" s="13">
        <f t="shared" si="1"/>
        <v>0</v>
      </c>
      <c r="Q12" s="13">
        <f t="shared" si="1"/>
        <v>0</v>
      </c>
      <c r="R12" s="13">
        <f t="shared" si="1"/>
        <v>0</v>
      </c>
      <c r="S12" s="13">
        <f t="shared" si="1"/>
        <v>0</v>
      </c>
      <c r="T12" s="13">
        <f t="shared" si="1"/>
        <v>98.958333333333258</v>
      </c>
      <c r="U12" s="13">
        <f t="shared" si="1"/>
        <v>197.91666666666666</v>
      </c>
      <c r="V12" s="13">
        <f t="shared" si="1"/>
        <v>296.875</v>
      </c>
      <c r="W12" s="13">
        <f t="shared" si="1"/>
        <v>395.83333333333331</v>
      </c>
      <c r="X12" s="13">
        <f t="shared" si="1"/>
        <v>494.79166666666669</v>
      </c>
      <c r="Y12" s="13">
        <f t="shared" si="1"/>
        <v>593.75</v>
      </c>
      <c r="Z12" s="13">
        <f t="shared" si="1"/>
        <v>395.83333333333331</v>
      </c>
      <c r="AA12" s="13">
        <f t="shared" si="2"/>
        <v>395.83333333333331</v>
      </c>
      <c r="AC12" s="6"/>
      <c r="AD12" s="6"/>
      <c r="AE12" s="6"/>
      <c r="AF12" s="6"/>
      <c r="AG12" s="6"/>
      <c r="AH12" s="6"/>
      <c r="AI12" s="6"/>
    </row>
    <row r="13" spans="1:35" s="7" customFormat="1" ht="12.75" x14ac:dyDescent="0.2">
      <c r="H13" s="8"/>
      <c r="I13" s="9"/>
      <c r="J13" s="10"/>
      <c r="K13" s="11"/>
      <c r="N13" s="12"/>
      <c r="O13" s="22"/>
      <c r="P13" s="32">
        <f>$O14/$M14/12*IF(OR(P$1&lt;$I14,P$1-$I14&gt;=$M14+5),0,IF(P$1-$I14&lt;$M14,1,POWER(0.93,P$1-$I14-$M14)/2))</f>
        <v>0</v>
      </c>
      <c r="Q13" s="32">
        <f t="shared" ref="Q13" si="41">$O14/$M14/12*IF(OR(Q$1&lt;$I14,Q$1-$I14&gt;=$M14+5),0,IF(Q$1-$I14&lt;$M14,1,POWER(0.93,Q$1-$I14-$M14)/2))</f>
        <v>0</v>
      </c>
      <c r="R13" s="32">
        <f t="shared" ref="R13" si="42">$O14/$M14/12*IF(OR(R$1&lt;$I14,R$1-$I14&gt;=$M14+5),0,IF(R$1-$I14&lt;$M14,1,POWER(0.93,R$1-$I14-$M14)/2))</f>
        <v>0</v>
      </c>
      <c r="S13" s="32">
        <f t="shared" ref="S13" si="43">$O14/$M14/12*IF(OR(S$1&lt;$I14,S$1-$I14&gt;=$M14+5),0,IF(S$1-$I14&lt;$M14,1,POWER(0.93,S$1-$I14-$M14)/2))</f>
        <v>0</v>
      </c>
      <c r="T13" s="32">
        <f t="shared" ref="T13" si="44">$O14/$M14/12*IF(OR(T$1&lt;$I14,T$1-$I14&gt;=$M14+5),0,IF(T$1-$I14&lt;$M14,1,POWER(0.93,T$1-$I14-$M14)/2))</f>
        <v>0</v>
      </c>
      <c r="U13" s="32">
        <f t="shared" ref="U13" si="45">$O14/$M14/12*IF(OR(U$1&lt;$I14,U$1-$I14&gt;=$M14+5),0,IF(U$1-$I14&lt;$M14,1,POWER(0.93,U$1-$I14-$M14)/2))</f>
        <v>0</v>
      </c>
      <c r="V13" s="32">
        <f t="shared" ref="V13" si="46">$O14/$M14/12*IF(OR(V$1&lt;$I14,V$1-$I14&gt;=$M14+5),0,IF(V$1-$I14&lt;$M14,1,POWER(0.93,V$1-$I14-$M14)/2))</f>
        <v>0</v>
      </c>
      <c r="W13" s="32">
        <f t="shared" ref="W13" si="47">$O14/$M14/12*IF(OR(W$1&lt;$I14,W$1-$I14&gt;=$M14+5),0,IF(W$1-$I14&lt;$M14,1,POWER(0.93,W$1-$I14-$M14)/2))</f>
        <v>136.36364765625004</v>
      </c>
      <c r="X13" s="32">
        <f t="shared" ref="X13" si="48">$O14/$M14/12*IF(OR(X$1&lt;$I14,X$1-$I14&gt;=$M14+5),0,IF(X$1-$I14&lt;$M14,1,POWER(0.93,X$1-$I14-$M14)/2))</f>
        <v>146.62757812500001</v>
      </c>
      <c r="Y13" s="32">
        <f t="shared" ref="Y13" si="49">$O14/$M14/12*IF(OR(Y$1&lt;$I14,Y$1-$I14&gt;=$M14+5),0,IF(Y$1-$I14&lt;$M14,1,POWER(0.93,Y$1-$I14-$M14)/2))</f>
        <v>157.6640625</v>
      </c>
      <c r="Z13" s="32">
        <f t="shared" ref="Z13" si="50">$O14/$M14/12*IF(OR(Z$1&lt;$I14,Z$1-$I14&gt;=$M14+5),0,IF(Z$1-$I14&lt;$M14,1,POWER(0.93,Z$1-$I14-$M14)/2))</f>
        <v>169.53125</v>
      </c>
      <c r="AA13" s="32">
        <f t="shared" ref="AA13" si="51">$O14/$M14/12*IF(OR(AA$1&lt;$I14,AA$1-$I14&gt;=$M14+5),0,IF(AA$1-$I14&lt;$M14,1,POWER(0.93,AA$1-$I14-$M14)/2))</f>
        <v>182.29166666666666</v>
      </c>
      <c r="AB13" s="32">
        <f t="shared" ref="AB13" si="52">$O14/$M14/12*IF(OR(AB$1&lt;$I14,AB$1-$I14&gt;=$M14+5),0,IF(AB$1-$I14&lt;$M14,1,POWER(0.93,AB$1-$I14-$M14)/2))</f>
        <v>364.58333333333331</v>
      </c>
      <c r="AC13" s="32">
        <f t="shared" ref="AC13" si="53">$O14/$M14/12*IF(OR(AC$1&lt;$I14,AC$1-$I14&gt;=$M14+5),0,IF(AC$1-$I14&lt;$M14,1,POWER(0.93,AC$1-$I14-$M14)/2))</f>
        <v>364.58333333333331</v>
      </c>
      <c r="AD13" s="32">
        <f t="shared" ref="AD13" si="54">$O14/$M14/12*IF(OR(AD$1&lt;$I14,AD$1-$I14&gt;=$M14+5),0,IF(AD$1-$I14&lt;$M14,1,POWER(0.93,AD$1-$I14-$M14)/2))</f>
        <v>364.58333333333331</v>
      </c>
      <c r="AE13" s="32">
        <f t="shared" ref="AE13" si="55">$O14/$M14/12*IF(OR(AE$1&lt;$I14,AE$1-$I14&gt;=$M14+5),0,IF(AE$1-$I14&lt;$M14,1,POWER(0.93,AE$1-$I14-$M14)/2))</f>
        <v>364.58333333333331</v>
      </c>
      <c r="AF13" s="32">
        <f t="shared" ref="AF13" si="56">$O14/$M14/12*IF(OR(AF$1&lt;$I14,AF$1-$I14&gt;=$M14+5),0,IF(AF$1-$I14&lt;$M14,1,POWER(0.93,AF$1-$I14-$M14)/2))</f>
        <v>0</v>
      </c>
      <c r="AG13" s="32">
        <f t="shared" ref="AG13" si="57">$O14/$M14/12*IF(OR(AG$1&lt;$I14,AG$1-$I14&gt;=$M14+5),0,IF(AG$1-$I14&lt;$M14,1,POWER(0.93,AG$1-$I14-$M14)/2))</f>
        <v>0</v>
      </c>
      <c r="AH13" s="6"/>
      <c r="AI13" s="34">
        <f>SUM(P13:AG13)*12/O14</f>
        <v>1.5434136262499998</v>
      </c>
    </row>
    <row r="14" spans="1:35" s="7" customFormat="1" ht="13.5" thickBot="1" x14ac:dyDescent="0.25">
      <c r="A14" s="7" t="s">
        <v>28</v>
      </c>
      <c r="B14" s="7" t="str">
        <f t="shared" si="20"/>
        <v>BEN</v>
      </c>
      <c r="C14" s="7" cm="1">
        <f t="array" ref="C14">_xlfn.IFS(LEFT(A14)="B",1,LEFT(A14)="R",2,LEFT(A14)="T",2,LEFT(A14)="V",2,LEFT(A14)="","")</f>
        <v>1</v>
      </c>
      <c r="D14" s="7" t="s">
        <v>12</v>
      </c>
      <c r="E14" s="7" t="s">
        <v>29</v>
      </c>
      <c r="F14" s="7" t="s">
        <v>30</v>
      </c>
      <c r="G14" s="7" t="s">
        <v>31</v>
      </c>
      <c r="H14" s="8">
        <v>43769</v>
      </c>
      <c r="I14" s="9">
        <f t="shared" si="21"/>
        <v>2019</v>
      </c>
      <c r="J14" s="10">
        <v>17500</v>
      </c>
      <c r="K14" s="11" t="s">
        <v>16</v>
      </c>
      <c r="L14" s="7">
        <v>25</v>
      </c>
      <c r="M14" s="7">
        <f>ROUND(100/L14,1)</f>
        <v>4</v>
      </c>
      <c r="N14" s="12">
        <f t="shared" si="22"/>
        <v>2023</v>
      </c>
      <c r="O14" s="23">
        <v>17500</v>
      </c>
      <c r="P14" s="13">
        <f t="shared" si="1"/>
        <v>0</v>
      </c>
      <c r="Q14" s="13">
        <f t="shared" si="1"/>
        <v>0</v>
      </c>
      <c r="R14" s="13">
        <f t="shared" si="1"/>
        <v>0</v>
      </c>
      <c r="S14" s="13">
        <f t="shared" si="1"/>
        <v>0</v>
      </c>
      <c r="T14" s="13">
        <f t="shared" si="1"/>
        <v>0</v>
      </c>
      <c r="U14" s="13">
        <f t="shared" si="1"/>
        <v>72.916666666666586</v>
      </c>
      <c r="V14" s="13">
        <f t="shared" si="1"/>
        <v>145.83333333333334</v>
      </c>
      <c r="W14" s="13">
        <f t="shared" si="1"/>
        <v>218.75</v>
      </c>
      <c r="X14" s="13">
        <f t="shared" si="1"/>
        <v>291.66666666666663</v>
      </c>
      <c r="Y14" s="13">
        <f t="shared" si="1"/>
        <v>364.58333333333331</v>
      </c>
      <c r="Z14" s="13">
        <f t="shared" si="1"/>
        <v>437.5</v>
      </c>
      <c r="AA14" s="13">
        <f t="shared" si="2"/>
        <v>364.58333333333331</v>
      </c>
      <c r="AC14" s="6"/>
      <c r="AD14" s="6"/>
      <c r="AE14" s="6"/>
      <c r="AF14" s="6"/>
      <c r="AG14" s="6"/>
      <c r="AH14" s="6"/>
      <c r="AI14" s="6"/>
    </row>
    <row r="15" spans="1:35" s="7" customFormat="1" ht="12.75" x14ac:dyDescent="0.2">
      <c r="H15" s="8"/>
      <c r="I15" s="9"/>
      <c r="J15" s="10"/>
      <c r="K15" s="11"/>
      <c r="L15" s="13"/>
      <c r="N15" s="12"/>
      <c r="O15" s="10"/>
      <c r="P15" s="10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</row>
    <row r="16" spans="1:35" s="7" customFormat="1" ht="12.75" x14ac:dyDescent="0.2">
      <c r="H16" s="8"/>
      <c r="I16" s="9"/>
      <c r="J16" s="10"/>
      <c r="K16" s="11"/>
      <c r="N16" s="12"/>
      <c r="O16" s="10"/>
      <c r="P16" s="10"/>
      <c r="Q16" s="13"/>
      <c r="R16" s="13"/>
      <c r="S16" s="13"/>
      <c r="T16" s="13">
        <f>+V3/O3*12</f>
        <v>0.1</v>
      </c>
      <c r="U16" s="13">
        <f>SUM(Q4:AF4)*12</f>
        <v>3196.32</v>
      </c>
      <c r="V16" s="13"/>
      <c r="W16" s="13"/>
      <c r="X16" s="13"/>
      <c r="Y16" s="13"/>
      <c r="Z16" s="13"/>
      <c r="AA16" s="13"/>
    </row>
    <row r="17" spans="1:32" s="7" customFormat="1" ht="12.75" x14ac:dyDescent="0.2">
      <c r="H17" s="8"/>
      <c r="I17" s="9"/>
      <c r="J17" s="10"/>
      <c r="K17" s="11"/>
      <c r="N17" s="12"/>
      <c r="O17" s="10"/>
      <c r="P17" s="10"/>
      <c r="Q17" s="13"/>
      <c r="R17" s="13"/>
      <c r="S17" s="13"/>
      <c r="T17" s="13"/>
      <c r="U17" s="25">
        <f>+U16/O3</f>
        <v>1.3175267930750207</v>
      </c>
      <c r="V17" s="13"/>
      <c r="W17" s="13"/>
      <c r="X17" s="13"/>
      <c r="Y17" s="13"/>
      <c r="Z17" s="13"/>
      <c r="AA17" s="13"/>
    </row>
    <row r="18" spans="1:32" s="7" customFormat="1" ht="12.75" x14ac:dyDescent="0.2">
      <c r="H18" s="8"/>
      <c r="I18" s="9"/>
      <c r="J18" s="10"/>
      <c r="K18" s="11"/>
      <c r="N18" s="12"/>
      <c r="O18" s="10"/>
      <c r="P18" s="10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</row>
    <row r="19" spans="1:32" s="7" customFormat="1" ht="12.75" x14ac:dyDescent="0.2">
      <c r="H19" s="8"/>
      <c r="I19" s="9"/>
      <c r="J19" s="10"/>
      <c r="K19" s="11"/>
      <c r="N19" s="12"/>
      <c r="O19" s="10"/>
      <c r="P19" s="10"/>
      <c r="Q19" s="13">
        <f t="shared" ref="Q19:T19" si="58">+R19*0.93</f>
        <v>68.878919496909987</v>
      </c>
      <c r="R19" s="13">
        <f t="shared" si="58"/>
        <v>74.063354297752667</v>
      </c>
      <c r="S19" s="13">
        <f t="shared" si="58"/>
        <v>79.638015373927601</v>
      </c>
      <c r="T19" s="13">
        <f t="shared" si="58"/>
        <v>85.63227459562107</v>
      </c>
      <c r="U19" s="13">
        <f>+V19/2</f>
        <v>92.077714618947383</v>
      </c>
      <c r="V19" s="7">
        <f t="shared" ref="V19:AD19" si="59">+W19</f>
        <v>184.15542923789477</v>
      </c>
      <c r="W19" s="7">
        <f t="shared" si="59"/>
        <v>184.15542923789477</v>
      </c>
      <c r="X19" s="7">
        <f t="shared" si="59"/>
        <v>184.15542923789477</v>
      </c>
      <c r="Y19" s="7">
        <f t="shared" si="59"/>
        <v>184.15542923789477</v>
      </c>
      <c r="Z19" s="7">
        <f t="shared" si="59"/>
        <v>184.15542923789477</v>
      </c>
      <c r="AA19" s="7">
        <f t="shared" si="59"/>
        <v>184.15542923789477</v>
      </c>
      <c r="AB19" s="7">
        <f t="shared" si="59"/>
        <v>184.15542923789477</v>
      </c>
      <c r="AC19" s="7">
        <f t="shared" si="59"/>
        <v>184.15542923789477</v>
      </c>
      <c r="AD19" s="7">
        <f t="shared" si="59"/>
        <v>184.15542923789477</v>
      </c>
      <c r="AE19" s="7">
        <f>+AF19</f>
        <v>184.15542923789477</v>
      </c>
      <c r="AF19" s="7">
        <v>184.15542923789477</v>
      </c>
    </row>
    <row r="20" spans="1:32" s="7" customFormat="1" ht="12.75" x14ac:dyDescent="0.2">
      <c r="H20" s="8"/>
      <c r="I20" s="9"/>
      <c r="J20" s="10"/>
      <c r="K20" s="11"/>
      <c r="N20" s="12"/>
      <c r="O20" s="10"/>
      <c r="P20" s="10"/>
      <c r="Q20" s="13"/>
      <c r="R20" s="13"/>
      <c r="S20" s="13"/>
      <c r="T20" s="13"/>
      <c r="U20" s="26">
        <f>SUM(Q19:U19)/O3</f>
        <v>0.16500011474985932</v>
      </c>
      <c r="V20" s="26">
        <f>SUM(V19:AF19)/O3</f>
        <v>0.83499988525014135</v>
      </c>
      <c r="W20" s="13"/>
      <c r="X20" s="13"/>
      <c r="Y20" s="13"/>
      <c r="Z20" s="13"/>
      <c r="AA20" s="13"/>
      <c r="AE20" s="25">
        <f>SUM(Q19:AF19)-O3</f>
        <v>0</v>
      </c>
    </row>
    <row r="21" spans="1:32" s="7" customFormat="1" ht="12.75" x14ac:dyDescent="0.2">
      <c r="H21" s="8"/>
      <c r="I21" s="9"/>
      <c r="J21" s="14"/>
      <c r="K21" s="11"/>
      <c r="N21" s="12"/>
      <c r="O21" s="14"/>
      <c r="P21" s="14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</row>
    <row r="22" spans="1:32" s="7" customFormat="1" ht="12.75" x14ac:dyDescent="0.2">
      <c r="H22" s="8"/>
      <c r="I22" s="9"/>
      <c r="J22" s="10"/>
      <c r="K22" s="11"/>
      <c r="N22" s="12"/>
      <c r="O22" s="10"/>
      <c r="P22" s="10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</row>
    <row r="23" spans="1:32" s="7" customFormat="1" ht="12.75" x14ac:dyDescent="0.2">
      <c r="H23" s="8"/>
      <c r="I23" s="9"/>
      <c r="J23" s="10"/>
      <c r="K23" s="11"/>
      <c r="N23" s="12"/>
      <c r="O23" s="10"/>
      <c r="P23" s="10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</row>
    <row r="24" spans="1:32" x14ac:dyDescent="0.25">
      <c r="A24" s="15"/>
      <c r="B24" s="7"/>
      <c r="C24" s="7"/>
      <c r="D24" s="7"/>
      <c r="E24" s="15"/>
      <c r="F24" s="15"/>
      <c r="G24" s="15"/>
      <c r="H24" s="16"/>
      <c r="I24" s="9"/>
      <c r="J24" s="14"/>
      <c r="L24" s="17"/>
      <c r="M24" s="7"/>
      <c r="N24" s="12"/>
      <c r="O24" s="14"/>
      <c r="P24" s="14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</row>
    <row r="25" spans="1:32" x14ac:dyDescent="0.25">
      <c r="A25" s="7"/>
      <c r="B25" s="7"/>
      <c r="C25" s="7"/>
      <c r="D25" s="7"/>
      <c r="E25" s="15"/>
      <c r="F25" s="15"/>
      <c r="G25" s="15"/>
      <c r="H25" s="16"/>
      <c r="I25" s="9"/>
      <c r="J25" s="14"/>
      <c r="L25" s="17"/>
      <c r="M25" s="7"/>
      <c r="N25" s="12"/>
      <c r="O25" s="14"/>
      <c r="P25" s="14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</row>
    <row r="26" spans="1:32" x14ac:dyDescent="0.25">
      <c r="A26" s="7"/>
      <c r="B26" s="7"/>
      <c r="C26" s="7"/>
      <c r="D26" s="7"/>
      <c r="E26" s="15"/>
      <c r="F26" s="15"/>
      <c r="G26" s="15"/>
      <c r="H26" s="16"/>
      <c r="I26" s="9"/>
      <c r="J26" s="14"/>
      <c r="L26" s="17"/>
      <c r="M26" s="7"/>
      <c r="N26" s="12"/>
      <c r="O26" s="14"/>
      <c r="P26" s="14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</row>
    <row r="27" spans="1:32" x14ac:dyDescent="0.25">
      <c r="A27" s="7"/>
      <c r="B27" s="7"/>
      <c r="C27" s="7"/>
      <c r="D27" s="7"/>
      <c r="E27" s="15"/>
      <c r="F27" s="15"/>
      <c r="G27" s="15"/>
      <c r="H27" s="16"/>
      <c r="I27" s="9"/>
      <c r="J27" s="14"/>
      <c r="L27" s="17"/>
      <c r="M27" s="7"/>
      <c r="N27" s="12"/>
      <c r="O27" s="14"/>
      <c r="P27" s="14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</row>
    <row r="28" spans="1:32" x14ac:dyDescent="0.25">
      <c r="A28" s="7"/>
      <c r="B28" s="7"/>
      <c r="C28" s="7"/>
      <c r="D28" s="7"/>
      <c r="E28" s="15"/>
      <c r="F28" s="15"/>
      <c r="G28" s="15"/>
      <c r="H28" s="16"/>
      <c r="I28" s="9"/>
      <c r="J28" s="14"/>
      <c r="L28" s="17"/>
      <c r="M28" s="7"/>
      <c r="N28" s="12"/>
      <c r="O28" s="14"/>
      <c r="P28" s="14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</row>
    <row r="29" spans="1:32" x14ac:dyDescent="0.25">
      <c r="A29" s="7"/>
      <c r="B29" s="7"/>
      <c r="C29" s="7"/>
      <c r="D29" s="7"/>
      <c r="E29" s="15"/>
      <c r="F29" s="15"/>
      <c r="G29" s="15"/>
      <c r="H29" s="16"/>
      <c r="I29" s="9"/>
      <c r="J29" s="14"/>
      <c r="L29" s="17"/>
      <c r="M29" s="7"/>
      <c r="N29" s="12"/>
      <c r="O29" s="14"/>
      <c r="P29" s="14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</row>
    <row r="30" spans="1:32" x14ac:dyDescent="0.25">
      <c r="A30" s="7"/>
      <c r="B30" s="7"/>
      <c r="C30" s="7"/>
      <c r="D30" s="7"/>
      <c r="E30" s="15"/>
      <c r="F30" s="15"/>
      <c r="G30" s="15"/>
      <c r="H30" s="16"/>
      <c r="I30" s="9"/>
      <c r="J30" s="14"/>
      <c r="L30" s="17"/>
      <c r="M30" s="7"/>
      <c r="N30" s="12"/>
      <c r="O30" s="14"/>
      <c r="P30" s="14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</row>
    <row r="31" spans="1:32" x14ac:dyDescent="0.25">
      <c r="A31" s="7"/>
      <c r="B31" s="7"/>
      <c r="C31" s="7"/>
      <c r="D31" s="7"/>
      <c r="E31" s="15"/>
      <c r="F31" s="15"/>
      <c r="G31" s="15"/>
      <c r="H31" s="16"/>
      <c r="I31" s="9"/>
      <c r="J31" s="14"/>
      <c r="L31" s="17"/>
      <c r="M31" s="7"/>
      <c r="N31" s="12"/>
      <c r="O31" s="14"/>
      <c r="P31" s="14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</row>
    <row r="32" spans="1:32" x14ac:dyDescent="0.25">
      <c r="A32" s="7"/>
      <c r="B32" s="7"/>
      <c r="C32" s="7"/>
      <c r="D32" s="7"/>
      <c r="E32" s="15"/>
      <c r="F32" s="15"/>
      <c r="G32" s="15"/>
      <c r="H32" s="16"/>
      <c r="I32" s="9"/>
      <c r="J32" s="14"/>
      <c r="L32" s="17"/>
      <c r="M32" s="7"/>
      <c r="N32" s="12"/>
      <c r="O32" s="14"/>
      <c r="P32" s="14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</row>
    <row r="33" spans="1:27" x14ac:dyDescent="0.25">
      <c r="A33" s="15"/>
      <c r="B33" s="7"/>
      <c r="C33" s="7"/>
      <c r="D33" s="7"/>
      <c r="E33" s="15"/>
      <c r="F33" s="15"/>
      <c r="G33" s="15"/>
      <c r="H33" s="16"/>
      <c r="I33" s="9"/>
      <c r="J33" s="14"/>
      <c r="L33" s="17"/>
      <c r="M33" s="7"/>
      <c r="N33" s="12"/>
      <c r="O33" s="14"/>
      <c r="P33" s="14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</row>
    <row r="34" spans="1:27" x14ac:dyDescent="0.25">
      <c r="A34" s="7"/>
      <c r="B34" s="7"/>
      <c r="C34" s="7"/>
      <c r="D34" s="7"/>
      <c r="E34" s="15"/>
      <c r="F34" s="15"/>
      <c r="G34" s="15"/>
      <c r="H34" s="16"/>
      <c r="I34" s="9"/>
      <c r="J34" s="14"/>
      <c r="L34" s="17"/>
      <c r="M34" s="7"/>
      <c r="N34" s="12"/>
      <c r="O34" s="14"/>
      <c r="P34" s="14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</row>
    <row r="35" spans="1:27" x14ac:dyDescent="0.25">
      <c r="A35" s="7"/>
      <c r="B35" s="7"/>
      <c r="C35" s="7"/>
      <c r="D35" s="7"/>
      <c r="E35" s="15"/>
      <c r="F35" s="15"/>
      <c r="G35" s="15"/>
      <c r="H35" s="16"/>
      <c r="I35" s="9"/>
      <c r="J35" s="14"/>
      <c r="L35" s="17"/>
      <c r="M35" s="7"/>
      <c r="N35" s="12"/>
      <c r="O35" s="14"/>
      <c r="P35" s="14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</row>
    <row r="36" spans="1:27" x14ac:dyDescent="0.25">
      <c r="B36" s="7"/>
      <c r="C36" s="7"/>
      <c r="D36" s="7"/>
      <c r="J36" s="10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</row>
    <row r="37" spans="1:27" x14ac:dyDescent="0.25">
      <c r="B37" s="7"/>
      <c r="C37" s="7"/>
      <c r="J37" s="10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</row>
    <row r="38" spans="1:27" x14ac:dyDescent="0.25">
      <c r="B38" s="7"/>
      <c r="C38" s="7"/>
      <c r="J38" s="10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</row>
    <row r="39" spans="1:27" x14ac:dyDescent="0.25">
      <c r="B39" s="7"/>
      <c r="C39" s="7"/>
      <c r="J39" s="10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</row>
    <row r="40" spans="1:27" x14ac:dyDescent="0.25">
      <c r="B40" s="7"/>
      <c r="C40" s="7"/>
      <c r="J40" s="10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</row>
    <row r="41" spans="1:27" x14ac:dyDescent="0.25">
      <c r="B41" s="7"/>
      <c r="C41" s="7"/>
      <c r="J41" s="10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</row>
    <row r="42" spans="1:27" x14ac:dyDescent="0.25">
      <c r="B42" s="7"/>
      <c r="C42" s="7"/>
      <c r="J42" s="10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</row>
    <row r="43" spans="1:27" x14ac:dyDescent="0.25">
      <c r="B43" s="7"/>
      <c r="C43" s="7"/>
      <c r="J43" s="10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</row>
    <row r="44" spans="1:27" x14ac:dyDescent="0.25">
      <c r="B44" s="7"/>
      <c r="C44" s="7"/>
      <c r="J44" s="10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</row>
    <row r="45" spans="1:27" x14ac:dyDescent="0.25">
      <c r="B45" s="7"/>
      <c r="C45" s="7"/>
      <c r="J45" s="10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</row>
    <row r="47" spans="1:27" x14ac:dyDescent="0.25">
      <c r="S47" s="19"/>
      <c r="T47" s="18"/>
    </row>
  </sheetData>
  <dataValidations count="1">
    <dataValidation type="list" allowBlank="1" showInputMessage="1" showErrorMessage="1" sqref="D3:D36" xr:uid="{C61055D3-004E-4250-8E54-3D4DD25FF5E5}">
      <formula1>"ACTIF,REBUT"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Talas</dc:creator>
  <cp:lastModifiedBy>BSA</cp:lastModifiedBy>
  <dcterms:created xsi:type="dcterms:W3CDTF">2023-08-02T11:19:43Z</dcterms:created>
  <dcterms:modified xsi:type="dcterms:W3CDTF">2023-08-03T17:25:26Z</dcterms:modified>
</cp:coreProperties>
</file>