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01AE608-D780-4ED1-927F-DC4AFCF4C869}" xr6:coauthVersionLast="47" xr6:coauthVersionMax="47" xr10:uidLastSave="{00000000-0000-0000-0000-000000000000}"/>
  <bookViews>
    <workbookView xWindow="-120" yWindow="-120" windowWidth="29040" windowHeight="15855" activeTab="1" xr2:uid="{FC41BC69-8275-4932-82E5-F2579F562A13}"/>
  </bookViews>
  <sheets>
    <sheet name="source" sheetId="1" r:id="rId1"/>
    <sheet name="Blad1" sheetId="3" r:id="rId2"/>
    <sheet name="flux" sheetId="2" r:id="rId3"/>
  </sheets>
  <definedNames>
    <definedName name="Categories">Tableau4[CATEGORIES]</definedName>
    <definedName name="Entête">Tableau4[[#Headers],[MOTS CLES]]</definedName>
    <definedName name="Mots_cles">Tableau4[MOTS CLES]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3" l="1" a="1"/>
  <c r="E12" i="3" s="1"/>
  <c r="E11" i="3" a="1"/>
  <c r="E11" i="3"/>
  <c r="E10" i="3" a="1"/>
  <c r="E10" i="3" s="1"/>
  <c r="E9" i="3" a="1"/>
  <c r="E9" i="3"/>
  <c r="E8" i="3" a="1"/>
  <c r="E8" i="3" s="1"/>
  <c r="E7" i="3" a="1"/>
  <c r="E7" i="3" s="1"/>
  <c r="E6" i="3" a="1"/>
  <c r="E6" i="3" s="1"/>
  <c r="E5" i="3" a="1"/>
  <c r="E5" i="3"/>
  <c r="IG20" i="2"/>
  <c r="IF20" i="2"/>
  <c r="IB20" i="2"/>
  <c r="IC20" i="2" s="1"/>
  <c r="IA20" i="2"/>
  <c r="IB4" i="2" s="1"/>
  <c r="HW20" i="2"/>
  <c r="HV20" i="2"/>
  <c r="HR20" i="2"/>
  <c r="HQ20" i="2"/>
  <c r="HM20" i="2"/>
  <c r="HL20" i="2"/>
  <c r="HH20" i="2"/>
  <c r="HG20" i="2"/>
  <c r="HH4" i="2" s="1"/>
  <c r="HC20" i="2"/>
  <c r="HB20" i="2"/>
  <c r="GX20" i="2"/>
  <c r="GW20" i="2"/>
  <c r="IG16" i="2"/>
  <c r="IF16" i="2"/>
  <c r="IB16" i="2"/>
  <c r="IA16" i="2"/>
  <c r="HW16" i="2"/>
  <c r="HX4" i="2" s="1"/>
  <c r="HV16" i="2"/>
  <c r="HW4" i="2" s="1"/>
  <c r="HR16" i="2"/>
  <c r="HQ16" i="2"/>
  <c r="HR4" i="2" s="1"/>
  <c r="HM16" i="2"/>
  <c r="HL16" i="2"/>
  <c r="HH16" i="2"/>
  <c r="HG16" i="2"/>
  <c r="HC16" i="2"/>
  <c r="HB16" i="2"/>
  <c r="GX16" i="2"/>
  <c r="GW16" i="2"/>
  <c r="GX4" i="2"/>
  <c r="GS20" i="2"/>
  <c r="GR20" i="2"/>
  <c r="GN20" i="2"/>
  <c r="GM20" i="2"/>
  <c r="GI20" i="2"/>
  <c r="GH20" i="2"/>
  <c r="GD20" i="2"/>
  <c r="GC20" i="2"/>
  <c r="FY20" i="2"/>
  <c r="FZ20" i="2" s="1"/>
  <c r="FX20" i="2"/>
  <c r="FT20" i="2"/>
  <c r="FS20" i="2"/>
  <c r="FO20" i="2"/>
  <c r="FN20" i="2"/>
  <c r="FJ20" i="2"/>
  <c r="FK20" i="2" s="1"/>
  <c r="FI20" i="2"/>
  <c r="GS16" i="2"/>
  <c r="GR16" i="2"/>
  <c r="GN16" i="2"/>
  <c r="GM16" i="2"/>
  <c r="GN4" i="2" s="1"/>
  <c r="GI16" i="2"/>
  <c r="GH16" i="2"/>
  <c r="GD16" i="2"/>
  <c r="GC16" i="2"/>
  <c r="FY16" i="2"/>
  <c r="FX16" i="2"/>
  <c r="FT16" i="2"/>
  <c r="FS16" i="2"/>
  <c r="FO16" i="2"/>
  <c r="FN16" i="2"/>
  <c r="FJ16" i="2"/>
  <c r="FK4" i="2" s="1"/>
  <c r="FI16" i="2"/>
  <c r="FJ4" i="2" s="1"/>
  <c r="FE20" i="2"/>
  <c r="FD20" i="2"/>
  <c r="EZ20" i="2"/>
  <c r="EY20" i="2"/>
  <c r="EU20" i="2"/>
  <c r="ET20" i="2"/>
  <c r="EP20" i="2"/>
  <c r="EQ20" i="2" s="1"/>
  <c r="EO20" i="2"/>
  <c r="EK20" i="2"/>
  <c r="EJ20" i="2"/>
  <c r="EF20" i="2"/>
  <c r="EE20" i="2"/>
  <c r="EA20" i="2"/>
  <c r="DZ20" i="2"/>
  <c r="DV20" i="2"/>
  <c r="DU20" i="2"/>
  <c r="DV4" i="2" s="1"/>
  <c r="FE16" i="2"/>
  <c r="FD16" i="2"/>
  <c r="EZ16" i="2"/>
  <c r="EY16" i="2"/>
  <c r="EU16" i="2"/>
  <c r="ET16" i="2"/>
  <c r="EP16" i="2"/>
  <c r="EO16" i="2"/>
  <c r="EP4" i="2" s="1"/>
  <c r="EK16" i="2"/>
  <c r="EJ16" i="2"/>
  <c r="EF16" i="2"/>
  <c r="EE16" i="2"/>
  <c r="EA16" i="2"/>
  <c r="DZ16" i="2"/>
  <c r="DV16" i="2"/>
  <c r="DW16" i="2" s="1"/>
  <c r="DU16" i="2"/>
  <c r="DQ20" i="2"/>
  <c r="DP20" i="2"/>
  <c r="DL20" i="2"/>
  <c r="DK20" i="2"/>
  <c r="DG20" i="2"/>
  <c r="DF20" i="2"/>
  <c r="DB20" i="2"/>
  <c r="DA20" i="2"/>
  <c r="CW20" i="2"/>
  <c r="CV20" i="2"/>
  <c r="CR20" i="2"/>
  <c r="CQ20" i="2"/>
  <c r="CM20" i="2"/>
  <c r="CL20" i="2"/>
  <c r="CH20" i="2"/>
  <c r="CG20" i="2"/>
  <c r="DQ16" i="2"/>
  <c r="DP16" i="2"/>
  <c r="DL16" i="2"/>
  <c r="DK16" i="2"/>
  <c r="DG16" i="2"/>
  <c r="DF16" i="2"/>
  <c r="DH16" i="2" s="1"/>
  <c r="DB16" i="2"/>
  <c r="DA16" i="2"/>
  <c r="DB4" i="2" s="1"/>
  <c r="CW16" i="2"/>
  <c r="CV16" i="2"/>
  <c r="CR16" i="2"/>
  <c r="CQ16" i="2"/>
  <c r="CM16" i="2"/>
  <c r="CL16" i="2"/>
  <c r="CH16" i="2"/>
  <c r="CG16" i="2"/>
  <c r="CC20" i="2"/>
  <c r="CB20" i="2"/>
  <c r="BX20" i="2"/>
  <c r="BW20" i="2"/>
  <c r="BS20" i="2"/>
  <c r="BR20" i="2"/>
  <c r="BN20" i="2"/>
  <c r="BM20" i="2"/>
  <c r="BI20" i="2"/>
  <c r="BH20" i="2"/>
  <c r="BD20" i="2"/>
  <c r="BC20" i="2"/>
  <c r="AY20" i="2"/>
  <c r="AX20" i="2"/>
  <c r="AT20" i="2"/>
  <c r="AS20" i="2"/>
  <c r="CC16" i="2"/>
  <c r="CB16" i="2"/>
  <c r="BX16" i="2"/>
  <c r="BW16" i="2"/>
  <c r="BS16" i="2"/>
  <c r="BR16" i="2"/>
  <c r="BN16" i="2"/>
  <c r="BM16" i="2"/>
  <c r="BI16" i="2"/>
  <c r="BH16" i="2"/>
  <c r="BD16" i="2"/>
  <c r="BC16" i="2"/>
  <c r="AY16" i="2"/>
  <c r="AX16" i="2"/>
  <c r="AT16" i="2"/>
  <c r="AS16" i="2"/>
  <c r="AO20" i="2"/>
  <c r="AN20" i="2"/>
  <c r="AJ20" i="2"/>
  <c r="AI20" i="2"/>
  <c r="AE20" i="2"/>
  <c r="AD20" i="2"/>
  <c r="Z20" i="2"/>
  <c r="Y20" i="2"/>
  <c r="AO16" i="2"/>
  <c r="AN16" i="2"/>
  <c r="AO4" i="2" s="1"/>
  <c r="AJ16" i="2"/>
  <c r="AI16" i="2"/>
  <c r="AE16" i="2"/>
  <c r="AD16" i="2"/>
  <c r="Z16" i="2"/>
  <c r="AA4" i="2" s="1"/>
  <c r="Y16" i="2"/>
  <c r="U20" i="2"/>
  <c r="T20" i="2"/>
  <c r="U16" i="2"/>
  <c r="T16" i="2"/>
  <c r="P20" i="2"/>
  <c r="O20" i="2"/>
  <c r="F25" i="2"/>
  <c r="E25" i="2"/>
  <c r="P16" i="2"/>
  <c r="O16" i="2"/>
  <c r="K20" i="2"/>
  <c r="J20" i="2"/>
  <c r="K16" i="2"/>
  <c r="J16" i="2"/>
  <c r="F16" i="2"/>
  <c r="E16" i="2"/>
  <c r="P4" i="2" l="1"/>
  <c r="EG16" i="2"/>
  <c r="DW20" i="2"/>
  <c r="FA20" i="2"/>
  <c r="EF4" i="2"/>
  <c r="GE4" i="2"/>
  <c r="DL4" i="2"/>
  <c r="Q20" i="2"/>
  <c r="CX4" i="2"/>
  <c r="EV16" i="2"/>
  <c r="GO4" i="2"/>
  <c r="GL4" i="2" s="1"/>
  <c r="GE20" i="2"/>
  <c r="GJ20" i="2"/>
  <c r="BT4" i="2"/>
  <c r="DH4" i="2"/>
  <c r="FP4" i="2"/>
  <c r="EV20" i="2"/>
  <c r="EL16" i="2"/>
  <c r="FP20" i="2"/>
  <c r="F4" i="2"/>
  <c r="AZ16" i="2"/>
  <c r="CN20" i="2"/>
  <c r="DR20" i="2"/>
  <c r="AA20" i="2"/>
  <c r="GI4" i="2"/>
  <c r="K4" i="2"/>
  <c r="L4" i="2"/>
  <c r="AY4" i="2"/>
  <c r="GY16" i="2"/>
  <c r="FK16" i="2"/>
  <c r="HD16" i="2"/>
  <c r="GT16" i="2"/>
  <c r="CM4" i="2"/>
  <c r="G25" i="2"/>
  <c r="CR4" i="2"/>
  <c r="HN4" i="2"/>
  <c r="AK20" i="2"/>
  <c r="AZ20" i="2"/>
  <c r="CD20" i="2"/>
  <c r="GJ16" i="2"/>
  <c r="BD4" i="2"/>
  <c r="CH4" i="2"/>
  <c r="FA4" i="2"/>
  <c r="L20" i="2"/>
  <c r="AF4" i="2"/>
  <c r="BO4" i="2"/>
  <c r="IC4" i="2"/>
  <c r="HZ4" i="2" s="1"/>
  <c r="AJ4" i="2"/>
  <c r="FO4" i="2"/>
  <c r="IG4" i="2"/>
  <c r="FU20" i="2"/>
  <c r="AK16" i="2"/>
  <c r="BT16" i="2"/>
  <c r="DH20" i="2"/>
  <c r="EZ4" i="2"/>
  <c r="EX4" i="2" s="1"/>
  <c r="FT4" i="2"/>
  <c r="GY20" i="2"/>
  <c r="V16" i="2"/>
  <c r="Z4" i="2"/>
  <c r="X4" i="2" s="1"/>
  <c r="EL4" i="2"/>
  <c r="FZ16" i="2"/>
  <c r="AF20" i="2"/>
  <c r="BX4" i="2"/>
  <c r="EQ16" i="2"/>
  <c r="EG20" i="2"/>
  <c r="GE16" i="2"/>
  <c r="GT20" i="2"/>
  <c r="EV4" i="2"/>
  <c r="AA16" i="2"/>
  <c r="BY16" i="2"/>
  <c r="CI16" i="2"/>
  <c r="DM16" i="2"/>
  <c r="DC20" i="2"/>
  <c r="GD4" i="2"/>
  <c r="GB4" i="2" s="1"/>
  <c r="HN20" i="2"/>
  <c r="CD16" i="2"/>
  <c r="BS4" i="2"/>
  <c r="DR16" i="2"/>
  <c r="FZ4" i="2"/>
  <c r="FF20" i="2"/>
  <c r="CD4" i="2"/>
  <c r="AF16" i="2"/>
  <c r="CN4" i="2"/>
  <c r="CK4" i="2" s="1"/>
  <c r="DR4" i="2"/>
  <c r="EA4" i="2"/>
  <c r="FF16" i="2"/>
  <c r="GJ4" i="2"/>
  <c r="GG4" i="2" s="1"/>
  <c r="HS20" i="2"/>
  <c r="EB4" i="2"/>
  <c r="DY4" i="2" s="1"/>
  <c r="U4" i="2"/>
  <c r="AP20" i="2"/>
  <c r="BJ16" i="2"/>
  <c r="BY20" i="2"/>
  <c r="CS16" i="2"/>
  <c r="CI20" i="2"/>
  <c r="DM20" i="2"/>
  <c r="HD4" i="2"/>
  <c r="FF4" i="2"/>
  <c r="CX16" i="2"/>
  <c r="GO20" i="2"/>
  <c r="HI4" i="2"/>
  <c r="HF4" i="2" s="1"/>
  <c r="HN16" i="2"/>
  <c r="BE20" i="2"/>
  <c r="DC16" i="2"/>
  <c r="CS20" i="2"/>
  <c r="HD20" i="2"/>
  <c r="V20" i="2"/>
  <c r="EK4" i="2"/>
  <c r="FP16" i="2"/>
  <c r="IH20" i="2"/>
  <c r="EB20" i="2"/>
  <c r="CX20" i="2"/>
  <c r="HS16" i="2"/>
  <c r="HI20" i="2"/>
  <c r="Q4" i="2"/>
  <c r="N4" i="2" s="1"/>
  <c r="AU4" i="2"/>
  <c r="BN4" i="2"/>
  <c r="EL20" i="2"/>
  <c r="FU4" i="2"/>
  <c r="GT4" i="2"/>
  <c r="FH4" i="2"/>
  <c r="HX20" i="2"/>
  <c r="HU4" i="2"/>
  <c r="IC16" i="2"/>
  <c r="BE16" i="2"/>
  <c r="BJ20" i="2"/>
  <c r="BO20" i="2"/>
  <c r="BT20" i="2"/>
  <c r="AT4" i="2"/>
  <c r="AZ4" i="2"/>
  <c r="BJ4" i="2"/>
  <c r="AP4" i="2"/>
  <c r="AM4" i="2" s="1"/>
  <c r="AU20" i="2"/>
  <c r="L16" i="2"/>
  <c r="Q16" i="2"/>
  <c r="G16" i="2"/>
  <c r="G4" i="2"/>
  <c r="IH4" i="2"/>
  <c r="HM4" i="2"/>
  <c r="IH16" i="2"/>
  <c r="HI16" i="2"/>
  <c r="HS4" i="2"/>
  <c r="HP4" i="2" s="1"/>
  <c r="HC4" i="2"/>
  <c r="HA4" i="2" s="1"/>
  <c r="HX16" i="2"/>
  <c r="GY4" i="2"/>
  <c r="GV4" i="2" s="1"/>
  <c r="FU16" i="2"/>
  <c r="FY4" i="2"/>
  <c r="GS4" i="2"/>
  <c r="GO16" i="2"/>
  <c r="EG4" i="2"/>
  <c r="FA16" i="2"/>
  <c r="FE4" i="2"/>
  <c r="EQ4" i="2"/>
  <c r="EN4" i="2" s="1"/>
  <c r="EU4" i="2"/>
  <c r="EB16" i="2"/>
  <c r="DW4" i="2"/>
  <c r="DT4" i="2" s="1"/>
  <c r="CW4" i="2"/>
  <c r="CU4" i="2" s="1"/>
  <c r="CS4" i="2"/>
  <c r="CI4" i="2"/>
  <c r="CF4" i="2" s="1"/>
  <c r="DG4" i="2"/>
  <c r="CN16" i="2"/>
  <c r="DM4" i="2"/>
  <c r="DJ4" i="2" s="1"/>
  <c r="DC4" i="2"/>
  <c r="CZ4" i="2" s="1"/>
  <c r="DQ4" i="2"/>
  <c r="BO16" i="2"/>
  <c r="AU16" i="2"/>
  <c r="BE4" i="2"/>
  <c r="BY4" i="2"/>
  <c r="BI4" i="2"/>
  <c r="CC4" i="2"/>
  <c r="CA4" i="2" s="1"/>
  <c r="AK4" i="2"/>
  <c r="AP16" i="2"/>
  <c r="AE4" i="2"/>
  <c r="AC4" i="2" s="1"/>
  <c r="V4" i="2"/>
  <c r="AR4" i="2" l="1"/>
  <c r="ED4" i="2"/>
  <c r="CP4" i="2"/>
  <c r="FM4" i="2"/>
  <c r="HK4" i="2"/>
  <c r="IE4" i="2"/>
  <c r="DE4" i="2"/>
  <c r="GQ4" i="2"/>
  <c r="BQ4" i="2"/>
  <c r="BV4" i="2"/>
  <c r="ES4" i="2"/>
  <c r="AW4" i="2"/>
  <c r="FR4" i="2"/>
  <c r="EI4" i="2"/>
  <c r="FC4" i="2"/>
  <c r="BL4" i="2"/>
  <c r="BB4" i="2"/>
  <c r="FW4" i="2"/>
  <c r="DO4" i="2"/>
  <c r="AH4" i="2"/>
  <c r="S4" i="2"/>
  <c r="BG4" i="2"/>
  <c r="I4" i="2"/>
  <c r="D4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<sst xmlns="http://schemas.openxmlformats.org/spreadsheetml/2006/main" count="722" uniqueCount="43">
  <si>
    <t>carrefour</t>
  </si>
  <si>
    <t>BOUYGTEL</t>
  </si>
  <si>
    <t>regie</t>
  </si>
  <si>
    <t>BALANCE</t>
  </si>
  <si>
    <t>DEPENSES</t>
  </si>
  <si>
    <t>REVENUS</t>
  </si>
  <si>
    <t>Autres revenus à importer</t>
  </si>
  <si>
    <t>DEBIT</t>
  </si>
  <si>
    <t>CREDIT</t>
  </si>
  <si>
    <t>CATEGORIE</t>
  </si>
  <si>
    <t>LECLERC</t>
  </si>
  <si>
    <t>RELAIS FONTAINES</t>
  </si>
  <si>
    <t>U EXPRESS</t>
  </si>
  <si>
    <t>AVANSSUR</t>
  </si>
  <si>
    <t>BOUCHERIE</t>
  </si>
  <si>
    <t>P.STAT</t>
  </si>
  <si>
    <t>Total</t>
  </si>
  <si>
    <t>ROMAIN OPERATIONS</t>
  </si>
  <si>
    <t>HANANE OPERATIONS</t>
  </si>
  <si>
    <t>AUCHAN</t>
  </si>
  <si>
    <t>MOTS CLES</t>
  </si>
  <si>
    <t>CATEGORIES</t>
  </si>
  <si>
    <t>LOGEMENT</t>
  </si>
  <si>
    <t>COURSES</t>
  </si>
  <si>
    <t>retrait courses</t>
  </si>
  <si>
    <t>mouna</t>
  </si>
  <si>
    <t>TRANSPORT</t>
  </si>
  <si>
    <t>TOTAL</t>
  </si>
  <si>
    <t>CARBURANT</t>
  </si>
  <si>
    <t>retrait carburant</t>
  </si>
  <si>
    <t>ABO BOX TEL</t>
  </si>
  <si>
    <t>total</t>
  </si>
  <si>
    <t>auchan</t>
  </si>
  <si>
    <t>bouygtel</t>
  </si>
  <si>
    <t>paiement total</t>
  </si>
  <si>
    <t>cb auchan</t>
  </si>
  <si>
    <t>bouygtel abo camille</t>
  </si>
  <si>
    <t>xxxxregiexxxx</t>
  </si>
  <si>
    <t>xxxxcarrefourxxxx</t>
  </si>
  <si>
    <t>xxxx auchan mouna regiexxxx</t>
  </si>
  <si>
    <t>blblbl</t>
  </si>
  <si>
    <t>ddddddd</t>
  </si>
  <si>
    <t>ffffffffff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</si>
</sst>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7" formatCode="#,##0.00\ &quot;€&quot;;\-#,##0.00\ &quot;€&quot;"/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Roboto Light"/>
    </font>
    <font>
      <b/>
      <sz val="11"/>
      <color theme="1"/>
      <name val="Roboto Light"/>
    </font>
    <font>
      <b/>
      <sz val="12"/>
      <color theme="1"/>
      <name val="Roboto Light"/>
    </font>
    <font>
      <b/>
      <sz val="11"/>
      <color theme="0"/>
      <name val="Roboto Light"/>
    </font>
    <font>
      <sz val="11"/>
      <color theme="3"/>
      <name val="Roboto Light"/>
    </font>
    <font>
      <i/>
      <sz val="11"/>
      <color theme="1"/>
      <name val="Roboto Light"/>
    </font>
    <font>
      <sz val="11"/>
      <color theme="0"/>
      <name val="Roboto Light"/>
    </font>
    <font>
      <b/>
      <sz val="18"/>
      <color theme="1"/>
      <name val="Roboto Light"/>
    </font>
    <font>
      <sz val="18"/>
      <color theme="1"/>
      <name val="Roboto Black"/>
    </font>
    <font>
      <b/>
      <sz val="18"/>
      <color theme="0"/>
      <name val="Roboto Black"/>
    </font>
    <font>
      <sz val="18"/>
      <color theme="0"/>
      <name val="Roboto Black"/>
    </font>
    <font>
      <b/>
      <sz val="12"/>
      <color theme="3" tint="0.39997558519241921"/>
      <name val="Roboto Light"/>
    </font>
    <font>
      <b/>
      <sz val="11"/>
      <color theme="3" tint="0.39997558519241921"/>
      <name val="Roboto Light"/>
    </font>
    <font>
      <b/>
      <i/>
      <sz val="11"/>
      <color theme="3" tint="0.39997558519241921"/>
      <name val="Roboto Light"/>
    </font>
    <font>
      <i/>
      <sz val="11"/>
      <color theme="3" tint="0.39997558519241921"/>
      <name val="Roboto Light"/>
    </font>
    <font>
      <sz val="11"/>
      <color theme="3" tint="0.39997558519241921"/>
      <name val="Roboto Light"/>
    </font>
    <font>
      <b/>
      <sz val="14"/>
      <color theme="3" tint="0.39997558519241921"/>
      <name val="Roboto"/>
    </font>
    <font>
      <b/>
      <sz val="11"/>
      <color rgb="FFBD8585"/>
      <name val="Roboto Light"/>
    </font>
    <font>
      <b/>
      <sz val="12"/>
      <color rgb="FFBD8585"/>
      <name val="Roboto Light"/>
    </font>
    <font>
      <b/>
      <i/>
      <sz val="11"/>
      <color rgb="FFBD8585"/>
      <name val="Roboto Light"/>
    </font>
    <font>
      <sz val="11"/>
      <color rgb="FFBD8585"/>
      <name val="Roboto Light"/>
    </font>
    <font>
      <i/>
      <sz val="11"/>
      <color rgb="FFBD8585"/>
      <name val="Roboto Light"/>
    </font>
    <font>
      <b/>
      <sz val="14"/>
      <color rgb="FFBD8585"/>
      <name val="Roboto"/>
    </font>
    <font>
      <i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Roboto"/>
    </font>
  </fonts>
  <fills count="11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4"/>
      </right>
      <top/>
      <bottom/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double">
        <color theme="4"/>
      </right>
      <top/>
      <bottom style="double">
        <color theme="4"/>
      </bottom>
      <diagonal/>
    </border>
    <border>
      <left style="double">
        <color rgb="FFFF5B5B"/>
      </left>
      <right/>
      <top style="double">
        <color rgb="FFFF5B5B"/>
      </top>
      <bottom/>
      <diagonal/>
    </border>
    <border>
      <left/>
      <right/>
      <top style="double">
        <color rgb="FFFF5B5B"/>
      </top>
      <bottom/>
      <diagonal/>
    </border>
    <border>
      <left/>
      <right style="double">
        <color rgb="FFFF5B5B"/>
      </right>
      <top style="double">
        <color rgb="FFFF5B5B"/>
      </top>
      <bottom/>
      <diagonal/>
    </border>
    <border>
      <left style="double">
        <color rgb="FFFF5B5B"/>
      </left>
      <right/>
      <top/>
      <bottom/>
      <diagonal/>
    </border>
    <border>
      <left/>
      <right style="double">
        <color rgb="FFFF5B5B"/>
      </right>
      <top/>
      <bottom/>
      <diagonal/>
    </border>
    <border>
      <left style="double">
        <color rgb="FFFF5B5B"/>
      </left>
      <right/>
      <top/>
      <bottom style="double">
        <color rgb="FFFF5B5B"/>
      </bottom>
      <diagonal/>
    </border>
    <border>
      <left/>
      <right/>
      <top/>
      <bottom style="double">
        <color rgb="FFFF5B5B"/>
      </bottom>
      <diagonal/>
    </border>
    <border>
      <left/>
      <right style="double">
        <color rgb="FFFF5B5B"/>
      </right>
      <top/>
      <bottom style="double">
        <color rgb="FFFF5B5B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quotePrefix="1" applyFont="1"/>
    <xf numFmtId="0" fontId="6" fillId="0" borderId="0" xfId="0" applyFont="1" applyAlignment="1">
      <alignment horizontal="center"/>
    </xf>
    <xf numFmtId="0" fontId="7" fillId="0" borderId="0" xfId="0" applyFont="1"/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18" fillId="5" borderId="0" xfId="0" applyFont="1" applyFill="1" applyAlignment="1">
      <alignment horizontal="right"/>
    </xf>
    <xf numFmtId="0" fontId="19" fillId="5" borderId="0" xfId="0" applyFont="1" applyFill="1"/>
    <xf numFmtId="7" fontId="19" fillId="5" borderId="0" xfId="0" applyNumberFormat="1" applyFont="1" applyFill="1"/>
    <xf numFmtId="0" fontId="4" fillId="0" borderId="1" xfId="0" applyFont="1" applyBorder="1"/>
    <xf numFmtId="0" fontId="4" fillId="5" borderId="0" xfId="0" applyFont="1" applyFill="1"/>
    <xf numFmtId="0" fontId="16" fillId="4" borderId="6" xfId="0" applyFont="1" applyFill="1" applyBorder="1" applyAlignment="1">
      <alignment horizontal="center"/>
    </xf>
    <xf numFmtId="0" fontId="17" fillId="5" borderId="5" xfId="0" applyFont="1" applyFill="1" applyBorder="1"/>
    <xf numFmtId="0" fontId="4" fillId="5" borderId="6" xfId="0" applyFont="1" applyFill="1" applyBorder="1"/>
    <xf numFmtId="0" fontId="9" fillId="5" borderId="5" xfId="0" applyFont="1" applyFill="1" applyBorder="1" applyAlignment="1">
      <alignment horizontal="right"/>
    </xf>
    <xf numFmtId="7" fontId="19" fillId="5" borderId="6" xfId="0" applyNumberFormat="1" applyFont="1" applyFill="1" applyBorder="1"/>
    <xf numFmtId="0" fontId="9" fillId="5" borderId="7" xfId="0" applyFont="1" applyFill="1" applyBorder="1" applyAlignment="1">
      <alignment horizontal="right"/>
    </xf>
    <xf numFmtId="0" fontId="18" fillId="5" borderId="8" xfId="0" applyFont="1" applyFill="1" applyBorder="1" applyAlignment="1">
      <alignment horizontal="right"/>
    </xf>
    <xf numFmtId="0" fontId="19" fillId="5" borderId="8" xfId="0" applyFont="1" applyFill="1" applyBorder="1"/>
    <xf numFmtId="7" fontId="19" fillId="5" borderId="9" xfId="0" applyNumberFormat="1" applyFont="1" applyFill="1" applyBorder="1"/>
    <xf numFmtId="0" fontId="4" fillId="0" borderId="6" xfId="0" applyFont="1" applyBorder="1"/>
    <xf numFmtId="0" fontId="21" fillId="6" borderId="0" xfId="0" applyFont="1" applyFill="1" applyAlignment="1">
      <alignment horizontal="center"/>
    </xf>
    <xf numFmtId="0" fontId="21" fillId="6" borderId="14" xfId="0" applyFont="1" applyFill="1" applyBorder="1" applyAlignment="1">
      <alignment horizontal="center"/>
    </xf>
    <xf numFmtId="0" fontId="23" fillId="7" borderId="13" xfId="0" applyFont="1" applyFill="1" applyBorder="1"/>
    <xf numFmtId="0" fontId="24" fillId="7" borderId="0" xfId="0" applyFont="1" applyFill="1"/>
    <xf numFmtId="0" fontId="24" fillId="7" borderId="14" xfId="0" applyFont="1" applyFill="1" applyBorder="1"/>
    <xf numFmtId="0" fontId="25" fillId="7" borderId="13" xfId="0" applyFont="1" applyFill="1" applyBorder="1" applyAlignment="1">
      <alignment horizontal="right"/>
    </xf>
    <xf numFmtId="0" fontId="25" fillId="7" borderId="0" xfId="0" applyFont="1" applyFill="1" applyAlignment="1">
      <alignment horizontal="right"/>
    </xf>
    <xf numFmtId="7" fontId="24" fillId="7" borderId="0" xfId="0" applyNumberFormat="1" applyFont="1" applyFill="1"/>
    <xf numFmtId="7" fontId="24" fillId="7" borderId="14" xfId="0" applyNumberFormat="1" applyFont="1" applyFill="1" applyBorder="1"/>
    <xf numFmtId="7" fontId="25" fillId="7" borderId="0" xfId="0" applyNumberFormat="1" applyFont="1" applyFill="1" applyAlignment="1">
      <alignment horizontal="right"/>
    </xf>
    <xf numFmtId="0" fontId="25" fillId="7" borderId="15" xfId="0" applyFont="1" applyFill="1" applyBorder="1" applyAlignment="1">
      <alignment horizontal="right"/>
    </xf>
    <xf numFmtId="0" fontId="25" fillId="7" borderId="16" xfId="0" applyFont="1" applyFill="1" applyBorder="1" applyAlignment="1">
      <alignment horizontal="right"/>
    </xf>
    <xf numFmtId="0" fontId="24" fillId="7" borderId="16" xfId="0" applyFont="1" applyFill="1" applyBorder="1"/>
    <xf numFmtId="7" fontId="24" fillId="7" borderId="17" xfId="0" applyNumberFormat="1" applyFont="1" applyFill="1" applyBorder="1"/>
    <xf numFmtId="164" fontId="19" fillId="5" borderId="6" xfId="0" applyNumberFormat="1" applyFont="1" applyFill="1" applyBorder="1"/>
    <xf numFmtId="164" fontId="24" fillId="7" borderId="14" xfId="0" applyNumberFormat="1" applyFont="1" applyFill="1" applyBorder="1"/>
    <xf numFmtId="0" fontId="14" fillId="0" borderId="0" xfId="0" applyFont="1" applyAlignment="1">
      <alignment vertical="center"/>
    </xf>
    <xf numFmtId="17" fontId="14" fillId="0" borderId="0" xfId="0" applyNumberFormat="1" applyFont="1" applyAlignment="1">
      <alignment vertical="center"/>
    </xf>
    <xf numFmtId="164" fontId="4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0" xfId="0" quotePrefix="1" applyFont="1"/>
    <xf numFmtId="0" fontId="10" fillId="0" borderId="0" xfId="0" applyFont="1"/>
    <xf numFmtId="0" fontId="27" fillId="0" borderId="0" xfId="0" applyFont="1" applyAlignment="1">
      <alignment horizontal="center" vertical="center" wrapText="1"/>
    </xf>
    <xf numFmtId="0" fontId="29" fillId="8" borderId="0" xfId="0" applyFont="1" applyFill="1" applyAlignment="1">
      <alignment horizontal="right"/>
    </xf>
    <xf numFmtId="0" fontId="29" fillId="8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right"/>
    </xf>
    <xf numFmtId="0" fontId="29" fillId="0" borderId="0" xfId="0" applyFont="1" applyAlignment="1">
      <alignment horizontal="center" vertical="center" wrapText="1"/>
    </xf>
    <xf numFmtId="0" fontId="28" fillId="9" borderId="18" xfId="0" applyFont="1" applyFill="1" applyBorder="1"/>
    <xf numFmtId="17" fontId="13" fillId="3" borderId="2" xfId="0" applyNumberFormat="1" applyFont="1" applyFill="1" applyBorder="1" applyAlignment="1">
      <alignment horizontal="center" vertical="center"/>
    </xf>
    <xf numFmtId="17" fontId="13" fillId="3" borderId="3" xfId="0" applyNumberFormat="1" applyFont="1" applyFill="1" applyBorder="1" applyAlignment="1">
      <alignment horizontal="center" vertical="center"/>
    </xf>
    <xf numFmtId="17" fontId="13" fillId="3" borderId="4" xfId="0" applyNumberFormat="1" applyFont="1" applyFill="1" applyBorder="1" applyAlignment="1">
      <alignment horizontal="center" vertical="center"/>
    </xf>
    <xf numFmtId="17" fontId="13" fillId="2" borderId="10" xfId="0" applyNumberFormat="1" applyFont="1" applyFill="1" applyBorder="1" applyAlignment="1">
      <alignment horizontal="center" vertical="center"/>
    </xf>
    <xf numFmtId="17" fontId="13" fillId="2" borderId="11" xfId="0" applyNumberFormat="1" applyFont="1" applyFill="1" applyBorder="1" applyAlignment="1">
      <alignment horizontal="center" vertical="center"/>
    </xf>
    <xf numFmtId="17" fontId="13" fillId="2" borderId="1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4" fontId="15" fillId="5" borderId="0" xfId="0" applyNumberFormat="1" applyFont="1" applyFill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164" fontId="15" fillId="5" borderId="6" xfId="0" applyNumberFormat="1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164" fontId="20" fillId="5" borderId="5" xfId="0" applyNumberFormat="1" applyFont="1" applyFill="1" applyBorder="1" applyAlignment="1">
      <alignment horizontal="center" vertical="center"/>
    </xf>
    <xf numFmtId="164" fontId="20" fillId="5" borderId="0" xfId="0" applyNumberFormat="1" applyFont="1" applyFill="1" applyAlignment="1">
      <alignment horizontal="center" vertical="center"/>
    </xf>
    <xf numFmtId="164" fontId="20" fillId="5" borderId="7" xfId="0" applyNumberFormat="1" applyFont="1" applyFill="1" applyBorder="1" applyAlignment="1">
      <alignment horizontal="center" vertical="center"/>
    </xf>
    <xf numFmtId="164" fontId="20" fillId="5" borderId="8" xfId="0" applyNumberFormat="1" applyFont="1" applyFill="1" applyBorder="1" applyAlignment="1">
      <alignment horizontal="center" vertical="center"/>
    </xf>
    <xf numFmtId="0" fontId="21" fillId="6" borderId="13" xfId="0" applyFont="1" applyFill="1" applyBorder="1" applyAlignment="1">
      <alignment horizontal="center"/>
    </xf>
    <xf numFmtId="0" fontId="21" fillId="6" borderId="0" xfId="0" applyFont="1" applyFill="1" applyAlignment="1">
      <alignment horizontal="center"/>
    </xf>
    <xf numFmtId="164" fontId="26" fillId="7" borderId="13" xfId="0" applyNumberFormat="1" applyFont="1" applyFill="1" applyBorder="1" applyAlignment="1">
      <alignment horizontal="center" vertical="center"/>
    </xf>
    <xf numFmtId="164" fontId="26" fillId="7" borderId="0" xfId="0" applyNumberFormat="1" applyFont="1" applyFill="1" applyAlignment="1">
      <alignment horizontal="center" vertical="center"/>
    </xf>
    <xf numFmtId="164" fontId="26" fillId="7" borderId="15" xfId="0" applyNumberFormat="1" applyFont="1" applyFill="1" applyBorder="1" applyAlignment="1">
      <alignment horizontal="center" vertical="center"/>
    </xf>
    <xf numFmtId="164" fontId="26" fillId="7" borderId="16" xfId="0" applyNumberFormat="1" applyFont="1" applyFill="1" applyBorder="1" applyAlignment="1">
      <alignment horizontal="center" vertical="center"/>
    </xf>
    <xf numFmtId="164" fontId="22" fillId="7" borderId="0" xfId="0" applyNumberFormat="1" applyFont="1" applyFill="1" applyAlignment="1">
      <alignment horizontal="center" vertical="center"/>
    </xf>
    <xf numFmtId="0" fontId="22" fillId="7" borderId="16" xfId="0" applyFont="1" applyFill="1" applyBorder="1" applyAlignment="1">
      <alignment horizontal="center" vertical="center"/>
    </xf>
    <xf numFmtId="164" fontId="22" fillId="7" borderId="14" xfId="0" applyNumberFormat="1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10" borderId="0" xfId="0" applyFill="1" applyAlignment="1">
      <alignment horizontal="center"/>
    </xf>
  </cellXfs>
  <cellStyles count="1">
    <cellStyle name="Standaard" xfId="0" builtinId="0"/>
  </cellStyles>
  <dxfs count="1041"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Roboto Light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 Light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strike val="0"/>
        <outline val="0"/>
        <shadow val="0"/>
        <u val="none"/>
        <vertAlign val="baseline"/>
        <name val="Roboto Light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Roboto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Roboto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right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</dxf>
    <dxf>
      <font>
        <color rgb="FFBD8585"/>
      </font>
      <fill>
        <patternFill>
          <bgColor rgb="FFFFC5C5"/>
        </patternFill>
      </fill>
      <border>
        <vertical style="thin">
          <color theme="0"/>
        </vertical>
      </border>
    </dxf>
    <dxf>
      <font>
        <color rgb="FFBD8585"/>
      </font>
      <fill>
        <patternFill>
          <bgColor rgb="FFFFD1D1"/>
        </patternFill>
      </fill>
      <border>
        <vertical style="thin">
          <color theme="0"/>
        </vertical>
      </border>
    </dxf>
    <dxf>
      <font>
        <b/>
        <i val="0"/>
        <color theme="0"/>
      </font>
      <fill>
        <patternFill>
          <bgColor rgb="FFFF8F8F"/>
        </patternFill>
      </fill>
    </dxf>
    <dxf>
      <font>
        <b/>
        <i val="0"/>
        <color theme="0"/>
      </font>
      <fill>
        <patternFill>
          <bgColor rgb="FFFF8B8B"/>
        </patternFill>
      </fill>
    </dxf>
  </dxfs>
  <tableStyles count="1" defaultTableStyle="TableStyleMedium2" defaultPivotStyle="PivotStyleLight16">
    <tableStyle name="Style de tableau corail" pivot="0" count="4" xr9:uid="{D42B3A67-0BDF-4F01-B2B3-B236E089A3FC}">
      <tableStyleElement type="headerRow" dxfId="1040"/>
      <tableStyleElement type="totalRow" dxfId="1039"/>
      <tableStyleElement type="firstRowStripe" dxfId="1038"/>
      <tableStyleElement type="secondRowStripe" dxfId="1037"/>
    </tableStyle>
  </tableStyles>
  <colors>
    <mruColors>
      <color rgb="FFFFC5C5"/>
      <color rgb="FFFFB3B3"/>
      <color rgb="FFBD8585"/>
      <color rgb="FFFFD1D1"/>
      <color rgb="FFFF8F8F"/>
      <color rgb="FFFF8B8B"/>
      <color rgb="FFFFA7A7"/>
      <color rgb="FFD9AFA3"/>
      <color rgb="FFFF7D7D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62F13CA-17AC-4D15-80CE-AC064A9E3435}" name="Tableau4" displayName="Tableau4" ref="B5:C22" totalsRowShown="0" headerRowDxfId="1036" headerRowBorderDxfId="1035" tableBorderDxfId="1034">
  <autoFilter ref="B5:C22" xr:uid="{D62F13CA-17AC-4D15-80CE-AC064A9E3435}"/>
  <tableColumns count="2">
    <tableColumn id="1" xr3:uid="{0AF10ADE-1190-4D11-A653-0700CB24B228}" name="MOTS CLES" dataDxfId="1033"/>
    <tableColumn id="2" xr3:uid="{1FFD93FB-810A-4A00-8CCB-E6329B6C98C3}" name="CATEGORIES" dataDxfId="10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7E1B0C-A2C8-4BF8-856A-486A42CA1FD9}" name="Tableau1" displayName="Tableau1" ref="D14:G16" totalsRowCount="1" headerRowDxfId="1031" dataDxfId="1030" totalsRowDxfId="1029">
  <autoFilter ref="D14:G15" xr:uid="{E17E1B0C-A2C8-4BF8-856A-486A42CA1FD9}">
    <filterColumn colId="0" hiddenButton="1"/>
    <filterColumn colId="1" hiddenButton="1"/>
    <filterColumn colId="2" hiddenButton="1"/>
    <filterColumn colId="3" hiddenButton="1"/>
  </autoFilter>
  <tableColumns count="4">
    <tableColumn id="1" xr3:uid="{BF0041A3-9771-4031-9A00-E8CAE3F3B0C1}" name="HANANE OPERATIONS" totalsRowLabel="Total" dataDxfId="1028" totalsRowDxfId="1027"/>
    <tableColumn id="2" xr3:uid="{C5867871-685B-4184-8ECC-A7CEAB43DD47}" name="DEBIT" totalsRowFunction="custom" dataDxfId="1026" totalsRowDxfId="1025">
      <totalsRowFormula>SUM(Tableau1[DEBIT])</totalsRowFormula>
    </tableColumn>
    <tableColumn id="3" xr3:uid="{78FB608C-36A7-4994-91CB-A7F6DB287E62}" name="CREDIT" totalsRowFunction="custom" dataDxfId="1024" totalsRowDxfId="1023">
      <totalsRowFormula>SUM(Tableau1[CREDIT])</totalsRowFormula>
    </tableColumn>
    <tableColumn id="4" xr3:uid="{CCE9E052-1BFA-4269-BDA5-59E8C496ED5E}" name="CATEGORIE" totalsRowFunction="custom" dataDxfId="1022" totalsRowDxfId="1021">
      <totalsRowFormula>SUM(Tableau1[[#Totals],[DEBIT]:[CREDIT]])</totalsRow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38C4F2-7B9C-4223-B02D-60A62DB9A165}" name="Tableau3" displayName="Tableau3" ref="D18:G25" totalsRowCount="1" headerRowDxfId="1020" dataDxfId="1019">
  <autoFilter ref="D18:G24" xr:uid="{0738C4F2-7B9C-4223-B02D-60A62DB9A165}">
    <filterColumn colId="0" hiddenButton="1"/>
    <filterColumn colId="1" hiddenButton="1"/>
    <filterColumn colId="2" hiddenButton="1"/>
    <filterColumn colId="3" hiddenButton="1"/>
  </autoFilter>
  <tableColumns count="4">
    <tableColumn id="1" xr3:uid="{3C1C14C1-B789-4736-990C-49F64F19FD35}" name="ROMAIN OPERATIONS" totalsRowLabel="Total" dataDxfId="1018" totalsRowDxfId="1017"/>
    <tableColumn id="2" xr3:uid="{5B0DDC84-4292-4E4F-A48E-596EF824B100}" name="DEBIT" totalsRowFunction="custom" dataDxfId="1016" totalsRowDxfId="1015">
      <totalsRowFormula>SUM(Tableau3[DEBIT])</totalsRowFormula>
    </tableColumn>
    <tableColumn id="3" xr3:uid="{5B9FBDF2-DD18-418B-8242-04DF6EEC31F9}" name="CREDIT" totalsRowFunction="custom" dataDxfId="1014" totalsRowDxfId="1013">
      <totalsRowFormula>SUM(Tableau3[CREDIT])</totalsRowFormula>
    </tableColumn>
    <tableColumn id="4" xr3:uid="{DF14779D-38D8-4BCF-AFE3-5394247EA079}" name="CATEGORIE" totalsRowFunction="custom" dataDxfId="1012" totalsRowDxfId="1011">
      <totalsRowFormula>SUM(Tableau3[[#Totals],[CREDIT]],Tableau3[[#Totals],[DEBIT]])</totalsRow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F6C09B-BCC6-4432-B57B-8D71340BA4C5}" name="Tableau16" displayName="Tableau16" ref="I14:L16" totalsRowCount="1" headerRowDxfId="1010" dataDxfId="1009" totalsRowDxfId="1008">
  <autoFilter ref="I14:L15" xr:uid="{10F6C09B-BCC6-4432-B57B-8D71340BA4C5}">
    <filterColumn colId="0" hiddenButton="1"/>
    <filterColumn colId="1" hiddenButton="1"/>
    <filterColumn colId="2" hiddenButton="1"/>
    <filterColumn colId="3" hiddenButton="1"/>
  </autoFilter>
  <tableColumns count="4">
    <tableColumn id="1" xr3:uid="{71E5AD35-C96D-4CA2-800B-29C70F376E75}" name="HANANE OPERATIONS" totalsRowLabel="Total" dataDxfId="1007" totalsRowDxfId="1006"/>
    <tableColumn id="2" xr3:uid="{0CFDFB1B-3ECD-49D7-9021-5773DC2558DF}" name="DEBIT" totalsRowFunction="custom" dataDxfId="1005" totalsRowDxfId="1004">
      <totalsRowFormula>SUM(Tableau16[DEBIT])</totalsRowFormula>
    </tableColumn>
    <tableColumn id="3" xr3:uid="{506561CA-3BD9-48E1-BED3-27F015C41BC4}" name="CREDIT" totalsRowFunction="custom" dataDxfId="1003" totalsRowDxfId="1002">
      <totalsRowFormula>SUM(Tableau16[CREDIT])</totalsRowFormula>
    </tableColumn>
    <tableColumn id="4" xr3:uid="{7E600157-1085-48C0-A213-E5EBFE6896A3}" name="CATEGORIE" totalsRowFunction="custom" dataDxfId="1001" totalsRowDxfId="1000">
      <totalsRowFormula>SUM(Tableau16[[#Totals],[DEBIT]:[CREDIT]])</totalsRowFormula>
    </tableColumn>
  </tableColumns>
  <tableStyleInfo name="Style de tableau corail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A65049-9256-4B4F-94D8-7FC1627F3F9C}" name="Tableau33" displayName="Tableau33" ref="I18:L20" totalsRowCount="1" headerRowDxfId="999" dataDxfId="998">
  <autoFilter ref="I18:L19" xr:uid="{BDA65049-9256-4B4F-94D8-7FC1627F3F9C}">
    <filterColumn colId="0" hiddenButton="1"/>
    <filterColumn colId="1" hiddenButton="1"/>
    <filterColumn colId="2" hiddenButton="1"/>
    <filterColumn colId="3" hiddenButton="1"/>
  </autoFilter>
  <tableColumns count="4">
    <tableColumn id="1" xr3:uid="{2C88F1B7-D56D-4B22-97FA-F2A26419D827}" name="ROMAIN OPERATIONS" totalsRowLabel="Total" dataDxfId="997" totalsRowDxfId="996"/>
    <tableColumn id="2" xr3:uid="{A23B7806-4C1A-4CAD-833D-E9E4BE62151C}" name="DEBIT" totalsRowFunction="custom" dataDxfId="995" totalsRowDxfId="994">
      <totalsRowFormula>SUM(Tableau33[DEBIT])</totalsRowFormula>
    </tableColumn>
    <tableColumn id="3" xr3:uid="{85FA1934-1239-4A23-BA74-CEC969F17194}" name="CREDIT" totalsRowFunction="custom" dataDxfId="993" totalsRowDxfId="992">
      <totalsRowFormula>SUM(Tableau33[CREDIT])</totalsRowFormula>
    </tableColumn>
    <tableColumn id="4" xr3:uid="{B25C583D-ECD0-4F98-AF1E-71C97A4918EC}" name="CATEGORIE" totalsRowFunction="custom" dataDxfId="991" totalsRowDxfId="990">
      <totalsRowFormula>SUM(Tableau33[[#Totals],[CREDIT]],Tableau33[[#Totals],[DEBIT]])</totalsRowFormula>
    </tableColumn>
  </tableColumns>
  <tableStyleInfo name="Style de tableau corail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AFB46BF6-3532-4024-B725-44E9AAFD71DE}" name="Tableau1100" displayName="Tableau1100" ref="N14:Q16" totalsRowCount="1" headerRowDxfId="989" dataDxfId="988" totalsRowDxfId="987">
  <autoFilter ref="N14:Q15" xr:uid="{AFB46BF6-3532-4024-B725-44E9AAFD71DE}">
    <filterColumn colId="0" hiddenButton="1"/>
    <filterColumn colId="1" hiddenButton="1"/>
    <filterColumn colId="2" hiddenButton="1"/>
    <filterColumn colId="3" hiddenButton="1"/>
  </autoFilter>
  <tableColumns count="4">
    <tableColumn id="1" xr3:uid="{C7FB72E4-9CE5-4690-B7F3-85DAD21515B9}" name="HANANE OPERATIONS" totalsRowLabel="Total" dataDxfId="986" totalsRowDxfId="985"/>
    <tableColumn id="2" xr3:uid="{925FE31E-8206-4BD6-9C42-30C14BBBEEFF}" name="DEBIT" totalsRowFunction="custom" dataDxfId="984" totalsRowDxfId="983">
      <totalsRowFormula>SUM(Tableau1100[DEBIT])</totalsRowFormula>
    </tableColumn>
    <tableColumn id="3" xr3:uid="{DCFD6919-3D5A-4F4D-A7EB-32B03471AAE4}" name="CREDIT" totalsRowFunction="custom" dataDxfId="982" totalsRowDxfId="981">
      <totalsRowFormula>SUM(Tableau1100[CREDIT])</totalsRowFormula>
    </tableColumn>
    <tableColumn id="4" xr3:uid="{F2778B28-D6E5-4272-B2E2-100619E147AD}" name="CATEGORIE" totalsRowFunction="custom" dataDxfId="980" totalsRowDxfId="979">
      <totalsRowFormula>SUM(Tableau1100[[#Totals],[DEBIT]:[CREDIT]])</totalsRow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5BDE818E-7A2D-4C7B-A5F9-29BB2E9B63F1}" name="Tableau3102" displayName="Tableau3102" ref="N18:Q20" totalsRowCount="1" headerRowDxfId="978" dataDxfId="977">
  <autoFilter ref="N18:Q19" xr:uid="{5BDE818E-7A2D-4C7B-A5F9-29BB2E9B63F1}">
    <filterColumn colId="0" hiddenButton="1"/>
    <filterColumn colId="1" hiddenButton="1"/>
    <filterColumn colId="2" hiddenButton="1"/>
    <filterColumn colId="3" hiddenButton="1"/>
  </autoFilter>
  <tableColumns count="4">
    <tableColumn id="1" xr3:uid="{25851774-DC43-40CC-827B-0703CC7D7D26}" name="ROMAIN OPERATIONS" totalsRowLabel="Total" dataDxfId="976" totalsRowDxfId="975"/>
    <tableColumn id="2" xr3:uid="{B102458F-1B85-4930-B1D7-B6EA9880619E}" name="DEBIT" totalsRowFunction="custom" dataDxfId="974" totalsRowDxfId="973">
      <totalsRowFormula>SUM(Tableau3102[DEBIT])</totalsRowFormula>
    </tableColumn>
    <tableColumn id="3" xr3:uid="{3C5526FE-D66A-401B-ACD8-74B81F817E09}" name="CREDIT" totalsRowFunction="custom" dataDxfId="972" totalsRowDxfId="971">
      <totalsRowFormula>SUM(Tableau3102[CREDIT])</totalsRowFormula>
    </tableColumn>
    <tableColumn id="4" xr3:uid="{CDF71FD6-BD87-40C8-A6AC-C3CA7496B354}" name="CATEGORIE" totalsRowFunction="custom" dataDxfId="970" totalsRowDxfId="969">
      <totalsRowFormula>SUM(Tableau3102[[#Totals],[CREDIT]],Tableau3102[[#Totals],[DEBIT]])</totalsRowFormula>
    </tableColumn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B2948FFF-CD86-4603-A34C-B50805D360A0}" name="Tableau16103" displayName="Tableau16103" ref="S14:V16" totalsRowCount="1" headerRowDxfId="968" dataDxfId="967" totalsRowDxfId="966">
  <autoFilter ref="S14:V15" xr:uid="{B2948FFF-CD86-4603-A34C-B50805D360A0}">
    <filterColumn colId="0" hiddenButton="1"/>
    <filterColumn colId="1" hiddenButton="1"/>
    <filterColumn colId="2" hiddenButton="1"/>
    <filterColumn colId="3" hiddenButton="1"/>
  </autoFilter>
  <tableColumns count="4">
    <tableColumn id="1" xr3:uid="{B6FE2FAA-308B-4378-AD91-FDE402A940DB}" name="HANANE OPERATIONS" totalsRowLabel="Total" dataDxfId="965" totalsRowDxfId="964"/>
    <tableColumn id="2" xr3:uid="{B74C16FD-C790-4B8B-B155-1E64BA25EC27}" name="DEBIT" totalsRowFunction="custom" dataDxfId="963" totalsRowDxfId="962">
      <totalsRowFormula>SUM(Tableau16103[DEBIT])</totalsRowFormula>
    </tableColumn>
    <tableColumn id="3" xr3:uid="{34DB35AA-CFDB-4066-925E-9192089297B1}" name="CREDIT" totalsRowFunction="custom" dataDxfId="961" totalsRowDxfId="960">
      <totalsRowFormula>SUM(Tableau16103[CREDIT])</totalsRowFormula>
    </tableColumn>
    <tableColumn id="4" xr3:uid="{B75E648D-3127-4403-8C72-FBF48C536EB0}" name="CATEGORIE" totalsRowFunction="custom" dataDxfId="959" totalsRowDxfId="958">
      <totalsRowFormula>SUM(Tableau16103[[#Totals],[DEBIT]:[CREDIT]])</totalsRowFormula>
    </tableColumn>
  </tableColumns>
  <tableStyleInfo name="Style de tableau corail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8D75852C-7D4B-4605-8B3D-5D0F2EAAE0B7}" name="Tableau33104" displayName="Tableau33104" ref="S18:V20" totalsRowCount="1" headerRowDxfId="957" dataDxfId="956">
  <autoFilter ref="S18:V19" xr:uid="{8D75852C-7D4B-4605-8B3D-5D0F2EAAE0B7}">
    <filterColumn colId="0" hiddenButton="1"/>
    <filterColumn colId="1" hiddenButton="1"/>
    <filterColumn colId="2" hiddenButton="1"/>
    <filterColumn colId="3" hiddenButton="1"/>
  </autoFilter>
  <tableColumns count="4">
    <tableColumn id="1" xr3:uid="{DD517579-8C64-4212-865C-199821F3E009}" name="ROMAIN OPERATIONS" totalsRowLabel="Total" dataDxfId="955" totalsRowDxfId="954"/>
    <tableColumn id="2" xr3:uid="{BB782B0C-CBC7-4829-BBA6-58D46BBA6E1F}" name="DEBIT" totalsRowFunction="custom" dataDxfId="953" totalsRowDxfId="952">
      <totalsRowFormula>SUM(Tableau33104[DEBIT])</totalsRowFormula>
    </tableColumn>
    <tableColumn id="3" xr3:uid="{A2C2653A-7E60-4B49-9A54-547D1CFAB181}" name="CREDIT" totalsRowFunction="custom" dataDxfId="951" totalsRowDxfId="950">
      <totalsRowFormula>SUM(Tableau33104[CREDIT])</totalsRowFormula>
    </tableColumn>
    <tableColumn id="4" xr3:uid="{CFF8E495-7CF6-4DF0-AEF9-AD031FB4D459}" name="CATEGORIE" totalsRowFunction="custom" dataDxfId="949" totalsRowDxfId="948">
      <totalsRowFormula>SUM(Tableau33104[[#Totals],[CREDIT]],Tableau33104[[#Totals],[DEBIT]])</totalsRowFormula>
    </tableColumn>
  </tableColumns>
  <tableStyleInfo name="Style de tableau corail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BD6E6E32-EC31-4411-B6CD-C4C13AC10D01}" name="Tableau1105" displayName="Tableau1105" ref="X14:AA16" totalsRowCount="1" headerRowDxfId="947" dataDxfId="946" totalsRowDxfId="945">
  <autoFilter ref="X14:AA15" xr:uid="{BD6E6E32-EC31-4411-B6CD-C4C13AC10D01}">
    <filterColumn colId="0" hiddenButton="1"/>
    <filterColumn colId="1" hiddenButton="1"/>
    <filterColumn colId="2" hiddenButton="1"/>
    <filterColumn colId="3" hiddenButton="1"/>
  </autoFilter>
  <tableColumns count="4">
    <tableColumn id="1" xr3:uid="{C1E8534B-5510-4F2D-A2A6-6C3CF201E01B}" name="HANANE OPERATIONS" totalsRowLabel="Total" dataDxfId="944" totalsRowDxfId="943"/>
    <tableColumn id="2" xr3:uid="{2B52909F-CE6F-4A6C-9FD2-572BFA19ED8D}" name="DEBIT" totalsRowFunction="custom" dataDxfId="942" totalsRowDxfId="941">
      <totalsRowFormula>SUM(Tableau1105[DEBIT])</totalsRowFormula>
    </tableColumn>
    <tableColumn id="3" xr3:uid="{A26420D7-3C13-4BB5-80C6-6F88BD07323C}" name="CREDIT" totalsRowFunction="custom" dataDxfId="940" totalsRowDxfId="939">
      <totalsRowFormula>SUM(Tableau1105[CREDIT])</totalsRowFormula>
    </tableColumn>
    <tableColumn id="4" xr3:uid="{376F58D6-30EE-40FD-A071-68F4BB1D43B6}" name="CATEGORIE" totalsRowFunction="custom" dataDxfId="938" totalsRowDxfId="937">
      <totalsRowFormula>SUM(Tableau1105[[#Totals],[DEBIT]:[CREDIT]])</totalsRowFormula>
    </tableColumn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DEEA8309-C1D6-4999-B8BE-B89EE215C63A}" name="Tableau3106" displayName="Tableau3106" ref="X18:AA20" totalsRowCount="1" headerRowDxfId="936" dataDxfId="935">
  <autoFilter ref="X18:AA19" xr:uid="{DEEA8309-C1D6-4999-B8BE-B89EE215C63A}">
    <filterColumn colId="0" hiddenButton="1"/>
    <filterColumn colId="1" hiddenButton="1"/>
    <filterColumn colId="2" hiddenButton="1"/>
    <filterColumn colId="3" hiddenButton="1"/>
  </autoFilter>
  <tableColumns count="4">
    <tableColumn id="1" xr3:uid="{60C25525-2A6E-4AFA-900D-7FD963077006}" name="ROMAIN OPERATIONS" totalsRowLabel="Total" dataDxfId="934" totalsRowDxfId="933"/>
    <tableColumn id="2" xr3:uid="{9CDF8240-0E23-4406-9219-2E6877675671}" name="DEBIT" totalsRowFunction="custom" dataDxfId="932" totalsRowDxfId="931">
      <totalsRowFormula>SUM(Tableau3106[DEBIT])</totalsRowFormula>
    </tableColumn>
    <tableColumn id="3" xr3:uid="{F2CCD576-89AE-448C-A8B9-B2C38A9F4251}" name="CREDIT" totalsRowFunction="custom" dataDxfId="930" totalsRowDxfId="929">
      <totalsRowFormula>SUM(Tableau3106[CREDIT])</totalsRowFormula>
    </tableColumn>
    <tableColumn id="4" xr3:uid="{C44E74D9-F362-4905-AF72-CA6A844CCD67}" name="CATEGORIE" totalsRowFunction="custom" dataDxfId="928" totalsRowDxfId="927">
      <totalsRowFormula>SUM(Tableau3106[[#Totals],[CREDIT]],Tableau3106[[#Totals],[DEBIT]])</totalsRowFormula>
    </tableColumn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A0140927-F835-484A-AF1A-56DA194A1B12}" name="Tableau16107" displayName="Tableau16107" ref="AC14:AF16" totalsRowCount="1" headerRowDxfId="926" dataDxfId="925" totalsRowDxfId="924">
  <autoFilter ref="AC14:AF15" xr:uid="{A0140927-F835-484A-AF1A-56DA194A1B12}">
    <filterColumn colId="0" hiddenButton="1"/>
    <filterColumn colId="1" hiddenButton="1"/>
    <filterColumn colId="2" hiddenButton="1"/>
    <filterColumn colId="3" hiddenButton="1"/>
  </autoFilter>
  <tableColumns count="4">
    <tableColumn id="1" xr3:uid="{02994FC3-0BAD-4116-91C8-6D68204D8463}" name="HANANE OPERATIONS" totalsRowLabel="Total" dataDxfId="923" totalsRowDxfId="922"/>
    <tableColumn id="2" xr3:uid="{D70F2B5C-23BA-461A-8EE5-7EB55A4CEE9E}" name="DEBIT" totalsRowFunction="custom" dataDxfId="921" totalsRowDxfId="920">
      <totalsRowFormula>SUM(Tableau16107[DEBIT])</totalsRowFormula>
    </tableColumn>
    <tableColumn id="3" xr3:uid="{8CABF815-A58A-41A3-AC45-6D12F2846E07}" name="CREDIT" totalsRowFunction="custom" dataDxfId="919" totalsRowDxfId="918">
      <totalsRowFormula>SUM(Tableau16107[CREDIT])</totalsRowFormula>
    </tableColumn>
    <tableColumn id="4" xr3:uid="{8B52358D-88E0-4E8E-BCC3-48F78B0F9BD7}" name="CATEGORIE" totalsRowFunction="custom" dataDxfId="917" totalsRowDxfId="916">
      <totalsRowFormula>SUM(Tableau16107[[#Totals],[DEBIT]:[CREDIT]])</totalsRowFormula>
    </tableColumn>
  </tableColumns>
  <tableStyleInfo name="Style de tableau corail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AF6A11E9-E261-4857-A452-CE0CADBC916C}" name="Tableau33108" displayName="Tableau33108" ref="AC18:AF20" totalsRowCount="1" headerRowDxfId="915" dataDxfId="914">
  <autoFilter ref="AC18:AF19" xr:uid="{AF6A11E9-E261-4857-A452-CE0CADBC916C}">
    <filterColumn colId="0" hiddenButton="1"/>
    <filterColumn colId="1" hiddenButton="1"/>
    <filterColumn colId="2" hiddenButton="1"/>
    <filterColumn colId="3" hiddenButton="1"/>
  </autoFilter>
  <tableColumns count="4">
    <tableColumn id="1" xr3:uid="{0FD1A30F-11E3-4495-9AC8-062A964534A9}" name="ROMAIN OPERATIONS" totalsRowLabel="Total" dataDxfId="913" totalsRowDxfId="912"/>
    <tableColumn id="2" xr3:uid="{A82544FE-13E8-4467-AEA1-78D2A30DE1F7}" name="DEBIT" totalsRowFunction="custom" dataDxfId="911" totalsRowDxfId="910">
      <totalsRowFormula>SUM(Tableau33108[DEBIT])</totalsRowFormula>
    </tableColumn>
    <tableColumn id="3" xr3:uid="{5CFB49E2-9103-4866-88A2-6D5840F21F71}" name="CREDIT" totalsRowFunction="custom" dataDxfId="909" totalsRowDxfId="908">
      <totalsRowFormula>SUM(Tableau33108[CREDIT])</totalsRowFormula>
    </tableColumn>
    <tableColumn id="4" xr3:uid="{61D12486-50BF-4639-8FCA-F3247226C7FB}" name="CATEGORIE" totalsRowFunction="custom" dataDxfId="907" totalsRowDxfId="906">
      <totalsRowFormula>SUM(Tableau33108[[#Totals],[CREDIT]],Tableau33108[[#Totals],[DEBIT]])</totalsRowFormula>
    </tableColumn>
  </tableColumns>
  <tableStyleInfo name="Style de tableau corail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F23F619F-2EA9-457D-9F65-B80C1ADA588E}" name="Tableau1100109" displayName="Tableau1100109" ref="AH14:AK16" insertRow="1" totalsRowCount="1" headerRowDxfId="905" dataDxfId="904" totalsRowDxfId="903">
  <autoFilter ref="AH14:AK15" xr:uid="{F23F619F-2EA9-457D-9F65-B80C1ADA588E}">
    <filterColumn colId="0" hiddenButton="1"/>
    <filterColumn colId="1" hiddenButton="1"/>
    <filterColumn colId="2" hiddenButton="1"/>
    <filterColumn colId="3" hiddenButton="1"/>
  </autoFilter>
  <tableColumns count="4">
    <tableColumn id="1" xr3:uid="{8FC3D41D-E3CA-4CA8-8B16-C288127A53E5}" name="HANANE OPERATIONS" totalsRowLabel="Total" dataDxfId="902" totalsRowDxfId="901"/>
    <tableColumn id="2" xr3:uid="{5C54B886-9A48-493B-8E4E-554E517C0EFE}" name="DEBIT" totalsRowFunction="custom" dataDxfId="900" totalsRowDxfId="899">
      <totalsRowFormula>SUM(Tableau1100109[DEBIT])</totalsRowFormula>
    </tableColumn>
    <tableColumn id="3" xr3:uid="{9C00FB17-F222-412A-858E-19C813785E79}" name="CREDIT" totalsRowFunction="custom" dataDxfId="898" totalsRowDxfId="897">
      <totalsRowFormula>SUM(Tableau1100109[CREDIT])</totalsRowFormula>
    </tableColumn>
    <tableColumn id="4" xr3:uid="{799DDEF6-6F44-40CE-9274-77D96AD91D16}" name="CATEGORIE" totalsRowFunction="custom" dataDxfId="896" totalsRowDxfId="895">
      <totalsRowFormula>SUM(Tableau1100109[[#Totals],[DEBIT]:[CREDIT]])</totalsRowFormula>
    </tableColumn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3A4A9942-420B-439C-9F61-C3AC196DA68C}" name="Tableau3102110" displayName="Tableau3102110" ref="AH18:AK20" totalsRowCount="1" headerRowDxfId="894" dataDxfId="893">
  <autoFilter ref="AH18:AK19" xr:uid="{3A4A9942-420B-439C-9F61-C3AC196DA68C}">
    <filterColumn colId="0" hiddenButton="1"/>
    <filterColumn colId="1" hiddenButton="1"/>
    <filterColumn colId="2" hiddenButton="1"/>
    <filterColumn colId="3" hiddenButton="1"/>
  </autoFilter>
  <tableColumns count="4">
    <tableColumn id="1" xr3:uid="{2C6E0890-60FA-43C8-B9EA-AC7029E34775}" name="ROMAIN OPERATIONS" totalsRowLabel="Total" dataDxfId="892" totalsRowDxfId="891"/>
    <tableColumn id="2" xr3:uid="{3F627E58-C7D8-42AF-AAC5-3F69DA0D8A3B}" name="DEBIT" totalsRowFunction="custom" dataDxfId="890" totalsRowDxfId="889">
      <totalsRowFormula>SUM(Tableau3102110[DEBIT])</totalsRowFormula>
    </tableColumn>
    <tableColumn id="3" xr3:uid="{614E0EF3-7A2C-40AA-ACFE-B23BD74D5B6B}" name="CREDIT" totalsRowFunction="custom" dataDxfId="888" totalsRowDxfId="887">
      <totalsRowFormula>SUM(Tableau3102110[CREDIT])</totalsRowFormula>
    </tableColumn>
    <tableColumn id="4" xr3:uid="{ABBD8172-2D44-4EFC-94C8-00E39E1333B3}" name="CATEGORIE" totalsRowFunction="custom" dataDxfId="886" totalsRowDxfId="885">
      <totalsRowFormula>SUM(Tableau3102110[[#Totals],[CREDIT]],Tableau3102110[[#Totals],[DEBIT]])</totalsRowFormula>
    </tableColumn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1BB70E1F-EAD3-4E5D-B1E6-D29C9E717515}" name="Tableau16103111" displayName="Tableau16103111" ref="AM14:AP16" totalsRowCount="1" headerRowDxfId="884" dataDxfId="883" totalsRowDxfId="882">
  <autoFilter ref="AM14:AP15" xr:uid="{1BB70E1F-EAD3-4E5D-B1E6-D29C9E717515}">
    <filterColumn colId="0" hiddenButton="1"/>
    <filterColumn colId="1" hiddenButton="1"/>
    <filterColumn colId="2" hiddenButton="1"/>
    <filterColumn colId="3" hiddenButton="1"/>
  </autoFilter>
  <tableColumns count="4">
    <tableColumn id="1" xr3:uid="{AB94C9CF-9A54-4207-9A1E-85B997C69C81}" name="HANANE OPERATIONS" totalsRowLabel="Total" dataDxfId="881" totalsRowDxfId="880"/>
    <tableColumn id="2" xr3:uid="{5358C9CC-CDE3-436F-B833-5F82ED5C204B}" name="DEBIT" totalsRowFunction="custom" dataDxfId="879" totalsRowDxfId="878">
      <totalsRowFormula>SUM(Tableau16103111[DEBIT])</totalsRowFormula>
    </tableColumn>
    <tableColumn id="3" xr3:uid="{34B92D11-0AF0-499A-AF42-8344CCCD5965}" name="CREDIT" totalsRowFunction="custom" dataDxfId="877" totalsRowDxfId="876">
      <totalsRowFormula>SUM(Tableau16103111[CREDIT])</totalsRowFormula>
    </tableColumn>
    <tableColumn id="4" xr3:uid="{8EF491F6-36C2-4C95-A6ED-A24CEE6A5A73}" name="CATEGORIE" totalsRowFunction="custom" dataDxfId="875" totalsRowDxfId="874">
      <totalsRowFormula>SUM(Tableau16103111[[#Totals],[DEBIT]:[CREDIT]])</totalsRowFormula>
    </tableColumn>
  </tableColumns>
  <tableStyleInfo name="Style de tableau corail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39304EE3-8CD5-417D-ABE5-5C6F9ADFBC61}" name="Tableau33104112" displayName="Tableau33104112" ref="AM18:AP20" totalsRowCount="1" headerRowDxfId="873" dataDxfId="872">
  <autoFilter ref="AM18:AP19" xr:uid="{39304EE3-8CD5-417D-ABE5-5C6F9ADFBC61}">
    <filterColumn colId="0" hiddenButton="1"/>
    <filterColumn colId="1" hiddenButton="1"/>
    <filterColumn colId="2" hiddenButton="1"/>
    <filterColumn colId="3" hiddenButton="1"/>
  </autoFilter>
  <tableColumns count="4">
    <tableColumn id="1" xr3:uid="{9BE643ED-E501-4CC1-A03A-6190B13548EA}" name="ROMAIN OPERATIONS" totalsRowLabel="Total" dataDxfId="871" totalsRowDxfId="870"/>
    <tableColumn id="2" xr3:uid="{121CA7AD-0DBF-428B-A697-CDF0D6D785EA}" name="DEBIT" totalsRowFunction="custom" dataDxfId="869" totalsRowDxfId="868">
      <totalsRowFormula>SUM(Tableau33104112[DEBIT])</totalsRowFormula>
    </tableColumn>
    <tableColumn id="3" xr3:uid="{0B1B2EFE-3EDC-4C94-A554-46044740FCB7}" name="CREDIT" totalsRowFunction="custom" dataDxfId="867" totalsRowDxfId="866">
      <totalsRowFormula>SUM(Tableau33104112[CREDIT])</totalsRowFormula>
    </tableColumn>
    <tableColumn id="4" xr3:uid="{CB8008D7-04CC-45E2-8484-771442EDF665}" name="CATEGORIE" totalsRowFunction="custom" dataDxfId="865" totalsRowDxfId="864">
      <totalsRowFormula>SUM(Tableau33104112[[#Totals],[CREDIT]],Tableau33104112[[#Totals],[DEBIT]])</totalsRowFormula>
    </tableColumn>
  </tableColumns>
  <tableStyleInfo name="Style de tableau corail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F7131DF8-AF0D-40FA-A613-27E9E40A33ED}" name="Tableau1113" displayName="Tableau1113" ref="AR14:AU16" totalsRowCount="1" headerRowDxfId="863" dataDxfId="862" totalsRowDxfId="861">
  <autoFilter ref="AR14:AU15" xr:uid="{F7131DF8-AF0D-40FA-A613-27E9E40A33ED}">
    <filterColumn colId="0" hiddenButton="1"/>
    <filterColumn colId="1" hiddenButton="1"/>
    <filterColumn colId="2" hiddenButton="1"/>
    <filterColumn colId="3" hiddenButton="1"/>
  </autoFilter>
  <tableColumns count="4">
    <tableColumn id="1" xr3:uid="{0563B92C-F258-45F2-A41A-FB298FD6E31E}" name="HANANE OPERATIONS" totalsRowLabel="Total" dataDxfId="860" totalsRowDxfId="859"/>
    <tableColumn id="2" xr3:uid="{F47B0A82-42DF-4CA0-8F9A-0F0EB46A410F}" name="DEBIT" totalsRowFunction="custom" dataDxfId="858" totalsRowDxfId="857">
      <totalsRowFormula>SUM(Tableau1113[DEBIT])</totalsRowFormula>
    </tableColumn>
    <tableColumn id="3" xr3:uid="{7B9C2AFB-6A52-4730-B622-AC6B4D51662A}" name="CREDIT" totalsRowFunction="custom" dataDxfId="856" totalsRowDxfId="855">
      <totalsRowFormula>SUM(Tableau1113[CREDIT])</totalsRowFormula>
    </tableColumn>
    <tableColumn id="4" xr3:uid="{F3ABB478-AC5D-4041-9E30-038DCF6EDEC1}" name="CATEGORIE" totalsRowFunction="custom" dataDxfId="854" totalsRowDxfId="853">
      <totalsRowFormula>SUM(Tableau1113[[#Totals],[DEBIT]:[CREDIT]])</totalsRowFormula>
    </tableColumn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E357E7A1-2F35-4B87-87F3-30CAEAAF9096}" name="Tableau3114" displayName="Tableau3114" ref="AR18:AU20" totalsRowCount="1" headerRowDxfId="852" dataDxfId="851">
  <autoFilter ref="AR18:AU19" xr:uid="{E357E7A1-2F35-4B87-87F3-30CAEAAF9096}">
    <filterColumn colId="0" hiddenButton="1"/>
    <filterColumn colId="1" hiddenButton="1"/>
    <filterColumn colId="2" hiddenButton="1"/>
    <filterColumn colId="3" hiddenButton="1"/>
  </autoFilter>
  <tableColumns count="4">
    <tableColumn id="1" xr3:uid="{F7528929-4555-43B4-A116-6EA1FCC51BA3}" name="ROMAIN OPERATIONS" totalsRowLabel="Total" dataDxfId="850" totalsRowDxfId="849"/>
    <tableColumn id="2" xr3:uid="{F5287125-64CE-4B40-9F97-235CDBB0A0EA}" name="DEBIT" totalsRowFunction="custom" dataDxfId="848" totalsRowDxfId="847">
      <totalsRowFormula>SUM(Tableau3114[DEBIT])</totalsRowFormula>
    </tableColumn>
    <tableColumn id="3" xr3:uid="{1A4AA3A4-D060-459D-BCBC-E02BEECB42F7}" name="CREDIT" totalsRowFunction="custom" dataDxfId="846" totalsRowDxfId="845">
      <totalsRowFormula>SUM(Tableau3114[CREDIT])</totalsRowFormula>
    </tableColumn>
    <tableColumn id="4" xr3:uid="{2744F17C-E4F3-40D4-A2FC-D05B402872F2}" name="CATEGORIE" totalsRowFunction="custom" dataDxfId="844" totalsRowDxfId="843">
      <totalsRowFormula>SUM(Tableau3114[[#Totals],[CREDIT]],Tableau3114[[#Totals],[DEBIT]])</totalsRowFormula>
    </tableColumn>
  </tableColumns>
  <tableStyleInfo name="TableStyleMedium13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4" xr:uid="{29996E26-464F-466C-A297-0BA9E2F30248}" name="Tableau16115" displayName="Tableau16115" ref="AW14:AZ16" insertRow="1" totalsRowCount="1" headerRowDxfId="842" dataDxfId="841" totalsRowDxfId="840">
  <autoFilter ref="AW14:AZ15" xr:uid="{29996E26-464F-466C-A297-0BA9E2F30248}">
    <filterColumn colId="0" hiddenButton="1"/>
    <filterColumn colId="1" hiddenButton="1"/>
    <filterColumn colId="2" hiddenButton="1"/>
    <filterColumn colId="3" hiddenButton="1"/>
  </autoFilter>
  <tableColumns count="4">
    <tableColumn id="1" xr3:uid="{B59225E4-D0F0-4E30-A42A-6D216644C320}" name="HANANE OPERATIONS" totalsRowLabel="Total" dataDxfId="839" totalsRowDxfId="838"/>
    <tableColumn id="2" xr3:uid="{4DCF79FE-64EF-41E2-B041-C8DB88B7980B}" name="DEBIT" totalsRowFunction="custom" dataDxfId="837" totalsRowDxfId="836">
      <totalsRowFormula>SUM(Tableau16115[DEBIT])</totalsRowFormula>
    </tableColumn>
    <tableColumn id="3" xr3:uid="{0B773369-FF2C-4E30-9771-9C45F146CB1A}" name="CREDIT" totalsRowFunction="custom" dataDxfId="835" totalsRowDxfId="834">
      <totalsRowFormula>SUM(Tableau16115[CREDIT])</totalsRowFormula>
    </tableColumn>
    <tableColumn id="4" xr3:uid="{CCED6B3F-E6CC-46BA-9108-FE95A60776C7}" name="CATEGORIE" totalsRowFunction="custom" dataDxfId="833" totalsRowDxfId="832">
      <totalsRowFormula>SUM(Tableau16115[[#Totals],[DEBIT]:[CREDIT]])</totalsRowFormula>
    </tableColumn>
  </tableColumns>
  <tableStyleInfo name="Style de tableau corail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E5C88292-019F-4A07-A4E9-503F233E6E84}" name="Tableau33116" displayName="Tableau33116" ref="AW18:AZ20" totalsRowCount="1" headerRowDxfId="831" dataDxfId="830">
  <autoFilter ref="AW18:AZ19" xr:uid="{E5C88292-019F-4A07-A4E9-503F233E6E84}">
    <filterColumn colId="0" hiddenButton="1"/>
    <filterColumn colId="1" hiddenButton="1"/>
    <filterColumn colId="2" hiddenButton="1"/>
    <filterColumn colId="3" hiddenButton="1"/>
  </autoFilter>
  <tableColumns count="4">
    <tableColumn id="1" xr3:uid="{93A76BD5-F15A-49E9-AF6F-01C097A6F81D}" name="ROMAIN OPERATIONS" totalsRowLabel="Total" dataDxfId="829" totalsRowDxfId="828"/>
    <tableColumn id="2" xr3:uid="{3C0D9954-1EAD-4E67-BDFD-643CAE9EBB57}" name="DEBIT" totalsRowFunction="custom" dataDxfId="827" totalsRowDxfId="826">
      <totalsRowFormula>SUM(Tableau33116[DEBIT])</totalsRowFormula>
    </tableColumn>
    <tableColumn id="3" xr3:uid="{074BE148-9D51-4AA5-BCD6-F81099A70835}" name="CREDIT" totalsRowFunction="custom" dataDxfId="825" totalsRowDxfId="824">
      <totalsRowFormula>SUM(Tableau33116[CREDIT])</totalsRowFormula>
    </tableColumn>
    <tableColumn id="4" xr3:uid="{F2BFB1A9-8900-452F-BB1E-F51EB0E6EE31}" name="CATEGORIE" totalsRowFunction="custom" dataDxfId="823" totalsRowDxfId="822">
      <totalsRowFormula>SUM(Tableau33116[[#Totals],[CREDIT]],Tableau33116[[#Totals],[DEBIT]])</totalsRowFormula>
    </tableColumn>
  </tableColumns>
  <tableStyleInfo name="Style de tableau corail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6" xr:uid="{457AD9EB-B6D0-4DAB-AF2D-0C7AAD10CDC1}" name="Tableau1100117" displayName="Tableau1100117" ref="BB14:BE16" totalsRowCount="1" headerRowDxfId="821" dataDxfId="820" totalsRowDxfId="819">
  <autoFilter ref="BB14:BE15" xr:uid="{457AD9EB-B6D0-4DAB-AF2D-0C7AAD10CDC1}">
    <filterColumn colId="0" hiddenButton="1"/>
    <filterColumn colId="1" hiddenButton="1"/>
    <filterColumn colId="2" hiddenButton="1"/>
    <filterColumn colId="3" hiddenButton="1"/>
  </autoFilter>
  <tableColumns count="4">
    <tableColumn id="1" xr3:uid="{B5BA863B-BEC3-4BCF-B0B5-DBB8080E4933}" name="HANANE OPERATIONS" totalsRowLabel="Total" dataDxfId="818" totalsRowDxfId="817"/>
    <tableColumn id="2" xr3:uid="{AA921B85-9D83-483D-A818-BE4E0FC1AF9E}" name="DEBIT" totalsRowFunction="custom" dataDxfId="816" totalsRowDxfId="815">
      <totalsRowFormula>SUM(Tableau1100117[DEBIT])</totalsRowFormula>
    </tableColumn>
    <tableColumn id="3" xr3:uid="{F5DF4E2B-68DC-4B77-91D3-DA7AA55E4C08}" name="CREDIT" totalsRowFunction="custom" dataDxfId="814" totalsRowDxfId="813">
      <totalsRowFormula>SUM(Tableau1100117[CREDIT])</totalsRowFormula>
    </tableColumn>
    <tableColumn id="4" xr3:uid="{DD4B09F0-903C-491C-B4BC-13776F552CAD}" name="CATEGORIE" totalsRowFunction="custom" dataDxfId="812" totalsRowDxfId="811">
      <totalsRowFormula>SUM(Tableau1100117[[#Totals],[DEBIT]:[CREDIT]])</totalsRowFormula>
    </tableColumn>
  </tableColumns>
  <tableStyleInfo name="TableStyleMedium13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CE4253B5-6736-4D4D-9A54-306DFA9FA68A}" name="Tableau3102118" displayName="Tableau3102118" ref="BB18:BE20" totalsRowCount="1" headerRowDxfId="810" dataDxfId="809">
  <autoFilter ref="BB18:BE19" xr:uid="{CE4253B5-6736-4D4D-9A54-306DFA9FA68A}">
    <filterColumn colId="0" hiddenButton="1"/>
    <filterColumn colId="1" hiddenButton="1"/>
    <filterColumn colId="2" hiddenButton="1"/>
    <filterColumn colId="3" hiddenButton="1"/>
  </autoFilter>
  <tableColumns count="4">
    <tableColumn id="1" xr3:uid="{B649810D-B19F-4857-A5D8-2D21BBE2DE89}" name="ROMAIN OPERATIONS" totalsRowLabel="Total" dataDxfId="808" totalsRowDxfId="807"/>
    <tableColumn id="2" xr3:uid="{EBE89219-F4EE-4D4C-A115-BA6934896A8D}" name="DEBIT" totalsRowFunction="custom" dataDxfId="806" totalsRowDxfId="805">
      <totalsRowFormula>SUM(Tableau3102118[DEBIT])</totalsRowFormula>
    </tableColumn>
    <tableColumn id="3" xr3:uid="{F2E76E94-F3FE-43C2-8AD9-7D79D2D99F14}" name="CREDIT" totalsRowFunction="custom" dataDxfId="804" totalsRowDxfId="803">
      <totalsRowFormula>SUM(Tableau3102118[CREDIT])</totalsRowFormula>
    </tableColumn>
    <tableColumn id="4" xr3:uid="{E6E360BD-6E66-4CE3-8FBE-86D9CC404023}" name="CATEGORIE" totalsRowFunction="custom" dataDxfId="802" totalsRowDxfId="801">
      <totalsRowFormula>SUM(Tableau3102118[[#Totals],[CREDIT]],Tableau3102118[[#Totals],[DEBIT]])</totalsRowFormula>
    </tableColumn>
  </tableColumns>
  <tableStyleInfo name="TableStyleMedium13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D4F3B507-E977-485C-BB2E-5EF51A66CDD9}" name="Tableau16103119" displayName="Tableau16103119" ref="BG14:BJ16" totalsRowCount="1" headerRowDxfId="800" dataDxfId="799" totalsRowDxfId="798">
  <autoFilter ref="BG14:BJ15" xr:uid="{D4F3B507-E977-485C-BB2E-5EF51A66CDD9}">
    <filterColumn colId="0" hiddenButton="1"/>
    <filterColumn colId="1" hiddenButton="1"/>
    <filterColumn colId="2" hiddenButton="1"/>
    <filterColumn colId="3" hiddenButton="1"/>
  </autoFilter>
  <tableColumns count="4">
    <tableColumn id="1" xr3:uid="{4FE02C00-283D-4840-B9D4-98E17FDFBDBF}" name="HANANE OPERATIONS" totalsRowLabel="Total" dataDxfId="797" totalsRowDxfId="796"/>
    <tableColumn id="2" xr3:uid="{BA588292-022C-4347-8894-E9BC92A57811}" name="DEBIT" totalsRowFunction="custom" dataDxfId="795" totalsRowDxfId="794">
      <totalsRowFormula>SUM(Tableau16103119[DEBIT])</totalsRowFormula>
    </tableColumn>
    <tableColumn id="3" xr3:uid="{B207D17C-8863-4E0D-9F1F-F5B4F78874A8}" name="CREDIT" totalsRowFunction="custom" dataDxfId="793" totalsRowDxfId="792">
      <totalsRowFormula>SUM(Tableau16103119[CREDIT])</totalsRowFormula>
    </tableColumn>
    <tableColumn id="4" xr3:uid="{8885F3F0-D50F-4FC4-8AC7-DC2F59A0F51B}" name="CATEGORIE" totalsRowFunction="custom" dataDxfId="791" totalsRowDxfId="790">
      <totalsRowFormula>SUM(Tableau16103119[[#Totals],[DEBIT]:[CREDIT]])</totalsRowFormula>
    </tableColumn>
  </tableColumns>
  <tableStyleInfo name="Style de tableau corail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0C4D07B1-0D60-4718-95A6-7AA2094061CC}" name="Tableau33104120" displayName="Tableau33104120" ref="BG18:BJ20" totalsRowCount="1" headerRowDxfId="789" dataDxfId="788">
  <autoFilter ref="BG18:BJ19" xr:uid="{0C4D07B1-0D60-4718-95A6-7AA2094061CC}">
    <filterColumn colId="0" hiddenButton="1"/>
    <filterColumn colId="1" hiddenButton="1"/>
    <filterColumn colId="2" hiddenButton="1"/>
    <filterColumn colId="3" hiddenButton="1"/>
  </autoFilter>
  <tableColumns count="4">
    <tableColumn id="1" xr3:uid="{90F9AB03-21FD-47F2-941E-EA78FF15940B}" name="ROMAIN OPERATIONS" totalsRowLabel="Total" dataDxfId="787" totalsRowDxfId="786"/>
    <tableColumn id="2" xr3:uid="{D0F943B4-BEBB-4014-A2E1-D43B8D7F166D}" name="DEBIT" totalsRowFunction="custom" dataDxfId="785" totalsRowDxfId="784">
      <totalsRowFormula>SUM(Tableau33104120[DEBIT])</totalsRowFormula>
    </tableColumn>
    <tableColumn id="3" xr3:uid="{C4ECB570-27A2-40F6-956F-981F0B1E9F69}" name="CREDIT" totalsRowFunction="custom" dataDxfId="783" totalsRowDxfId="782">
      <totalsRowFormula>SUM(Tableau33104120[CREDIT])</totalsRowFormula>
    </tableColumn>
    <tableColumn id="4" xr3:uid="{AF71D3DD-C345-4EB2-A69E-E905D645AAAA}" name="CATEGORIE" totalsRowFunction="custom" dataDxfId="781" totalsRowDxfId="780">
      <totalsRowFormula>SUM(Tableau33104120[[#Totals],[CREDIT]],Tableau33104120[[#Totals],[DEBIT]])</totalsRowFormula>
    </tableColumn>
  </tableColumns>
  <tableStyleInfo name="Style de tableau corail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2168788F-CBB0-48A6-BD76-607B6489F719}" name="Tableau1105121" displayName="Tableau1105121" ref="BL14:BO16" insertRow="1" totalsRowCount="1" headerRowDxfId="779" dataDxfId="778" totalsRowDxfId="777">
  <autoFilter ref="BL14:BO15" xr:uid="{2168788F-CBB0-48A6-BD76-607B6489F719}">
    <filterColumn colId="0" hiddenButton="1"/>
    <filterColumn colId="1" hiddenButton="1"/>
    <filterColumn colId="2" hiddenButton="1"/>
    <filterColumn colId="3" hiddenButton="1"/>
  </autoFilter>
  <tableColumns count="4">
    <tableColumn id="1" xr3:uid="{07CD48D8-42CF-4FAD-8B90-305406FB51AB}" name="HANANE OPERATIONS" totalsRowLabel="Total" dataDxfId="776" totalsRowDxfId="775"/>
    <tableColumn id="2" xr3:uid="{8E1BE620-E38E-4121-A0E3-17D5D3EB21EC}" name="DEBIT" totalsRowFunction="custom" dataDxfId="774" totalsRowDxfId="773">
      <totalsRowFormula>SUM(Tableau1105121[DEBIT])</totalsRowFormula>
    </tableColumn>
    <tableColumn id="3" xr3:uid="{BD6BB865-67A9-4F88-92B8-E0B04A69B2F2}" name="CREDIT" totalsRowFunction="custom" dataDxfId="772" totalsRowDxfId="771">
      <totalsRowFormula>SUM(Tableau1105121[CREDIT])</totalsRowFormula>
    </tableColumn>
    <tableColumn id="4" xr3:uid="{8270773B-87EB-4FE5-926C-145CE022B273}" name="CATEGORIE" totalsRowFunction="custom" dataDxfId="770" totalsRowDxfId="769">
      <totalsRowFormula>SUM(Tableau1105121[[#Totals],[DEBIT]:[CREDIT]])</totalsRowFormula>
    </tableColumn>
  </tableColumns>
  <tableStyleInfo name="TableStyleMedium13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02309FFA-BC36-4AAA-BF78-F32508FEDBCE}" name="Tableau3106122" displayName="Tableau3106122" ref="BL18:BO20" totalsRowCount="1" headerRowDxfId="768" dataDxfId="767">
  <autoFilter ref="BL18:BO19" xr:uid="{02309FFA-BC36-4AAA-BF78-F32508FEDBCE}">
    <filterColumn colId="0" hiddenButton="1"/>
    <filterColumn colId="1" hiddenButton="1"/>
    <filterColumn colId="2" hiddenButton="1"/>
    <filterColumn colId="3" hiddenButton="1"/>
  </autoFilter>
  <tableColumns count="4">
    <tableColumn id="1" xr3:uid="{2C6AEA3E-B28A-46FB-8BA2-FF0449F30B26}" name="ROMAIN OPERATIONS" totalsRowLabel="Total" dataDxfId="766" totalsRowDxfId="765"/>
    <tableColumn id="2" xr3:uid="{1BB6B726-2F86-43EA-AF2D-097BC2352772}" name="DEBIT" totalsRowFunction="custom" dataDxfId="764" totalsRowDxfId="763">
      <totalsRowFormula>SUM(Tableau3106122[DEBIT])</totalsRowFormula>
    </tableColumn>
    <tableColumn id="3" xr3:uid="{A5D4580B-A6C5-4395-BAF6-792BB3BACC0B}" name="CREDIT" totalsRowFunction="custom" dataDxfId="762" totalsRowDxfId="761">
      <totalsRowFormula>SUM(Tableau3106122[CREDIT])</totalsRowFormula>
    </tableColumn>
    <tableColumn id="4" xr3:uid="{79D3618B-B721-4842-A239-DA64525E586E}" name="CATEGORIE" totalsRowFunction="custom" dataDxfId="760" totalsRowDxfId="759">
      <totalsRowFormula>SUM(Tableau3106122[[#Totals],[CREDIT]],Tableau3106122[[#Totals],[DEBIT]])</totalsRowFormula>
    </tableColumn>
  </tableColumns>
  <tableStyleInfo name="TableStyleMedium13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8BEE8B7C-4243-456E-97C5-1EF510AC7631}" name="Tableau16107123" displayName="Tableau16107123" ref="BQ14:BT16" insertRow="1" totalsRowCount="1" headerRowDxfId="758" dataDxfId="757" totalsRowDxfId="756">
  <autoFilter ref="BQ14:BT15" xr:uid="{8BEE8B7C-4243-456E-97C5-1EF510AC7631}">
    <filterColumn colId="0" hiddenButton="1"/>
    <filterColumn colId="1" hiddenButton="1"/>
    <filterColumn colId="2" hiddenButton="1"/>
    <filterColumn colId="3" hiddenButton="1"/>
  </autoFilter>
  <tableColumns count="4">
    <tableColumn id="1" xr3:uid="{BF935DB9-FFA0-4877-A72B-81D786CA8FA1}" name="HANANE OPERATIONS" totalsRowLabel="Total" dataDxfId="755" totalsRowDxfId="754"/>
    <tableColumn id="2" xr3:uid="{6C3279B7-7913-4648-89DA-890DF4620833}" name="DEBIT" totalsRowFunction="custom" dataDxfId="753" totalsRowDxfId="752">
      <totalsRowFormula>SUM(Tableau16107123[DEBIT])</totalsRowFormula>
    </tableColumn>
    <tableColumn id="3" xr3:uid="{A9AD026E-0466-4FF3-ABBA-F7E3CD2D5755}" name="CREDIT" totalsRowFunction="custom" dataDxfId="751" totalsRowDxfId="750">
      <totalsRowFormula>SUM(Tableau16107123[CREDIT])</totalsRowFormula>
    </tableColumn>
    <tableColumn id="4" xr3:uid="{737E755C-1F9B-4533-85DE-ABE0B8AB653B}" name="CATEGORIE" totalsRowFunction="custom" dataDxfId="749" totalsRowDxfId="748">
      <totalsRowFormula>SUM(Tableau16107123[[#Totals],[DEBIT]:[CREDIT]])</totalsRowFormula>
    </tableColumn>
  </tableColumns>
  <tableStyleInfo name="Style de tableau corail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B04E3B29-4D76-43F8-82CC-63C4AF58141E}" name="Tableau33108124" displayName="Tableau33108124" ref="BQ18:BT20" totalsRowCount="1" headerRowDxfId="747" dataDxfId="746">
  <autoFilter ref="BQ18:BT19" xr:uid="{B04E3B29-4D76-43F8-82CC-63C4AF58141E}">
    <filterColumn colId="0" hiddenButton="1"/>
    <filterColumn colId="1" hiddenButton="1"/>
    <filterColumn colId="2" hiddenButton="1"/>
    <filterColumn colId="3" hiddenButton="1"/>
  </autoFilter>
  <tableColumns count="4">
    <tableColumn id="1" xr3:uid="{CE5E85BA-C704-43B1-B9EE-A9B5F358FF87}" name="ROMAIN OPERATIONS" totalsRowLabel="Total" dataDxfId="745" totalsRowDxfId="744"/>
    <tableColumn id="2" xr3:uid="{60E8B152-674D-48A6-BA5B-F07050A62592}" name="DEBIT" totalsRowFunction="custom" dataDxfId="743" totalsRowDxfId="742">
      <totalsRowFormula>SUM(Tableau33108124[DEBIT])</totalsRowFormula>
    </tableColumn>
    <tableColumn id="3" xr3:uid="{85201D38-5F1F-45CC-BD09-2EBAD04C22B4}" name="CREDIT" totalsRowFunction="custom" dataDxfId="741" totalsRowDxfId="740">
      <totalsRowFormula>SUM(Tableau33108124[CREDIT])</totalsRowFormula>
    </tableColumn>
    <tableColumn id="4" xr3:uid="{5DB4756E-2E92-4CAA-9EA6-149C0770B4B0}" name="CATEGORIE" totalsRowFunction="custom" dataDxfId="739" totalsRowDxfId="738">
      <totalsRowFormula>SUM(Tableau33108124[[#Totals],[CREDIT]],Tableau33108124[[#Totals],[DEBIT]])</totalsRowFormula>
    </tableColumn>
  </tableColumns>
  <tableStyleInfo name="Style de tableau corail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3CC5657A-3DB5-4F77-9FC8-DA35E9063C82}" name="Tableau1100109125" displayName="Tableau1100109125" ref="BV14:BY16" insertRow="1" totalsRowCount="1" headerRowDxfId="737" dataDxfId="736" totalsRowDxfId="735">
  <autoFilter ref="BV14:BY15" xr:uid="{3CC5657A-3DB5-4F77-9FC8-DA35E9063C82}"/>
  <tableColumns count="4">
    <tableColumn id="1" xr3:uid="{9F7D9F61-CB08-4F63-AED7-152EDD246A6A}" name="HANANE OPERATIONS" totalsRowLabel="Total" dataDxfId="734" totalsRowDxfId="733"/>
    <tableColumn id="2" xr3:uid="{A8B6D4D2-643A-4CA6-9E48-4CF6099B036D}" name="DEBIT" totalsRowFunction="custom" dataDxfId="732" totalsRowDxfId="731">
      <totalsRowFormula>SUM(Tableau1100109125[DEBIT])</totalsRowFormula>
    </tableColumn>
    <tableColumn id="3" xr3:uid="{53B8643D-F243-4A37-B02D-60B4854B7C13}" name="CREDIT" totalsRowFunction="custom" dataDxfId="730" totalsRowDxfId="729">
      <totalsRowFormula>SUM(Tableau1100109125[CREDIT])</totalsRowFormula>
    </tableColumn>
    <tableColumn id="4" xr3:uid="{4242B860-6499-4199-A7BB-77A6FF801BF6}" name="CATEGORIE" totalsRowFunction="custom" dataDxfId="728" totalsRowDxfId="727">
      <totalsRowFormula>SUM(Tableau1100109125[[#Totals],[DEBIT]:[CREDIT]])</totalsRowFormula>
    </tableColumn>
  </tableColumns>
  <tableStyleInfo name="TableStyleMedium13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26AF3722-618E-4A93-AF8A-AE934975D26C}" name="Tableau3102110126" displayName="Tableau3102110126" ref="BV18:BY20" totalsRowCount="1" headerRowDxfId="726" dataDxfId="725">
  <autoFilter ref="BV18:BY19" xr:uid="{26AF3722-618E-4A93-AF8A-AE934975D26C}">
    <filterColumn colId="0" hiddenButton="1"/>
    <filterColumn colId="1" hiddenButton="1"/>
    <filterColumn colId="2" hiddenButton="1"/>
    <filterColumn colId="3" hiddenButton="1"/>
  </autoFilter>
  <tableColumns count="4">
    <tableColumn id="1" xr3:uid="{570FFD11-B8BC-48AD-A161-FDC92F642B5B}" name="ROMAIN OPERATIONS" totalsRowLabel="Total" dataDxfId="724" totalsRowDxfId="723"/>
    <tableColumn id="2" xr3:uid="{473B4423-DB25-4220-9902-4ECF89341EF0}" name="DEBIT" totalsRowFunction="custom" dataDxfId="722" totalsRowDxfId="721">
      <totalsRowFormula>SUM(Tableau3102110126[DEBIT])</totalsRowFormula>
    </tableColumn>
    <tableColumn id="3" xr3:uid="{EFA7344C-A1E3-4F07-BC14-1F249D3B8521}" name="CREDIT" totalsRowFunction="custom" dataDxfId="720" totalsRowDxfId="719">
      <totalsRowFormula>SUM(Tableau3102110126[CREDIT])</totalsRowFormula>
    </tableColumn>
    <tableColumn id="4" xr3:uid="{A2B1EE96-F00D-46D5-89FD-6BC84CA37AB0}" name="CATEGORIE" totalsRowFunction="custom" dataDxfId="718" totalsRowDxfId="717">
      <totalsRowFormula>SUM(Tableau3102110126[[#Totals],[CREDIT]],Tableau3102110126[[#Totals],[DEBIT]])</totalsRowFormula>
    </tableColumn>
  </tableColumns>
  <tableStyleInfo name="TableStyleMedium13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8737A6E0-20F5-4CD9-881A-5381730E0F86}" name="Tableau16103111127" displayName="Tableau16103111127" ref="CA14:CD16" insertRow="1" totalsRowCount="1" headerRowDxfId="716" dataDxfId="715" totalsRowDxfId="714">
  <autoFilter ref="CA14:CD15" xr:uid="{8737A6E0-20F5-4CD9-881A-5381730E0F86}">
    <filterColumn colId="0" hiddenButton="1"/>
    <filterColumn colId="1" hiddenButton="1"/>
    <filterColumn colId="2" hiddenButton="1"/>
    <filterColumn colId="3" hiddenButton="1"/>
  </autoFilter>
  <tableColumns count="4">
    <tableColumn id="1" xr3:uid="{5369224D-CD0E-4333-BC46-36AC21F41A78}" name="HANANE OPERATIONS" totalsRowLabel="Total" dataDxfId="713" totalsRowDxfId="712"/>
    <tableColumn id="2" xr3:uid="{73B12861-CB66-4AA3-9E7F-04E8994CC69C}" name="DEBIT" totalsRowFunction="custom" dataDxfId="711" totalsRowDxfId="710">
      <totalsRowFormula>SUM(Tableau16103111127[DEBIT])</totalsRowFormula>
    </tableColumn>
    <tableColumn id="3" xr3:uid="{F95A7127-FFC7-451C-9C25-4104C69736A8}" name="CREDIT" totalsRowFunction="custom" dataDxfId="709" totalsRowDxfId="708">
      <totalsRowFormula>SUM(Tableau16103111127[CREDIT])</totalsRowFormula>
    </tableColumn>
    <tableColumn id="4" xr3:uid="{8F64D237-1507-4239-9E5D-D61A5F36719B}" name="CATEGORIE" totalsRowFunction="custom" dataDxfId="707" totalsRowDxfId="706">
      <totalsRowFormula>SUM(Tableau16103111127[[#Totals],[DEBIT]:[CREDIT]])</totalsRowFormula>
    </tableColumn>
  </tableColumns>
  <tableStyleInfo name="Style de tableau corail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B10DD1D7-DDF6-4143-8FCA-0EF13F71DE05}" name="Tableau33104112128" displayName="Tableau33104112128" ref="CA18:CD20" totalsRowCount="1" headerRowDxfId="705" dataDxfId="704">
  <autoFilter ref="CA18:CD19" xr:uid="{B10DD1D7-DDF6-4143-8FCA-0EF13F71DE05}">
    <filterColumn colId="0" hiddenButton="1"/>
    <filterColumn colId="1" hiddenButton="1"/>
    <filterColumn colId="2" hiddenButton="1"/>
    <filterColumn colId="3" hiddenButton="1"/>
  </autoFilter>
  <tableColumns count="4">
    <tableColumn id="1" xr3:uid="{24CC3FA5-54F1-468E-BF98-B84B02BD66D2}" name="ROMAIN OPERATIONS" totalsRowLabel="Total" dataDxfId="703" totalsRowDxfId="702"/>
    <tableColumn id="2" xr3:uid="{53BFF827-F28D-4510-8C5B-D27997F06EB6}" name="DEBIT" totalsRowFunction="custom" dataDxfId="701" totalsRowDxfId="700">
      <totalsRowFormula>SUM(Tableau33104112128[DEBIT])</totalsRowFormula>
    </tableColumn>
    <tableColumn id="3" xr3:uid="{30C89F3C-AC1C-4C50-9ADC-5990C9E29C20}" name="CREDIT" totalsRowFunction="custom" dataDxfId="699" totalsRowDxfId="698">
      <totalsRowFormula>SUM(Tableau33104112128[CREDIT])</totalsRowFormula>
    </tableColumn>
    <tableColumn id="4" xr3:uid="{D7F97DBF-0767-4942-9E8B-4ADE7A822254}" name="CATEGORIE" totalsRowFunction="custom" dataDxfId="697" totalsRowDxfId="696">
      <totalsRowFormula>SUM(Tableau33104112128[[#Totals],[CREDIT]],Tableau33104112128[[#Totals],[DEBIT]])</totalsRowFormula>
    </tableColumn>
  </tableColumns>
  <tableStyleInfo name="Style de tableau corail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983667A-A468-4D91-8DCF-39122430689D}" name="Tableau1129" displayName="Tableau1129" ref="CF14:CI16" insertRow="1" totalsRowCount="1" headerRowDxfId="695" dataDxfId="694" totalsRowDxfId="693">
  <autoFilter ref="CF14:CI15" xr:uid="{0983667A-A468-4D91-8DCF-39122430689D}">
    <filterColumn colId="0" hiddenButton="1"/>
    <filterColumn colId="1" hiddenButton="1"/>
    <filterColumn colId="2" hiddenButton="1"/>
    <filterColumn colId="3" hiddenButton="1"/>
  </autoFilter>
  <tableColumns count="4">
    <tableColumn id="1" xr3:uid="{52C018EA-C35E-48EF-B572-13AD825738CC}" name="HANANE OPERATIONS" totalsRowLabel="Total" dataDxfId="692" totalsRowDxfId="691"/>
    <tableColumn id="2" xr3:uid="{56F39CE3-79EB-4D60-8F67-120111B58AD0}" name="DEBIT" totalsRowFunction="custom" dataDxfId="690" totalsRowDxfId="689">
      <totalsRowFormula>SUM(Tableau1129[DEBIT])</totalsRowFormula>
    </tableColumn>
    <tableColumn id="3" xr3:uid="{4EF291FE-EC36-448C-9233-145ED632FD79}" name="CREDIT" totalsRowFunction="custom" dataDxfId="688" totalsRowDxfId="687">
      <totalsRowFormula>SUM(Tableau1129[CREDIT])</totalsRowFormula>
    </tableColumn>
    <tableColumn id="4" xr3:uid="{E67B4834-700A-45FE-8360-079056AF13C9}" name="CATEGORIE" totalsRowFunction="custom" dataDxfId="686" totalsRowDxfId="685">
      <totalsRowFormula>SUM(Tableau1129[[#Totals],[DEBIT]:[CREDIT]])</totalsRowFormula>
    </tableColumn>
  </tableColumns>
  <tableStyleInfo name="TableStyleMedium13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E55F538D-AC79-44B7-BAE3-A1E33DBEC737}" name="Tableau3130" displayName="Tableau3130" ref="CF18:CI20" totalsRowCount="1" headerRowDxfId="684" dataDxfId="683">
  <autoFilter ref="CF18:CI19" xr:uid="{E55F538D-AC79-44B7-BAE3-A1E33DBEC737}">
    <filterColumn colId="0" hiddenButton="1"/>
    <filterColumn colId="1" hiddenButton="1"/>
    <filterColumn colId="2" hiddenButton="1"/>
    <filterColumn colId="3" hiddenButton="1"/>
  </autoFilter>
  <tableColumns count="4">
    <tableColumn id="1" xr3:uid="{D5B96F65-59A3-4059-AB8D-9B7F6059DD2E}" name="ROMAIN OPERATIONS" totalsRowLabel="Total" dataDxfId="682" totalsRowDxfId="681"/>
    <tableColumn id="2" xr3:uid="{323DA4C8-B617-407F-B34F-BDEA7848229C}" name="DEBIT" totalsRowFunction="custom" dataDxfId="680" totalsRowDxfId="679">
      <totalsRowFormula>SUM(Tableau3130[DEBIT])</totalsRowFormula>
    </tableColumn>
    <tableColumn id="3" xr3:uid="{9BE1AD49-12DE-465D-BEC6-62BA2A774C01}" name="CREDIT" totalsRowFunction="custom" dataDxfId="678" totalsRowDxfId="677">
      <totalsRowFormula>SUM(Tableau3130[CREDIT])</totalsRowFormula>
    </tableColumn>
    <tableColumn id="4" xr3:uid="{4EB2205E-69BF-42F9-9B09-4302D43A15BC}" name="CATEGORIE" totalsRowFunction="custom" dataDxfId="676" totalsRowDxfId="675">
      <totalsRowFormula>SUM(Tableau3130[[#Totals],[CREDIT]],Tableau3130[[#Totals],[DEBIT]])</totalsRowFormula>
    </tableColumn>
  </tableColumns>
  <tableStyleInfo name="TableStyleMedium13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5D3534CB-5A00-4EBD-B8BC-EAC3F6435956}" name="Tableau16131" displayName="Tableau16131" ref="CK14:CN16" insertRow="1" totalsRowCount="1" headerRowDxfId="674" dataDxfId="673" totalsRowDxfId="672">
  <autoFilter ref="CK14:CN15" xr:uid="{5D3534CB-5A00-4EBD-B8BC-EAC3F6435956}">
    <filterColumn colId="0" hiddenButton="1"/>
    <filterColumn colId="1" hiddenButton="1"/>
    <filterColumn colId="2" hiddenButton="1"/>
    <filterColumn colId="3" hiddenButton="1"/>
  </autoFilter>
  <tableColumns count="4">
    <tableColumn id="1" xr3:uid="{4EDA2191-0302-4A1C-A2AE-2BE27416D000}" name="HANANE OPERATIONS" totalsRowLabel="Total" dataDxfId="671" totalsRowDxfId="670"/>
    <tableColumn id="2" xr3:uid="{14371ABF-87CC-4882-BB99-03ADCCF065C4}" name="DEBIT" totalsRowFunction="custom" dataDxfId="669" totalsRowDxfId="668">
      <totalsRowFormula>SUM(Tableau16131[DEBIT])</totalsRowFormula>
    </tableColumn>
    <tableColumn id="3" xr3:uid="{634C8608-4A34-437A-ADB7-5CB275835A72}" name="CREDIT" totalsRowFunction="custom" dataDxfId="667" totalsRowDxfId="666">
      <totalsRowFormula>SUM(Tableau16131[CREDIT])</totalsRowFormula>
    </tableColumn>
    <tableColumn id="4" xr3:uid="{479AAB5A-D5B7-4886-A576-252E3F921C00}" name="CATEGORIE" totalsRowFunction="custom" dataDxfId="665" totalsRowDxfId="664">
      <totalsRowFormula>SUM(Tableau16131[[#Totals],[DEBIT]:[CREDIT]])</totalsRowFormula>
    </tableColumn>
  </tableColumns>
  <tableStyleInfo name="Style de tableau corail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375D8B4C-55AE-43A8-AB0D-4BDC74D61DA9}" name="Tableau33132" displayName="Tableau33132" ref="CK18:CN20" totalsRowCount="1" headerRowDxfId="663" dataDxfId="662">
  <autoFilter ref="CK18:CN19" xr:uid="{375D8B4C-55AE-43A8-AB0D-4BDC74D61DA9}">
    <filterColumn colId="0" hiddenButton="1"/>
    <filterColumn colId="1" hiddenButton="1"/>
    <filterColumn colId="2" hiddenButton="1"/>
    <filterColumn colId="3" hiddenButton="1"/>
  </autoFilter>
  <tableColumns count="4">
    <tableColumn id="1" xr3:uid="{8F569B43-EFA3-42E2-B23B-28FF406FE2B0}" name="ROMAIN OPERATIONS" totalsRowLabel="Total" dataDxfId="661" totalsRowDxfId="660"/>
    <tableColumn id="2" xr3:uid="{78B05B9F-65F7-4929-9095-1BEC5E1B8675}" name="DEBIT" totalsRowFunction="custom" dataDxfId="659" totalsRowDxfId="658">
      <totalsRowFormula>SUM(Tableau33132[DEBIT])</totalsRowFormula>
    </tableColumn>
    <tableColumn id="3" xr3:uid="{216DC7ED-A5C7-49EC-B9C6-D1686018D93C}" name="CREDIT" totalsRowFunction="custom" dataDxfId="657" totalsRowDxfId="656">
      <totalsRowFormula>SUM(Tableau33132[CREDIT])</totalsRowFormula>
    </tableColumn>
    <tableColumn id="4" xr3:uid="{CA4E889E-46E0-4C8F-B9EC-4933523FC190}" name="CATEGORIE" totalsRowFunction="custom" dataDxfId="655" totalsRowDxfId="654">
      <totalsRowFormula>SUM(Tableau33132[[#Totals],[CREDIT]],Tableau33132[[#Totals],[DEBIT]])</totalsRowFormula>
    </tableColumn>
  </tableColumns>
  <tableStyleInfo name="Style de tableau corail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F889B42A-6A37-4BF7-9375-46B4218ED570}" name="Tableau1100133" displayName="Tableau1100133" ref="CP14:CS16" insertRow="1" totalsRowCount="1" headerRowDxfId="653" dataDxfId="652" totalsRowDxfId="651">
  <autoFilter ref="CP14:CS15" xr:uid="{F889B42A-6A37-4BF7-9375-46B4218ED570}">
    <filterColumn colId="0" hiddenButton="1"/>
    <filterColumn colId="1" hiddenButton="1"/>
    <filterColumn colId="2" hiddenButton="1"/>
    <filterColumn colId="3" hiddenButton="1"/>
  </autoFilter>
  <tableColumns count="4">
    <tableColumn id="1" xr3:uid="{50C42CE3-19EE-44D8-A585-7E0F80ADF521}" name="HANANE OPERATIONS" totalsRowLabel="Total" dataDxfId="650" totalsRowDxfId="649"/>
    <tableColumn id="2" xr3:uid="{CD9148B8-73D1-4ECE-B2FA-9E3F58C48A1A}" name="DEBIT" totalsRowFunction="custom" dataDxfId="648" totalsRowDxfId="647">
      <totalsRowFormula>SUM(Tableau1100133[DEBIT])</totalsRowFormula>
    </tableColumn>
    <tableColumn id="3" xr3:uid="{8CD1B12F-7B86-4AA3-9167-7154DB394892}" name="CREDIT" totalsRowFunction="custom" dataDxfId="646" totalsRowDxfId="645">
      <totalsRowFormula>SUM(Tableau1100133[CREDIT])</totalsRowFormula>
    </tableColumn>
    <tableColumn id="4" xr3:uid="{69049B7A-268B-420B-9811-3DBBF28AAFDE}" name="CATEGORIE" totalsRowFunction="custom" dataDxfId="644" totalsRowDxfId="643">
      <totalsRowFormula>SUM(Tableau1100133[[#Totals],[DEBIT]:[CREDIT]])</totalsRowFormula>
    </tableColumn>
  </tableColumns>
  <tableStyleInfo name="TableStyleMedium13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A8522A55-06D1-49A0-AD05-F1D2950DC4EA}" name="Tableau3102134" displayName="Tableau3102134" ref="CP18:CS20" totalsRowCount="1" headerRowDxfId="642" dataDxfId="641">
  <autoFilter ref="CP18:CS19" xr:uid="{A8522A55-06D1-49A0-AD05-F1D2950DC4EA}">
    <filterColumn colId="0" hiddenButton="1"/>
    <filterColumn colId="1" hiddenButton="1"/>
    <filterColumn colId="2" hiddenButton="1"/>
    <filterColumn colId="3" hiddenButton="1"/>
  </autoFilter>
  <tableColumns count="4">
    <tableColumn id="1" xr3:uid="{19388B97-9986-4E9A-B61A-1A64AF189600}" name="ROMAIN OPERATIONS" totalsRowLabel="Total" dataDxfId="640" totalsRowDxfId="639"/>
    <tableColumn id="2" xr3:uid="{1C6267E7-09AB-432C-BB42-2B0F196C9C1D}" name="DEBIT" totalsRowFunction="custom" dataDxfId="638" totalsRowDxfId="637">
      <totalsRowFormula>SUM(Tableau3102134[DEBIT])</totalsRowFormula>
    </tableColumn>
    <tableColumn id="3" xr3:uid="{4382DF86-1988-4C2D-A276-9841E6B214F5}" name="CREDIT" totalsRowFunction="custom" dataDxfId="636" totalsRowDxfId="635">
      <totalsRowFormula>SUM(Tableau3102134[CREDIT])</totalsRowFormula>
    </tableColumn>
    <tableColumn id="4" xr3:uid="{1E2F0FE9-4DBB-4BC3-A1FC-D12B241B558C}" name="CATEGORIE" totalsRowFunction="custom" dataDxfId="634" totalsRowDxfId="633">
      <totalsRowFormula>SUM(Tableau3102134[[#Totals],[CREDIT]],Tableau3102134[[#Totals],[DEBIT]])</totalsRowFormula>
    </tableColumn>
  </tableColumns>
  <tableStyleInfo name="TableStyleMedium13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D92520E5-C38C-481E-92A6-2C3C59137013}" name="Tableau16103135" displayName="Tableau16103135" ref="CU14:CX16" insertRow="1" totalsRowCount="1" headerRowDxfId="632" dataDxfId="631" totalsRowDxfId="630">
  <autoFilter ref="CU14:CX15" xr:uid="{D92520E5-C38C-481E-92A6-2C3C59137013}">
    <filterColumn colId="0" hiddenButton="1"/>
    <filterColumn colId="1" hiddenButton="1"/>
    <filterColumn colId="2" hiddenButton="1"/>
    <filterColumn colId="3" hiddenButton="1"/>
  </autoFilter>
  <tableColumns count="4">
    <tableColumn id="1" xr3:uid="{EEEB5CB5-B198-4864-8320-A422CFF3874E}" name="HANANE OPERATIONS" totalsRowLabel="Total" dataDxfId="629" totalsRowDxfId="628"/>
    <tableColumn id="2" xr3:uid="{47921851-D929-4F66-9DEE-F2D89A9C2D95}" name="DEBIT" totalsRowFunction="custom" dataDxfId="627" totalsRowDxfId="626">
      <totalsRowFormula>SUM(Tableau16103135[DEBIT])</totalsRowFormula>
    </tableColumn>
    <tableColumn id="3" xr3:uid="{98980222-7517-49A9-892F-2B2F6427FA74}" name="CREDIT" totalsRowFunction="custom" dataDxfId="625" totalsRowDxfId="624">
      <totalsRowFormula>SUM(Tableau16103135[CREDIT])</totalsRowFormula>
    </tableColumn>
    <tableColumn id="4" xr3:uid="{F1C5CDBE-A027-437D-9942-B203AD067B99}" name="CATEGORIE" totalsRowFunction="custom" dataDxfId="623" totalsRowDxfId="622">
      <totalsRowFormula>SUM(Tableau16103135[[#Totals],[DEBIT]:[CREDIT]])</totalsRowFormula>
    </tableColumn>
  </tableColumns>
  <tableStyleInfo name="Style de tableau corail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BACDC7A9-DC15-4CC8-88AD-B4E1D703B7E3}" name="Tableau33104136" displayName="Tableau33104136" ref="CU18:CX20" totalsRowCount="1" headerRowDxfId="621" dataDxfId="620">
  <autoFilter ref="CU18:CX19" xr:uid="{BACDC7A9-DC15-4CC8-88AD-B4E1D703B7E3}">
    <filterColumn colId="0" hiddenButton="1"/>
    <filterColumn colId="1" hiddenButton="1"/>
    <filterColumn colId="2" hiddenButton="1"/>
    <filterColumn colId="3" hiddenButton="1"/>
  </autoFilter>
  <tableColumns count="4">
    <tableColumn id="1" xr3:uid="{FCE98D30-D891-4866-BAEA-CFE4E6BBDFC3}" name="ROMAIN OPERATIONS" totalsRowLabel="Total" dataDxfId="619" totalsRowDxfId="618"/>
    <tableColumn id="2" xr3:uid="{0EBD18D3-C5C4-4EB4-ACA9-35A7B28A95B7}" name="DEBIT" totalsRowFunction="custom" dataDxfId="617" totalsRowDxfId="616">
      <totalsRowFormula>SUM(Tableau33104136[DEBIT])</totalsRowFormula>
    </tableColumn>
    <tableColumn id="3" xr3:uid="{45D27927-D66B-4483-A317-0B9EE9BEFC42}" name="CREDIT" totalsRowFunction="custom" dataDxfId="615" totalsRowDxfId="614">
      <totalsRowFormula>SUM(Tableau33104136[CREDIT])</totalsRowFormula>
    </tableColumn>
    <tableColumn id="4" xr3:uid="{E2F05076-A3B6-4314-BF3B-C1A6416EEE6B}" name="CATEGORIE" totalsRowFunction="custom" dataDxfId="613" totalsRowDxfId="612">
      <totalsRowFormula>SUM(Tableau33104136[[#Totals],[CREDIT]],Tableau33104136[[#Totals],[DEBIT]])</totalsRowFormula>
    </tableColumn>
  </tableColumns>
  <tableStyleInfo name="Style de tableau corail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CCA8613B-D342-43B1-AD79-21DE31F43AF2}" name="Tableau1105137" displayName="Tableau1105137" ref="CZ14:DC16" insertRow="1" totalsRowCount="1" headerRowDxfId="611" dataDxfId="610" totalsRowDxfId="609">
  <autoFilter ref="CZ14:DC15" xr:uid="{CCA8613B-D342-43B1-AD79-21DE31F43AF2}">
    <filterColumn colId="0" hiddenButton="1"/>
    <filterColumn colId="1" hiddenButton="1"/>
    <filterColumn colId="2" hiddenButton="1"/>
    <filterColumn colId="3" hiddenButton="1"/>
  </autoFilter>
  <tableColumns count="4">
    <tableColumn id="1" xr3:uid="{80D55A10-4D43-4336-AC1D-5E0839593C58}" name="HANANE OPERATIONS" totalsRowLabel="Total" dataDxfId="608" totalsRowDxfId="607"/>
    <tableColumn id="2" xr3:uid="{7BB7FE29-7841-4007-8B96-0FAF37DA1036}" name="DEBIT" totalsRowFunction="custom" dataDxfId="606" totalsRowDxfId="605">
      <totalsRowFormula>SUM(Tableau1105137[DEBIT])</totalsRowFormula>
    </tableColumn>
    <tableColumn id="3" xr3:uid="{60F2A75C-99AF-44C1-94B5-2697AFD8D816}" name="CREDIT" totalsRowFunction="custom" dataDxfId="604" totalsRowDxfId="603">
      <totalsRowFormula>SUM(Tableau1105137[CREDIT])</totalsRowFormula>
    </tableColumn>
    <tableColumn id="4" xr3:uid="{79DE3F62-61A9-4125-A705-8A45D60FEDCB}" name="CATEGORIE" totalsRowFunction="custom" dataDxfId="602" totalsRowDxfId="601">
      <totalsRowFormula>SUM(Tableau1105137[[#Totals],[DEBIT]:[CREDIT]])</totalsRowFormula>
    </tableColumn>
  </tableColumns>
  <tableStyleInfo name="TableStyleMedium13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288BF1FD-5D6F-4CE3-9F27-E27B71A26A99}" name="Tableau3106138" displayName="Tableau3106138" ref="CZ18:DC20" totalsRowCount="1" headerRowDxfId="600" dataDxfId="599">
  <autoFilter ref="CZ18:DC19" xr:uid="{288BF1FD-5D6F-4CE3-9F27-E27B71A26A99}">
    <filterColumn colId="0" hiddenButton="1"/>
    <filterColumn colId="1" hiddenButton="1"/>
    <filterColumn colId="2" hiddenButton="1"/>
    <filterColumn colId="3" hiddenButton="1"/>
  </autoFilter>
  <tableColumns count="4">
    <tableColumn id="1" xr3:uid="{DE23EBAC-DC80-4C37-8138-D43DF0227589}" name="ROMAIN OPERATIONS" totalsRowLabel="Total" dataDxfId="598" totalsRowDxfId="597"/>
    <tableColumn id="2" xr3:uid="{EB11FF99-EB13-4C06-8E96-71C8386F7075}" name="DEBIT" totalsRowFunction="custom" dataDxfId="596" totalsRowDxfId="595">
      <totalsRowFormula>SUM(Tableau3106138[DEBIT])</totalsRowFormula>
    </tableColumn>
    <tableColumn id="3" xr3:uid="{C0187CCA-AFF3-4421-8313-FAEC77C94963}" name="CREDIT" totalsRowFunction="custom" dataDxfId="594" totalsRowDxfId="593">
      <totalsRowFormula>SUM(Tableau3106138[CREDIT])</totalsRowFormula>
    </tableColumn>
    <tableColumn id="4" xr3:uid="{A5F76E95-338A-414E-B0BB-51570E6510AB}" name="CATEGORIE" totalsRowFunction="custom" dataDxfId="592" totalsRowDxfId="591">
      <totalsRowFormula>SUM(Tableau3106138[[#Totals],[CREDIT]],Tableau3106138[[#Totals],[DEBIT]])</totalsRowFormula>
    </tableColumn>
  </tableColumns>
  <tableStyleInfo name="TableStyleMedium13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ED76C957-7033-43F3-9D03-ED82791C1A47}" name="Tableau16107139" displayName="Tableau16107139" ref="DE14:DH16" insertRow="1" totalsRowCount="1" headerRowDxfId="590" dataDxfId="589" totalsRowDxfId="588">
  <autoFilter ref="DE14:DH15" xr:uid="{ED76C957-7033-43F3-9D03-ED82791C1A47}">
    <filterColumn colId="0" hiddenButton="1"/>
    <filterColumn colId="1" hiddenButton="1"/>
    <filterColumn colId="2" hiddenButton="1"/>
    <filterColumn colId="3" hiddenButton="1"/>
  </autoFilter>
  <tableColumns count="4">
    <tableColumn id="1" xr3:uid="{FC5183F3-BE8C-4153-9BE5-07C9E8A7C31A}" name="HANANE OPERATIONS" totalsRowLabel="Total" dataDxfId="587" totalsRowDxfId="586"/>
    <tableColumn id="2" xr3:uid="{AA989F54-1552-47D7-94B5-2E34AA7198A1}" name="DEBIT" totalsRowFunction="custom" dataDxfId="585" totalsRowDxfId="584">
      <totalsRowFormula>SUM(Tableau16107139[DEBIT])</totalsRowFormula>
    </tableColumn>
    <tableColumn id="3" xr3:uid="{8015CB95-66FB-4389-90CC-BF0E3BA57E8B}" name="CREDIT" totalsRowFunction="custom" dataDxfId="583" totalsRowDxfId="582">
      <totalsRowFormula>SUM(Tableau16107139[CREDIT])</totalsRowFormula>
    </tableColumn>
    <tableColumn id="4" xr3:uid="{E16261A7-4F94-4187-9084-174662818ABF}" name="CATEGORIE" totalsRowFunction="custom" dataDxfId="581" totalsRowDxfId="580">
      <totalsRowFormula>SUM(Tableau16107139[[#Totals],[DEBIT]:[CREDIT]])</totalsRowFormula>
    </tableColumn>
  </tableColumns>
  <tableStyleInfo name="Style de tableau corail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7A644EB6-D8C4-41A2-BCEE-7F5E5921DD94}" name="Tableau33108140" displayName="Tableau33108140" ref="DE18:DH20" totalsRowCount="1" headerRowDxfId="579" dataDxfId="578">
  <autoFilter ref="DE18:DH19" xr:uid="{7A644EB6-D8C4-41A2-BCEE-7F5E5921DD94}">
    <filterColumn colId="0" hiddenButton="1"/>
    <filterColumn colId="1" hiddenButton="1"/>
    <filterColumn colId="2" hiddenButton="1"/>
    <filterColumn colId="3" hiddenButton="1"/>
  </autoFilter>
  <tableColumns count="4">
    <tableColumn id="1" xr3:uid="{65A741CC-D7A8-498A-8080-8B36DF3BF6F7}" name="ROMAIN OPERATIONS" totalsRowLabel="Total" dataDxfId="577" totalsRowDxfId="576"/>
    <tableColumn id="2" xr3:uid="{0FC63A17-B290-4FBF-A125-7507BB64AD4F}" name="DEBIT" totalsRowFunction="custom" dataDxfId="575" totalsRowDxfId="574">
      <totalsRowFormula>SUM(Tableau33108140[DEBIT])</totalsRowFormula>
    </tableColumn>
    <tableColumn id="3" xr3:uid="{39AD04C7-30B7-44E9-AFF6-0614AFB23D72}" name="CREDIT" totalsRowFunction="custom" dataDxfId="573" totalsRowDxfId="572">
      <totalsRowFormula>SUM(Tableau33108140[CREDIT])</totalsRowFormula>
    </tableColumn>
    <tableColumn id="4" xr3:uid="{599DCDFC-A947-45DA-B976-267FDD31EDD2}" name="CATEGORIE" totalsRowFunction="custom" dataDxfId="571" totalsRowDxfId="570">
      <totalsRowFormula>SUM(Tableau33108140[[#Totals],[CREDIT]],Tableau33108140[[#Totals],[DEBIT]])</totalsRowFormula>
    </tableColumn>
  </tableColumns>
  <tableStyleInfo name="Style de tableau corail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EA7168C1-4187-4E8D-8D52-9C7220992283}" name="Tableau1100109141" displayName="Tableau1100109141" ref="DJ14:DM16" insertRow="1" totalsRowCount="1" headerRowDxfId="569" dataDxfId="568" totalsRowDxfId="567">
  <autoFilter ref="DJ14:DM15" xr:uid="{EA7168C1-4187-4E8D-8D52-9C7220992283}">
    <filterColumn colId="0" hiddenButton="1"/>
    <filterColumn colId="1" hiddenButton="1"/>
    <filterColumn colId="2" hiddenButton="1"/>
    <filterColumn colId="3" hiddenButton="1"/>
  </autoFilter>
  <tableColumns count="4">
    <tableColumn id="1" xr3:uid="{C88FE886-A93B-4A86-A07B-AB4DB69F88CF}" name="HANANE OPERATIONS" totalsRowLabel="Total" dataDxfId="566" totalsRowDxfId="565"/>
    <tableColumn id="2" xr3:uid="{7B2F71BB-F599-465E-9101-9AE0D37BBA6E}" name="DEBIT" totalsRowFunction="custom" dataDxfId="564" totalsRowDxfId="563">
      <totalsRowFormula>SUM(Tableau1100109141[DEBIT])</totalsRowFormula>
    </tableColumn>
    <tableColumn id="3" xr3:uid="{41A517B6-A77A-463B-9531-35CC65B416D0}" name="CREDIT" totalsRowFunction="custom" dataDxfId="562" totalsRowDxfId="561">
      <totalsRowFormula>SUM(Tableau1100109141[CREDIT])</totalsRowFormula>
    </tableColumn>
    <tableColumn id="4" xr3:uid="{2047AFFF-82E3-48B9-8BB3-0A923A7452CA}" name="CATEGORIE" totalsRowFunction="custom" dataDxfId="560" totalsRowDxfId="559">
      <totalsRowFormula>SUM(Tableau1100109141[[#Totals],[DEBIT]:[CREDIT]])</totalsRowFormula>
    </tableColumn>
  </tableColumns>
  <tableStyleInfo name="TableStyleMedium13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55B7D294-B186-4B10-9117-947912AACE44}" name="Tableau3102110142" displayName="Tableau3102110142" ref="DJ18:DM20" totalsRowCount="1" headerRowDxfId="558" dataDxfId="557">
  <autoFilter ref="DJ18:DM19" xr:uid="{55B7D294-B186-4B10-9117-947912AACE44}">
    <filterColumn colId="0" hiddenButton="1"/>
    <filterColumn colId="1" hiddenButton="1"/>
    <filterColumn colId="2" hiddenButton="1"/>
    <filterColumn colId="3" hiddenButton="1"/>
  </autoFilter>
  <tableColumns count="4">
    <tableColumn id="1" xr3:uid="{70AF34B5-4B27-4253-A780-3C5B98ED393C}" name="ROMAIN OPERATIONS" totalsRowLabel="Total" dataDxfId="556" totalsRowDxfId="555"/>
    <tableColumn id="2" xr3:uid="{DAE84C7B-2EF4-4D8A-A0A1-C0AD2A9FCFA6}" name="DEBIT" totalsRowFunction="custom" dataDxfId="554" totalsRowDxfId="553">
      <totalsRowFormula>SUM(Tableau3102110142[DEBIT])</totalsRowFormula>
    </tableColumn>
    <tableColumn id="3" xr3:uid="{DEE4A308-D45C-43D7-A31A-CC569AA45737}" name="CREDIT" totalsRowFunction="custom" dataDxfId="552" totalsRowDxfId="551">
      <totalsRowFormula>SUM(Tableau3102110142[CREDIT])</totalsRowFormula>
    </tableColumn>
    <tableColumn id="4" xr3:uid="{B3E31ED9-84A3-417C-B647-2E5170F8B964}" name="CATEGORIE" totalsRowFunction="custom" dataDxfId="550" totalsRowDxfId="549">
      <totalsRowFormula>SUM(Tableau3102110142[[#Totals],[CREDIT]],Tableau3102110142[[#Totals],[DEBIT]])</totalsRowFormula>
    </tableColumn>
  </tableColumns>
  <tableStyleInfo name="TableStyleMedium13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08E3EBD7-59C8-402F-8791-C7C166BC3AD0}" name="Tableau16103111143" displayName="Tableau16103111143" ref="DO14:DR16" insertRow="1" totalsRowCount="1" headerRowDxfId="548" dataDxfId="547" totalsRowDxfId="546">
  <autoFilter ref="DO14:DR15" xr:uid="{08E3EBD7-59C8-402F-8791-C7C166BC3AD0}">
    <filterColumn colId="0" hiddenButton="1"/>
    <filterColumn colId="1" hiddenButton="1"/>
    <filterColumn colId="2" hiddenButton="1"/>
    <filterColumn colId="3" hiddenButton="1"/>
  </autoFilter>
  <tableColumns count="4">
    <tableColumn id="1" xr3:uid="{3F162F9F-206D-4A0B-B9C3-891610E186CE}" name="HANANE OPERATIONS" totalsRowLabel="Total" dataDxfId="545" totalsRowDxfId="544"/>
    <tableColumn id="2" xr3:uid="{AF4C441B-8162-447B-8DC1-221D8DD917ED}" name="DEBIT" totalsRowFunction="custom" dataDxfId="543" totalsRowDxfId="542">
      <totalsRowFormula>SUM(Tableau16103111143[DEBIT])</totalsRowFormula>
    </tableColumn>
    <tableColumn id="3" xr3:uid="{4814DB48-6117-41D1-8E92-22DB917F01A6}" name="CREDIT" totalsRowFunction="custom" dataDxfId="541" totalsRowDxfId="540">
      <totalsRowFormula>SUM(Tableau16103111143[CREDIT])</totalsRowFormula>
    </tableColumn>
    <tableColumn id="4" xr3:uid="{E164CE75-6B49-42FA-A3C4-D8F9C9CE4907}" name="CATEGORIE" totalsRowFunction="custom" dataDxfId="539" totalsRowDxfId="538">
      <totalsRowFormula>SUM(Tableau16103111143[[#Totals],[DEBIT]:[CREDIT]])</totalsRowFormula>
    </tableColumn>
  </tableColumns>
  <tableStyleInfo name="Style de tableau corail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FE0B1B85-E1C0-4875-8BC5-3E9AB6EB0861}" name="Tableau33104112144" displayName="Tableau33104112144" ref="DO18:DR20" totalsRowCount="1" headerRowDxfId="537" dataDxfId="536">
  <autoFilter ref="DO18:DR19" xr:uid="{FE0B1B85-E1C0-4875-8BC5-3E9AB6EB0861}">
    <filterColumn colId="0" hiddenButton="1"/>
    <filterColumn colId="1" hiddenButton="1"/>
    <filterColumn colId="2" hiddenButton="1"/>
    <filterColumn colId="3" hiddenButton="1"/>
  </autoFilter>
  <tableColumns count="4">
    <tableColumn id="1" xr3:uid="{58D93545-C16B-4D23-A153-495BB5E1489E}" name="ROMAIN OPERATIONS" totalsRowLabel="Total" dataDxfId="535" totalsRowDxfId="534"/>
    <tableColumn id="2" xr3:uid="{D3F1CB11-7CD0-4817-B755-27B0FEE189EC}" name="DEBIT" totalsRowFunction="custom" dataDxfId="533" totalsRowDxfId="532">
      <totalsRowFormula>SUM(Tableau33104112144[DEBIT])</totalsRowFormula>
    </tableColumn>
    <tableColumn id="3" xr3:uid="{4F301D32-09F2-4F2F-B7DB-DE45AA3ABE05}" name="CREDIT" totalsRowFunction="custom" dataDxfId="531" totalsRowDxfId="530">
      <totalsRowFormula>SUM(Tableau33104112144[CREDIT])</totalsRowFormula>
    </tableColumn>
    <tableColumn id="4" xr3:uid="{6555F27D-D939-4FC6-9583-378A1AF485CB}" name="CATEGORIE" totalsRowFunction="custom" dataDxfId="529" totalsRowDxfId="528">
      <totalsRowFormula>SUM(Tableau33104112144[[#Totals],[CREDIT]],Tableau33104112144[[#Totals],[DEBIT]])</totalsRowFormula>
    </tableColumn>
  </tableColumns>
  <tableStyleInfo name="Style de tableau corail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1BAB54DF-B05D-4F60-95E9-7CA4D1063BD8}" name="Tableau1145" displayName="Tableau1145" ref="DT14:DW16" insertRow="1" totalsRowCount="1" headerRowDxfId="527" dataDxfId="526" totalsRowDxfId="525">
  <autoFilter ref="DT14:DW15" xr:uid="{1BAB54DF-B05D-4F60-95E9-7CA4D1063BD8}">
    <filterColumn colId="0" hiddenButton="1"/>
    <filterColumn colId="1" hiddenButton="1"/>
    <filterColumn colId="2" hiddenButton="1"/>
    <filterColumn colId="3" hiddenButton="1"/>
  </autoFilter>
  <tableColumns count="4">
    <tableColumn id="1" xr3:uid="{7154EF80-8CA0-4CD2-9718-A7986E245B64}" name="HANANE OPERATIONS" totalsRowLabel="Total" dataDxfId="524" totalsRowDxfId="523"/>
    <tableColumn id="2" xr3:uid="{B71540D0-D120-411F-A12F-585F87064C99}" name="DEBIT" totalsRowFunction="custom" dataDxfId="522" totalsRowDxfId="521">
      <totalsRowFormula>SUM(Tableau1145[DEBIT])</totalsRowFormula>
    </tableColumn>
    <tableColumn id="3" xr3:uid="{00E9D02C-8CDE-4D06-B70D-3EBC8D23E1D7}" name="CREDIT" totalsRowFunction="custom" dataDxfId="520" totalsRowDxfId="519">
      <totalsRowFormula>SUM(Tableau1145[CREDIT])</totalsRowFormula>
    </tableColumn>
    <tableColumn id="4" xr3:uid="{6463A3C9-680A-4D4B-AB2E-484809722BE3}" name="CATEGORIE" totalsRowFunction="custom" dataDxfId="518" totalsRowDxfId="517">
      <totalsRowFormula>SUM(Tableau1145[[#Totals],[DEBIT]:[CREDIT]])</totalsRowFormula>
    </tableColumn>
  </tableColumns>
  <tableStyleInfo name="TableStyleMedium13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A1DF5584-6D23-4715-8A54-54EA2A1EE133}" name="Tableau3146" displayName="Tableau3146" ref="DT18:DW20" totalsRowCount="1" headerRowDxfId="516" dataDxfId="515">
  <autoFilter ref="DT18:DW19" xr:uid="{A1DF5584-6D23-4715-8A54-54EA2A1EE133}">
    <filterColumn colId="0" hiddenButton="1"/>
    <filterColumn colId="1" hiddenButton="1"/>
    <filterColumn colId="2" hiddenButton="1"/>
    <filterColumn colId="3" hiddenButton="1"/>
  </autoFilter>
  <tableColumns count="4">
    <tableColumn id="1" xr3:uid="{875E7C72-0E4C-496C-8E5A-D6AFCFB9D88A}" name="ROMAIN OPERATIONS" totalsRowLabel="Total" dataDxfId="514" totalsRowDxfId="513"/>
    <tableColumn id="2" xr3:uid="{42A251A6-186C-4B92-A5FC-85B885E42E22}" name="DEBIT" totalsRowFunction="custom" dataDxfId="512" totalsRowDxfId="511">
      <totalsRowFormula>SUM(Tableau3146[DEBIT])</totalsRowFormula>
    </tableColumn>
    <tableColumn id="3" xr3:uid="{D895A191-8989-40B6-9800-2C7821A7AD2B}" name="CREDIT" totalsRowFunction="custom" dataDxfId="510" totalsRowDxfId="509">
      <totalsRowFormula>SUM(Tableau3146[CREDIT])</totalsRowFormula>
    </tableColumn>
    <tableColumn id="4" xr3:uid="{1BE992FE-A409-467E-B0AE-848F8984B39B}" name="CATEGORIE" totalsRowFunction="custom" dataDxfId="508" totalsRowDxfId="507">
      <totalsRowFormula>SUM(Tableau3146[[#Totals],[CREDIT]],Tableau3146[[#Totals],[DEBIT]])</totalsRowFormula>
    </tableColumn>
  </tableColumns>
  <tableStyleInfo name="TableStyleMedium13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B8C99343-CB96-4EF6-9A20-25630EA9D38C}" name="Tableau16147" displayName="Tableau16147" ref="DY14:EB16" insertRow="1" totalsRowCount="1" headerRowDxfId="506" dataDxfId="505" totalsRowDxfId="504">
  <autoFilter ref="DY14:EB15" xr:uid="{B8C99343-CB96-4EF6-9A20-25630EA9D38C}">
    <filterColumn colId="0" hiddenButton="1"/>
    <filterColumn colId="1" hiddenButton="1"/>
    <filterColumn colId="2" hiddenButton="1"/>
    <filterColumn colId="3" hiddenButton="1"/>
  </autoFilter>
  <tableColumns count="4">
    <tableColumn id="1" xr3:uid="{300D07BD-FA6D-438E-94CF-BA04C1079A15}" name="HANANE OPERATIONS" totalsRowLabel="Total" dataDxfId="503" totalsRowDxfId="502"/>
    <tableColumn id="2" xr3:uid="{68F51B99-1466-4F7F-AAE1-1F21F1BE5B78}" name="DEBIT" totalsRowFunction="custom" dataDxfId="501" totalsRowDxfId="500">
      <totalsRowFormula>SUM(Tableau16147[DEBIT])</totalsRowFormula>
    </tableColumn>
    <tableColumn id="3" xr3:uid="{92BA61FE-A9A5-467E-AADA-8E7FBA1FAC97}" name="CREDIT" totalsRowFunction="custom" dataDxfId="499" totalsRowDxfId="498">
      <totalsRowFormula>SUM(Tableau16147[CREDIT])</totalsRowFormula>
    </tableColumn>
    <tableColumn id="4" xr3:uid="{9D4CBD0B-4BBF-4A03-B5B6-1493AB39BB47}" name="CATEGORIE" totalsRowFunction="custom" dataDxfId="497" totalsRowDxfId="496">
      <totalsRowFormula>SUM(Tableau16147[[#Totals],[DEBIT]:[CREDIT]])</totalsRowFormula>
    </tableColumn>
  </tableColumns>
  <tableStyleInfo name="Style de tableau corail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519C37BA-14AB-4748-A01C-8E504D723033}" name="Tableau33148" displayName="Tableau33148" ref="DY18:EB20" totalsRowCount="1" headerRowDxfId="495" dataDxfId="494">
  <autoFilter ref="DY18:EB19" xr:uid="{519C37BA-14AB-4748-A01C-8E504D723033}">
    <filterColumn colId="0" hiddenButton="1"/>
    <filterColumn colId="1" hiddenButton="1"/>
    <filterColumn colId="2" hiddenButton="1"/>
    <filterColumn colId="3" hiddenButton="1"/>
  </autoFilter>
  <tableColumns count="4">
    <tableColumn id="1" xr3:uid="{3C509D97-256A-4FF8-B457-E797174F1ED6}" name="ROMAIN OPERATIONS" totalsRowLabel="Total" dataDxfId="493" totalsRowDxfId="492"/>
    <tableColumn id="2" xr3:uid="{99A06B3A-1EF8-4364-BBB8-8C4D835C28CD}" name="DEBIT" totalsRowFunction="custom" dataDxfId="491" totalsRowDxfId="490">
      <totalsRowFormula>SUM(Tableau33148[DEBIT])</totalsRowFormula>
    </tableColumn>
    <tableColumn id="3" xr3:uid="{6FE98C5E-FFA2-49F6-9B6B-421A625EDC79}" name="CREDIT" totalsRowFunction="custom" dataDxfId="489" totalsRowDxfId="488">
      <totalsRowFormula>SUM(Tableau33148[CREDIT])</totalsRowFormula>
    </tableColumn>
    <tableColumn id="4" xr3:uid="{DE767243-31B4-4854-B2ED-AFD1DEDEF41E}" name="CATEGORIE" totalsRowFunction="custom" dataDxfId="487" totalsRowDxfId="486">
      <totalsRowFormula>SUM(Tableau33148[[#Totals],[CREDIT]],Tableau33148[[#Totals],[DEBIT]])</totalsRowFormula>
    </tableColumn>
  </tableColumns>
  <tableStyleInfo name="Style de tableau corail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0EF5EA3C-F3BF-4019-9188-E59D8BB4B9FE}" name="Tableau1100149" displayName="Tableau1100149" ref="ED14:EG16" insertRow="1" totalsRowCount="1" headerRowDxfId="485" dataDxfId="484" totalsRowDxfId="483">
  <autoFilter ref="ED14:EG15" xr:uid="{0EF5EA3C-F3BF-4019-9188-E59D8BB4B9FE}">
    <filterColumn colId="0" hiddenButton="1"/>
    <filterColumn colId="1" hiddenButton="1"/>
    <filterColumn colId="2" hiddenButton="1"/>
    <filterColumn colId="3" hiddenButton="1"/>
  </autoFilter>
  <tableColumns count="4">
    <tableColumn id="1" xr3:uid="{465B0643-9740-4ADD-B928-22057D9A85BF}" name="HANANE OPERATIONS" totalsRowLabel="Total" dataDxfId="482" totalsRowDxfId="481"/>
    <tableColumn id="2" xr3:uid="{011AA188-050B-4C79-BD34-89693052FCC5}" name="DEBIT" totalsRowFunction="custom" dataDxfId="480" totalsRowDxfId="479">
      <totalsRowFormula>SUM(Tableau1100149[DEBIT])</totalsRowFormula>
    </tableColumn>
    <tableColumn id="3" xr3:uid="{28F9AA2C-52CE-49BA-BBB5-F699468DC6D6}" name="CREDIT" totalsRowFunction="custom" dataDxfId="478" totalsRowDxfId="477">
      <totalsRowFormula>SUM(Tableau1100149[CREDIT])</totalsRowFormula>
    </tableColumn>
    <tableColumn id="4" xr3:uid="{5CB19EF3-5338-484D-BD1D-1F9F36305158}" name="CATEGORIE" totalsRowFunction="custom" dataDxfId="476" totalsRowDxfId="475">
      <totalsRowFormula>SUM(Tableau1100149[[#Totals],[DEBIT]:[CREDIT]])</totalsRowFormula>
    </tableColumn>
  </tableColumns>
  <tableStyleInfo name="TableStyleMedium13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F09B35FD-B73A-4AEB-9149-C8D62FA8F461}" name="Tableau3102150" displayName="Tableau3102150" ref="ED18:EG20" totalsRowCount="1" headerRowDxfId="474" dataDxfId="473">
  <autoFilter ref="ED18:EG19" xr:uid="{F09B35FD-B73A-4AEB-9149-C8D62FA8F461}">
    <filterColumn colId="0" hiddenButton="1"/>
    <filterColumn colId="1" hiddenButton="1"/>
    <filterColumn colId="2" hiddenButton="1"/>
    <filterColumn colId="3" hiddenButton="1"/>
  </autoFilter>
  <tableColumns count="4">
    <tableColumn id="1" xr3:uid="{B8B42DC0-9365-4A87-91C3-EA460A7A9DC4}" name="ROMAIN OPERATIONS" totalsRowLabel="Total" dataDxfId="472" totalsRowDxfId="471"/>
    <tableColumn id="2" xr3:uid="{6D382C0F-CF72-4592-B2ED-0842AA538A99}" name="DEBIT" totalsRowFunction="custom" dataDxfId="470" totalsRowDxfId="469">
      <totalsRowFormula>SUM(Tableau3102150[DEBIT])</totalsRowFormula>
    </tableColumn>
    <tableColumn id="3" xr3:uid="{6E0F4254-5200-4ED9-A927-B3E0F073F7A7}" name="CREDIT" totalsRowFunction="custom" dataDxfId="468" totalsRowDxfId="467">
      <totalsRowFormula>SUM(Tableau3102150[CREDIT])</totalsRowFormula>
    </tableColumn>
    <tableColumn id="4" xr3:uid="{8904A92D-22EC-4C40-A45E-859006C21763}" name="CATEGORIE" totalsRowFunction="custom" dataDxfId="466" totalsRowDxfId="465">
      <totalsRowFormula>SUM(Tableau3102150[[#Totals],[CREDIT]],Tableau3102150[[#Totals],[DEBIT]])</totalsRowFormula>
    </tableColumn>
  </tableColumns>
  <tableStyleInfo name="TableStyleMedium13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8B6027A8-20FF-4805-9673-1B330A5E715D}" name="Tableau16103151" displayName="Tableau16103151" ref="EI14:EL16" insertRow="1" totalsRowCount="1" headerRowDxfId="464" dataDxfId="463" totalsRowDxfId="462">
  <autoFilter ref="EI14:EL15" xr:uid="{8B6027A8-20FF-4805-9673-1B330A5E715D}">
    <filterColumn colId="0" hiddenButton="1"/>
    <filterColumn colId="1" hiddenButton="1"/>
    <filterColumn colId="2" hiddenButton="1"/>
    <filterColumn colId="3" hiddenButton="1"/>
  </autoFilter>
  <tableColumns count="4">
    <tableColumn id="1" xr3:uid="{27837A97-19AC-408C-B2B7-4001A509DDA2}" name="HANANE OPERATIONS" totalsRowLabel="Total" dataDxfId="461" totalsRowDxfId="460"/>
    <tableColumn id="2" xr3:uid="{A3FEAFB4-18F0-4DFB-A937-8E9C277805EB}" name="DEBIT" totalsRowFunction="custom" dataDxfId="459" totalsRowDxfId="458">
      <totalsRowFormula>SUM(Tableau16103151[DEBIT])</totalsRowFormula>
    </tableColumn>
    <tableColumn id="3" xr3:uid="{4FD17BD3-016B-40CB-A31E-7E551C7538E3}" name="CREDIT" totalsRowFunction="custom" dataDxfId="457" totalsRowDxfId="456">
      <totalsRowFormula>SUM(Tableau16103151[CREDIT])</totalsRowFormula>
    </tableColumn>
    <tableColumn id="4" xr3:uid="{962F898D-99FC-4C9E-89CF-0B5CBCB711C8}" name="CATEGORIE" totalsRowFunction="custom" dataDxfId="455" totalsRowDxfId="454">
      <totalsRowFormula>SUM(Tableau16103151[[#Totals],[DEBIT]:[CREDIT]])</totalsRowFormula>
    </tableColumn>
  </tableColumns>
  <tableStyleInfo name="Style de tableau corail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14435F1D-E46E-43A8-B680-CB201E3007A1}" name="Tableau33104152" displayName="Tableau33104152" ref="EI18:EL20" totalsRowCount="1" headerRowDxfId="453" dataDxfId="452">
  <autoFilter ref="EI18:EL19" xr:uid="{14435F1D-E46E-43A8-B680-CB201E3007A1}">
    <filterColumn colId="0" hiddenButton="1"/>
    <filterColumn colId="1" hiddenButton="1"/>
    <filterColumn colId="2" hiddenButton="1"/>
    <filterColumn colId="3" hiddenButton="1"/>
  </autoFilter>
  <tableColumns count="4">
    <tableColumn id="1" xr3:uid="{B4D72B3E-BFF4-436A-94D1-4902219E981B}" name="ROMAIN OPERATIONS" totalsRowLabel="Total" dataDxfId="451" totalsRowDxfId="450"/>
    <tableColumn id="2" xr3:uid="{3BACD58C-122C-4E95-B211-0BCF146CA103}" name="DEBIT" totalsRowFunction="custom" dataDxfId="449" totalsRowDxfId="448">
      <totalsRowFormula>SUM(Tableau33104152[DEBIT])</totalsRowFormula>
    </tableColumn>
    <tableColumn id="3" xr3:uid="{95A21C49-FBB6-4384-BE6F-8BACCD8299CC}" name="CREDIT" totalsRowFunction="custom" dataDxfId="447" totalsRowDxfId="446">
      <totalsRowFormula>SUM(Tableau33104152[CREDIT])</totalsRowFormula>
    </tableColumn>
    <tableColumn id="4" xr3:uid="{5A368E1A-DDA5-46B5-A370-4BA9621DC597}" name="CATEGORIE" totalsRowFunction="custom" dataDxfId="445" totalsRowDxfId="444">
      <totalsRowFormula>SUM(Tableau33104152[[#Totals],[CREDIT]],Tableau33104152[[#Totals],[DEBIT]])</totalsRowFormula>
    </tableColumn>
  </tableColumns>
  <tableStyleInfo name="Style de tableau corail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E359CD65-0EB5-41C6-BE35-A37076AB6087}" name="Tableau1105153" displayName="Tableau1105153" ref="EN14:EQ16" insertRow="1" totalsRowCount="1" headerRowDxfId="443" dataDxfId="442" totalsRowDxfId="441">
  <autoFilter ref="EN14:EQ15" xr:uid="{E359CD65-0EB5-41C6-BE35-A37076AB6087}">
    <filterColumn colId="0" hiddenButton="1"/>
    <filterColumn colId="1" hiddenButton="1"/>
    <filterColumn colId="2" hiddenButton="1"/>
    <filterColumn colId="3" hiddenButton="1"/>
  </autoFilter>
  <tableColumns count="4">
    <tableColumn id="1" xr3:uid="{C931CFD5-9775-424C-9626-32A843C9A860}" name="HANANE OPERATIONS" totalsRowLabel="Total" dataDxfId="440" totalsRowDxfId="439"/>
    <tableColumn id="2" xr3:uid="{A437206A-F28C-41AB-AEAC-C05E83297E98}" name="DEBIT" totalsRowFunction="custom" dataDxfId="438" totalsRowDxfId="437">
      <totalsRowFormula>SUM(Tableau1105153[DEBIT])</totalsRowFormula>
    </tableColumn>
    <tableColumn id="3" xr3:uid="{951714A4-6FEC-4154-88B7-036C2CA2B4A6}" name="CREDIT" totalsRowFunction="custom" dataDxfId="436" totalsRowDxfId="435">
      <totalsRowFormula>SUM(Tableau1105153[CREDIT])</totalsRowFormula>
    </tableColumn>
    <tableColumn id="4" xr3:uid="{CAD8E184-9000-4E17-A1AD-EBA90F1A6DA3}" name="CATEGORIE" totalsRowFunction="custom" dataDxfId="434" totalsRowDxfId="433">
      <totalsRowFormula>SUM(Tableau1105153[[#Totals],[DEBIT]:[CREDIT]])</totalsRowFormula>
    </tableColumn>
  </tableColumns>
  <tableStyleInfo name="TableStyleMedium13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51B06AB0-1D91-4835-9827-5762C2910806}" name="Tableau3106154" displayName="Tableau3106154" ref="EN18:EQ20" totalsRowCount="1" headerRowDxfId="432" dataDxfId="431">
  <autoFilter ref="EN18:EQ19" xr:uid="{51B06AB0-1D91-4835-9827-5762C2910806}">
    <filterColumn colId="0" hiddenButton="1"/>
    <filterColumn colId="1" hiddenButton="1"/>
    <filterColumn colId="2" hiddenButton="1"/>
    <filterColumn colId="3" hiddenButton="1"/>
  </autoFilter>
  <tableColumns count="4">
    <tableColumn id="1" xr3:uid="{69A787FF-1CC0-4A5F-AA16-50AC252F58A8}" name="ROMAIN OPERATIONS" totalsRowLabel="Total" dataDxfId="430" totalsRowDxfId="429"/>
    <tableColumn id="2" xr3:uid="{E452DCA2-9F33-4A54-9C39-63F7C8869DD3}" name="DEBIT" totalsRowFunction="custom" dataDxfId="428" totalsRowDxfId="427">
      <totalsRowFormula>SUM(Tableau3106154[DEBIT])</totalsRowFormula>
    </tableColumn>
    <tableColumn id="3" xr3:uid="{9DD4219F-BF08-4B02-9C02-0AA69902BD1E}" name="CREDIT" totalsRowFunction="custom" dataDxfId="426" totalsRowDxfId="425">
      <totalsRowFormula>SUM(Tableau3106154[CREDIT])</totalsRowFormula>
    </tableColumn>
    <tableColumn id="4" xr3:uid="{CC19DD8C-3CCF-45C1-B646-45D2112907DA}" name="CATEGORIE" totalsRowFunction="custom" dataDxfId="424" totalsRowDxfId="423">
      <totalsRowFormula>SUM(Tableau3106154[[#Totals],[CREDIT]],Tableau3106154[[#Totals],[DEBIT]])</totalsRowFormula>
    </tableColumn>
  </tableColumns>
  <tableStyleInfo name="TableStyleMedium13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6475711F-03D4-49A4-9B82-411C6C71319C}" name="Tableau16107155" displayName="Tableau16107155" ref="ES14:EV16" insertRow="1" totalsRowCount="1" headerRowDxfId="422" dataDxfId="421" totalsRowDxfId="420">
  <autoFilter ref="ES14:EV15" xr:uid="{6475711F-03D4-49A4-9B82-411C6C71319C}">
    <filterColumn colId="0" hiddenButton="1"/>
    <filterColumn colId="1" hiddenButton="1"/>
    <filterColumn colId="2" hiddenButton="1"/>
    <filterColumn colId="3" hiddenButton="1"/>
  </autoFilter>
  <tableColumns count="4">
    <tableColumn id="1" xr3:uid="{D2C2A2E7-ED15-411E-AFB1-767F390A333B}" name="HANANE OPERATIONS" totalsRowLabel="Total" dataDxfId="419" totalsRowDxfId="418"/>
    <tableColumn id="2" xr3:uid="{AD74A533-9341-4FFC-A37F-73C4990A98F4}" name="DEBIT" totalsRowFunction="custom" dataDxfId="417" totalsRowDxfId="416">
      <totalsRowFormula>SUM(Tableau16107155[DEBIT])</totalsRowFormula>
    </tableColumn>
    <tableColumn id="3" xr3:uid="{365AC4E7-F2B7-47B4-8F35-45D4B4C2BBF3}" name="CREDIT" totalsRowFunction="custom" dataDxfId="415" totalsRowDxfId="414">
      <totalsRowFormula>SUM(Tableau16107155[CREDIT])</totalsRowFormula>
    </tableColumn>
    <tableColumn id="4" xr3:uid="{9640AC5F-52EB-44CB-9465-CFB010754BF5}" name="CATEGORIE" totalsRowFunction="custom" dataDxfId="413" totalsRowDxfId="412">
      <totalsRowFormula>SUM(Tableau16107155[[#Totals],[DEBIT]:[CREDIT]])</totalsRowFormula>
    </tableColumn>
  </tableColumns>
  <tableStyleInfo name="Style de tableau corail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8B68D30F-C56E-4D79-A62D-E062E42447A9}" name="Tableau33108156" displayName="Tableau33108156" ref="ES18:EV20" totalsRowCount="1" headerRowDxfId="411" dataDxfId="410">
  <autoFilter ref="ES18:EV19" xr:uid="{8B68D30F-C56E-4D79-A62D-E062E42447A9}">
    <filterColumn colId="0" hiddenButton="1"/>
    <filterColumn colId="1" hiddenButton="1"/>
    <filterColumn colId="2" hiddenButton="1"/>
    <filterColumn colId="3" hiddenButton="1"/>
  </autoFilter>
  <tableColumns count="4">
    <tableColumn id="1" xr3:uid="{61D937E5-75C2-4AA9-B79F-201851D25445}" name="ROMAIN OPERATIONS" totalsRowLabel="Total" dataDxfId="409" totalsRowDxfId="408"/>
    <tableColumn id="2" xr3:uid="{F02C5E20-C9D5-4E6C-9DF8-21867B978BDB}" name="DEBIT" totalsRowFunction="custom" dataDxfId="407" totalsRowDxfId="406">
      <totalsRowFormula>SUM(Tableau33108156[DEBIT])</totalsRowFormula>
    </tableColumn>
    <tableColumn id="3" xr3:uid="{16B95CD2-2936-4200-8B93-7AAEEF422AE1}" name="CREDIT" totalsRowFunction="custom" dataDxfId="405" totalsRowDxfId="404">
      <totalsRowFormula>SUM(Tableau33108156[CREDIT])</totalsRowFormula>
    </tableColumn>
    <tableColumn id="4" xr3:uid="{E8592C8D-EC4F-4FD4-B021-DD67D168F20A}" name="CATEGORIE" totalsRowFunction="custom" dataDxfId="403" totalsRowDxfId="402">
      <totalsRowFormula>SUM(Tableau33108156[[#Totals],[CREDIT]],Tableau33108156[[#Totals],[DEBIT]])</totalsRowFormula>
    </tableColumn>
  </tableColumns>
  <tableStyleInfo name="Style de tableau corail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6" xr:uid="{645D5D21-4C1F-44FB-B375-9578595A97F9}" name="Tableau1100109157" displayName="Tableau1100109157" ref="EX14:FA16" insertRow="1" totalsRowCount="1" headerRowDxfId="401" dataDxfId="400" totalsRowDxfId="399">
  <autoFilter ref="EX14:FA15" xr:uid="{645D5D21-4C1F-44FB-B375-9578595A97F9}">
    <filterColumn colId="0" hiddenButton="1"/>
    <filterColumn colId="1" hiddenButton="1"/>
    <filterColumn colId="2" hiddenButton="1"/>
    <filterColumn colId="3" hiddenButton="1"/>
  </autoFilter>
  <tableColumns count="4">
    <tableColumn id="1" xr3:uid="{BD00E86E-FB7D-4187-B0DD-F5B03CCAC39C}" name="HANANE OPERATIONS" totalsRowLabel="Total" dataDxfId="398" totalsRowDxfId="397"/>
    <tableColumn id="2" xr3:uid="{610D7E89-9889-4B47-91C3-93C21C1525B4}" name="DEBIT" totalsRowFunction="custom" dataDxfId="396" totalsRowDxfId="395">
      <totalsRowFormula>SUM(Tableau1100109157[DEBIT])</totalsRowFormula>
    </tableColumn>
    <tableColumn id="3" xr3:uid="{C8B0511E-C416-4D52-B2F1-0F1B4688C860}" name="CREDIT" totalsRowFunction="custom" dataDxfId="394" totalsRowDxfId="393">
      <totalsRowFormula>SUM(Tableau1100109157[CREDIT])</totalsRowFormula>
    </tableColumn>
    <tableColumn id="4" xr3:uid="{E0130278-1F75-4388-B4D6-A8ABC8A6F4B1}" name="CATEGORIE" totalsRowFunction="custom" dataDxfId="392" totalsRowDxfId="391">
      <totalsRowFormula>SUM(Tableau1100109157[[#Totals],[DEBIT]:[CREDIT]])</totalsRowFormula>
    </tableColumn>
  </tableColumns>
  <tableStyleInfo name="TableStyleMedium13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7" xr:uid="{B883A32A-DE47-4D83-84C1-8A97569B3B87}" name="Tableau3102110158" displayName="Tableau3102110158" ref="EX18:FA20" totalsRowCount="1" headerRowDxfId="390" dataDxfId="389">
  <autoFilter ref="EX18:FA19" xr:uid="{B883A32A-DE47-4D83-84C1-8A97569B3B87}">
    <filterColumn colId="0" hiddenButton="1"/>
    <filterColumn colId="1" hiddenButton="1"/>
    <filterColumn colId="2" hiddenButton="1"/>
    <filterColumn colId="3" hiddenButton="1"/>
  </autoFilter>
  <tableColumns count="4">
    <tableColumn id="1" xr3:uid="{50292C5B-1A2F-440E-948A-EB5FA5AC8FA4}" name="ROMAIN OPERATIONS" totalsRowLabel="Total" dataDxfId="388" totalsRowDxfId="387"/>
    <tableColumn id="2" xr3:uid="{0AADCC0A-539F-457D-A6B2-D0A508A49243}" name="DEBIT" totalsRowFunction="custom" dataDxfId="386" totalsRowDxfId="385">
      <totalsRowFormula>SUM(Tableau3102110158[DEBIT])</totalsRowFormula>
    </tableColumn>
    <tableColumn id="3" xr3:uid="{C4DB4C78-90B6-4F7B-8C60-26CB7C07C6C5}" name="CREDIT" totalsRowFunction="custom" dataDxfId="384" totalsRowDxfId="383">
      <totalsRowFormula>SUM(Tableau3102110158[CREDIT])</totalsRowFormula>
    </tableColumn>
    <tableColumn id="4" xr3:uid="{5254B4C0-71C7-44A6-84BA-2335A0E32BFC}" name="CATEGORIE" totalsRowFunction="custom" dataDxfId="382" totalsRowDxfId="381">
      <totalsRowFormula>SUM(Tableau3102110158[[#Totals],[CREDIT]],Tableau3102110158[[#Totals],[DEBIT]])</totalsRowFormula>
    </tableColumn>
  </tableColumns>
  <tableStyleInfo name="TableStyleMedium13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8" xr:uid="{C0D5DCCB-5589-4200-B9F4-09D7A7E77D5B}" name="Tableau16103111159" displayName="Tableau16103111159" ref="FC14:FF16" insertRow="1" totalsRowCount="1" headerRowDxfId="380" dataDxfId="379" totalsRowDxfId="378">
  <autoFilter ref="FC14:FF15" xr:uid="{C0D5DCCB-5589-4200-B9F4-09D7A7E77D5B}">
    <filterColumn colId="0" hiddenButton="1"/>
    <filterColumn colId="1" hiddenButton="1"/>
    <filterColumn colId="2" hiddenButton="1"/>
    <filterColumn colId="3" hiddenButton="1"/>
  </autoFilter>
  <tableColumns count="4">
    <tableColumn id="1" xr3:uid="{78529990-226F-4305-930F-110F99319E86}" name="HANANE OPERATIONS" totalsRowLabel="Total" dataDxfId="377" totalsRowDxfId="376"/>
    <tableColumn id="2" xr3:uid="{535351D4-1641-4C54-A40B-D58637C1B164}" name="DEBIT" totalsRowFunction="custom" dataDxfId="375" totalsRowDxfId="374">
      <totalsRowFormula>SUM(Tableau16103111159[DEBIT])</totalsRowFormula>
    </tableColumn>
    <tableColumn id="3" xr3:uid="{FC4747FC-3EF1-41AD-9742-762929D7DEA8}" name="CREDIT" totalsRowFunction="custom" dataDxfId="373" totalsRowDxfId="372">
      <totalsRowFormula>SUM(Tableau16103111159[CREDIT])</totalsRowFormula>
    </tableColumn>
    <tableColumn id="4" xr3:uid="{DB3D6B39-BBAE-41C6-8AF1-CF932F70B95B}" name="CATEGORIE" totalsRowFunction="custom" dataDxfId="371" totalsRowDxfId="370">
      <totalsRowFormula>SUM(Tableau16103111159[[#Totals],[DEBIT]:[CREDIT]])</totalsRowFormula>
    </tableColumn>
  </tableColumns>
  <tableStyleInfo name="Style de tableau corail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9" xr:uid="{1AE940E4-060D-4C11-9DA2-41EBDFB2FF8C}" name="Tableau33104112160" displayName="Tableau33104112160" ref="FC18:FF20" totalsRowCount="1" headerRowDxfId="369" dataDxfId="368">
  <autoFilter ref="FC18:FF19" xr:uid="{1AE940E4-060D-4C11-9DA2-41EBDFB2FF8C}">
    <filterColumn colId="0" hiddenButton="1"/>
    <filterColumn colId="1" hiddenButton="1"/>
    <filterColumn colId="2" hiddenButton="1"/>
    <filterColumn colId="3" hiddenButton="1"/>
  </autoFilter>
  <tableColumns count="4">
    <tableColumn id="1" xr3:uid="{DEFE83F3-4BC0-4AC9-B951-77A80F8132AC}" name="ROMAIN OPERATIONS" totalsRowLabel="Total" dataDxfId="367" totalsRowDxfId="366"/>
    <tableColumn id="2" xr3:uid="{AFEED669-8C4D-475A-BB14-7DF1BDF113B0}" name="DEBIT" totalsRowFunction="custom" dataDxfId="365" totalsRowDxfId="364">
      <totalsRowFormula>SUM(Tableau33104112160[DEBIT])</totalsRowFormula>
    </tableColumn>
    <tableColumn id="3" xr3:uid="{8D65106A-8799-484A-B781-363C78535576}" name="CREDIT" totalsRowFunction="custom" dataDxfId="363" totalsRowDxfId="362">
      <totalsRowFormula>SUM(Tableau33104112160[CREDIT])</totalsRowFormula>
    </tableColumn>
    <tableColumn id="4" xr3:uid="{39A4FB7E-C6D4-4DE4-B792-64FA70C3A0E4}" name="CATEGORIE" totalsRowFunction="custom" dataDxfId="361" totalsRowDxfId="360">
      <totalsRowFormula>SUM(Tableau33104112160[[#Totals],[CREDIT]],Tableau33104112160[[#Totals],[DEBIT]])</totalsRowFormula>
    </tableColumn>
  </tableColumns>
  <tableStyleInfo name="Style de tableau corail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0" xr:uid="{D80D58DA-E093-409C-BCE2-6A3236380B7B}" name="Tableau1161" displayName="Tableau1161" ref="FH14:FK16" insertRow="1" totalsRowCount="1" headerRowDxfId="359" dataDxfId="358" totalsRowDxfId="357">
  <autoFilter ref="FH14:FK15" xr:uid="{D80D58DA-E093-409C-BCE2-6A3236380B7B}">
    <filterColumn colId="0" hiddenButton="1"/>
    <filterColumn colId="1" hiddenButton="1"/>
    <filterColumn colId="2" hiddenButton="1"/>
    <filterColumn colId="3" hiddenButton="1"/>
  </autoFilter>
  <tableColumns count="4">
    <tableColumn id="1" xr3:uid="{FF632231-8B69-4CF1-8F42-6937B5985731}" name="HANANE OPERATIONS" totalsRowLabel="Total" dataDxfId="356" totalsRowDxfId="355"/>
    <tableColumn id="2" xr3:uid="{473C9AE3-8727-40C8-B966-0B90E4CA156F}" name="DEBIT" totalsRowFunction="custom" dataDxfId="354" totalsRowDxfId="353">
      <totalsRowFormula>SUM(Tableau1161[DEBIT])</totalsRowFormula>
    </tableColumn>
    <tableColumn id="3" xr3:uid="{162CA34A-23A3-4E57-8CA6-8CF9314D7F19}" name="CREDIT" totalsRowFunction="custom" dataDxfId="352" totalsRowDxfId="351">
      <totalsRowFormula>SUM(Tableau1161[CREDIT])</totalsRowFormula>
    </tableColumn>
    <tableColumn id="4" xr3:uid="{5BC85489-BF55-4840-9F16-021E95317C89}" name="CATEGORIE" totalsRowFunction="custom" dataDxfId="350" totalsRowDxfId="349">
      <totalsRowFormula>SUM(Tableau1161[[#Totals],[DEBIT]:[CREDIT]])</totalsRowFormula>
    </tableColumn>
  </tableColumns>
  <tableStyleInfo name="TableStyleMedium13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1" xr:uid="{6C59E013-8A1A-47F4-BA9A-8ABFDF94500B}" name="Tableau3162" displayName="Tableau3162" ref="FH18:FK20" totalsRowCount="1" headerRowDxfId="348" dataDxfId="347">
  <autoFilter ref="FH18:FK19" xr:uid="{6C59E013-8A1A-47F4-BA9A-8ABFDF94500B}">
    <filterColumn colId="0" hiddenButton="1"/>
    <filterColumn colId="1" hiddenButton="1"/>
    <filterColumn colId="2" hiddenButton="1"/>
    <filterColumn colId="3" hiddenButton="1"/>
  </autoFilter>
  <tableColumns count="4">
    <tableColumn id="1" xr3:uid="{57FED974-1A43-4768-8E12-BF804ACB2935}" name="ROMAIN OPERATIONS" totalsRowLabel="Total" dataDxfId="346" totalsRowDxfId="345"/>
    <tableColumn id="2" xr3:uid="{BDDE746A-18E1-4170-A83D-2FCD8B50307C}" name="DEBIT" totalsRowFunction="custom" dataDxfId="344" totalsRowDxfId="343">
      <totalsRowFormula>SUM(Tableau3162[DEBIT])</totalsRowFormula>
    </tableColumn>
    <tableColumn id="3" xr3:uid="{F676785E-51CA-4FE5-99E0-E234588943B0}" name="CREDIT" totalsRowFunction="custom" dataDxfId="342" totalsRowDxfId="341">
      <totalsRowFormula>SUM(Tableau3162[CREDIT])</totalsRowFormula>
    </tableColumn>
    <tableColumn id="4" xr3:uid="{D8DF3203-F587-48A0-9B11-1449ADF79FEB}" name="CATEGORIE" totalsRowFunction="custom" dataDxfId="340" totalsRowDxfId="339">
      <totalsRowFormula>SUM(Tableau3162[[#Totals],[CREDIT]],Tableau3162[[#Totals],[DEBIT]])</totalsRowFormula>
    </tableColumn>
  </tableColumns>
  <tableStyleInfo name="TableStyleMedium13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2" xr:uid="{E57B9ED8-38CB-4CB3-9E7D-9B83433E2219}" name="Tableau16163" displayName="Tableau16163" ref="FM14:FP16" insertRow="1" totalsRowCount="1" headerRowDxfId="338" dataDxfId="337" totalsRowDxfId="336">
  <autoFilter ref="FM14:FP15" xr:uid="{E57B9ED8-38CB-4CB3-9E7D-9B83433E2219}">
    <filterColumn colId="0" hiddenButton="1"/>
    <filterColumn colId="1" hiddenButton="1"/>
    <filterColumn colId="2" hiddenButton="1"/>
    <filterColumn colId="3" hiddenButton="1"/>
  </autoFilter>
  <tableColumns count="4">
    <tableColumn id="1" xr3:uid="{72094CE0-485A-49F8-9428-9C9F7EC396C5}" name="HANANE OPERATIONS" totalsRowLabel="Total" dataDxfId="335" totalsRowDxfId="334"/>
    <tableColumn id="2" xr3:uid="{5499995E-0804-4710-8D82-DC190D0AF66D}" name="DEBIT" totalsRowFunction="custom" dataDxfId="333" totalsRowDxfId="332">
      <totalsRowFormula>SUM(Tableau16163[DEBIT])</totalsRowFormula>
    </tableColumn>
    <tableColumn id="3" xr3:uid="{6765AE38-C4D0-4404-925A-A2D993A03391}" name="CREDIT" totalsRowFunction="custom" dataDxfId="331" totalsRowDxfId="330">
      <totalsRowFormula>SUM(Tableau16163[CREDIT])</totalsRowFormula>
    </tableColumn>
    <tableColumn id="4" xr3:uid="{130E9056-DEAE-4B71-904D-FC896C7DA46C}" name="CATEGORIE" totalsRowFunction="custom" dataDxfId="329" totalsRowDxfId="328">
      <totalsRowFormula>SUM(Tableau16163[[#Totals],[DEBIT]:[CREDIT]])</totalsRowFormula>
    </tableColumn>
  </tableColumns>
  <tableStyleInfo name="Style de tableau corail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3" xr:uid="{262CE6AC-D81C-4C73-9840-095A29DC6D89}" name="Tableau33164" displayName="Tableau33164" ref="FM18:FP20" totalsRowCount="1" headerRowDxfId="327" dataDxfId="326">
  <autoFilter ref="FM18:FP19" xr:uid="{262CE6AC-D81C-4C73-9840-095A29DC6D89}">
    <filterColumn colId="0" hiddenButton="1"/>
    <filterColumn colId="1" hiddenButton="1"/>
    <filterColumn colId="2" hiddenButton="1"/>
    <filterColumn colId="3" hiddenButton="1"/>
  </autoFilter>
  <tableColumns count="4">
    <tableColumn id="1" xr3:uid="{163980A8-981C-45A4-9742-B7CA6397A10C}" name="ROMAIN OPERATIONS" totalsRowLabel="Total" dataDxfId="325" totalsRowDxfId="324"/>
    <tableColumn id="2" xr3:uid="{B7952EC8-2175-4600-963F-05298ACF683D}" name="DEBIT" totalsRowFunction="custom" dataDxfId="323" totalsRowDxfId="322">
      <totalsRowFormula>SUM(Tableau33164[DEBIT])</totalsRowFormula>
    </tableColumn>
    <tableColumn id="3" xr3:uid="{339AE0E5-BE4B-4D78-BB6C-716EB7B4623E}" name="CREDIT" totalsRowFunction="custom" dataDxfId="321" totalsRowDxfId="320">
      <totalsRowFormula>SUM(Tableau33164[CREDIT])</totalsRowFormula>
    </tableColumn>
    <tableColumn id="4" xr3:uid="{F1A72BE3-E150-4736-A3E3-665B5A47F151}" name="CATEGORIE" totalsRowFunction="custom" dataDxfId="319" totalsRowDxfId="318">
      <totalsRowFormula>SUM(Tableau33164[[#Totals],[CREDIT]],Tableau33164[[#Totals],[DEBIT]])</totalsRowFormula>
    </tableColumn>
  </tableColumns>
  <tableStyleInfo name="Style de tableau corail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4" xr:uid="{9212B757-819B-4898-B4B4-BEAEF1A9363C}" name="Tableau1100165" displayName="Tableau1100165" ref="FR14:FU16" insertRow="1" totalsRowCount="1" headerRowDxfId="317" dataDxfId="316" totalsRowDxfId="315">
  <autoFilter ref="FR14:FU15" xr:uid="{9212B757-819B-4898-B4B4-BEAEF1A9363C}">
    <filterColumn colId="0" hiddenButton="1"/>
    <filterColumn colId="1" hiddenButton="1"/>
    <filterColumn colId="2" hiddenButton="1"/>
    <filterColumn colId="3" hiddenButton="1"/>
  </autoFilter>
  <tableColumns count="4">
    <tableColumn id="1" xr3:uid="{9C364F9A-4400-4E66-8DDD-142B55874FA0}" name="HANANE OPERATIONS" totalsRowLabel="Total" dataDxfId="314" totalsRowDxfId="313"/>
    <tableColumn id="2" xr3:uid="{1DEA11B7-7C7E-47BC-98AA-1694BC8432D1}" name="DEBIT" totalsRowFunction="custom" dataDxfId="312" totalsRowDxfId="311">
      <totalsRowFormula>SUM(Tableau1100165[DEBIT])</totalsRowFormula>
    </tableColumn>
    <tableColumn id="3" xr3:uid="{1D27A76F-DF55-45F8-BA89-59354FB5A031}" name="CREDIT" totalsRowFunction="custom" dataDxfId="310" totalsRowDxfId="309">
      <totalsRowFormula>SUM(Tableau1100165[CREDIT])</totalsRowFormula>
    </tableColumn>
    <tableColumn id="4" xr3:uid="{C87659B4-7034-4D04-92F5-C9F654D18CFE}" name="CATEGORIE" totalsRowFunction="custom" dataDxfId="308" totalsRowDxfId="307">
      <totalsRowFormula>SUM(Tableau1100165[[#Totals],[DEBIT]:[CREDIT]])</totalsRowFormula>
    </tableColumn>
  </tableColumns>
  <tableStyleInfo name="TableStyleMedium13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5" xr:uid="{E3A858C2-5E87-42BD-90D6-3A02CBAC2864}" name="Tableau3102166" displayName="Tableau3102166" ref="FR18:FU20" totalsRowCount="1" headerRowDxfId="306" dataDxfId="305">
  <autoFilter ref="FR18:FU19" xr:uid="{E3A858C2-5E87-42BD-90D6-3A02CBAC2864}">
    <filterColumn colId="0" hiddenButton="1"/>
    <filterColumn colId="1" hiddenButton="1"/>
    <filterColumn colId="2" hiddenButton="1"/>
    <filterColumn colId="3" hiddenButton="1"/>
  </autoFilter>
  <tableColumns count="4">
    <tableColumn id="1" xr3:uid="{2E45D162-8526-4602-8E57-FCA9DF7E5506}" name="ROMAIN OPERATIONS" totalsRowLabel="Total" dataDxfId="304" totalsRowDxfId="303"/>
    <tableColumn id="2" xr3:uid="{8A75EF82-6959-4CFF-9061-BCCA3F02E984}" name="DEBIT" totalsRowFunction="custom" dataDxfId="302" totalsRowDxfId="301">
      <totalsRowFormula>SUM(Tableau3102166[DEBIT])</totalsRowFormula>
    </tableColumn>
    <tableColumn id="3" xr3:uid="{485ADAC9-C48D-4AFE-8A27-AF77B54EE482}" name="CREDIT" totalsRowFunction="custom" dataDxfId="300" totalsRowDxfId="299">
      <totalsRowFormula>SUM(Tableau3102166[CREDIT])</totalsRowFormula>
    </tableColumn>
    <tableColumn id="4" xr3:uid="{D4ABA738-D1F7-4674-B132-99941C44CA90}" name="CATEGORIE" totalsRowFunction="custom" dataDxfId="298" totalsRowDxfId="297">
      <totalsRowFormula>SUM(Tableau3102166[[#Totals],[CREDIT]],Tableau3102166[[#Totals],[DEBIT]])</totalsRowFormula>
    </tableColumn>
  </tableColumns>
  <tableStyleInfo name="TableStyleMedium13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6" xr:uid="{8B5675F4-BEE1-4549-A353-A0F086E196BA}" name="Tableau16103167" displayName="Tableau16103167" ref="FW14:FZ16" insertRow="1" totalsRowCount="1" headerRowDxfId="296" dataDxfId="295" totalsRowDxfId="294">
  <autoFilter ref="FW14:FZ15" xr:uid="{8B5675F4-BEE1-4549-A353-A0F086E196BA}">
    <filterColumn colId="0" hiddenButton="1"/>
    <filterColumn colId="1" hiddenButton="1"/>
    <filterColumn colId="2" hiddenButton="1"/>
    <filterColumn colId="3" hiddenButton="1"/>
  </autoFilter>
  <tableColumns count="4">
    <tableColumn id="1" xr3:uid="{2C03C0E9-3EE9-46CB-BCCE-7299392E6447}" name="HANANE OPERATIONS" totalsRowLabel="Total" dataDxfId="293" totalsRowDxfId="292"/>
    <tableColumn id="2" xr3:uid="{5489EEC7-0BF1-4649-AF2F-FF861D4EF688}" name="DEBIT" totalsRowFunction="custom" dataDxfId="291" totalsRowDxfId="290">
      <totalsRowFormula>SUM(Tableau16103167[DEBIT])</totalsRowFormula>
    </tableColumn>
    <tableColumn id="3" xr3:uid="{708B8521-6E90-4D49-A12A-6F3CC461ACAB}" name="CREDIT" totalsRowFunction="custom" dataDxfId="289" totalsRowDxfId="288">
      <totalsRowFormula>SUM(Tableau16103167[CREDIT])</totalsRowFormula>
    </tableColumn>
    <tableColumn id="4" xr3:uid="{323E7F2C-E66E-4CF1-8D49-557360240298}" name="CATEGORIE" totalsRowFunction="custom" dataDxfId="287" totalsRowDxfId="286">
      <totalsRowFormula>SUM(Tableau16103167[[#Totals],[DEBIT]:[CREDIT]])</totalsRowFormula>
    </tableColumn>
  </tableColumns>
  <tableStyleInfo name="Style de tableau corail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7" xr:uid="{11604EC0-C64F-45C7-A5A0-5364F5630D3A}" name="Tableau33104168" displayName="Tableau33104168" ref="FW18:FZ20" totalsRowCount="1" headerRowDxfId="285" dataDxfId="284">
  <autoFilter ref="FW18:FZ19" xr:uid="{11604EC0-C64F-45C7-A5A0-5364F5630D3A}">
    <filterColumn colId="0" hiddenButton="1"/>
    <filterColumn colId="1" hiddenButton="1"/>
    <filterColumn colId="2" hiddenButton="1"/>
    <filterColumn colId="3" hiddenButton="1"/>
  </autoFilter>
  <tableColumns count="4">
    <tableColumn id="1" xr3:uid="{6EFD3675-FBD2-4F7E-AF98-05C7D5ECFA8A}" name="ROMAIN OPERATIONS" totalsRowLabel="Total" dataDxfId="283" totalsRowDxfId="282"/>
    <tableColumn id="2" xr3:uid="{CFEE789D-EC1E-4723-8C55-23DB86C0A34E}" name="DEBIT" totalsRowFunction="custom" dataDxfId="281" totalsRowDxfId="280">
      <totalsRowFormula>SUM(Tableau33104168[DEBIT])</totalsRowFormula>
    </tableColumn>
    <tableColumn id="3" xr3:uid="{FDB1CCE7-4062-40F7-9DFA-FBE9CBBD1867}" name="CREDIT" totalsRowFunction="custom" dataDxfId="279" totalsRowDxfId="278">
      <totalsRowFormula>SUM(Tableau33104168[CREDIT])</totalsRowFormula>
    </tableColumn>
    <tableColumn id="4" xr3:uid="{EC28002D-06D5-4992-AE26-172559943899}" name="CATEGORIE" totalsRowFunction="custom" dataDxfId="277" totalsRowDxfId="276">
      <totalsRowFormula>SUM(Tableau33104168[[#Totals],[CREDIT]],Tableau33104168[[#Totals],[DEBIT]])</totalsRowFormula>
    </tableColumn>
  </tableColumns>
  <tableStyleInfo name="Style de tableau corail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8" xr:uid="{CB01F283-0F81-40AE-BA40-9FDFED2CF263}" name="Tableau1105169" displayName="Tableau1105169" ref="GB14:GE16" insertRow="1" totalsRowCount="1" headerRowDxfId="275" dataDxfId="274" totalsRowDxfId="273">
  <autoFilter ref="GB14:GE15" xr:uid="{CB01F283-0F81-40AE-BA40-9FDFED2CF263}">
    <filterColumn colId="0" hiddenButton="1"/>
    <filterColumn colId="1" hiddenButton="1"/>
    <filterColumn colId="2" hiddenButton="1"/>
    <filterColumn colId="3" hiddenButton="1"/>
  </autoFilter>
  <tableColumns count="4">
    <tableColumn id="1" xr3:uid="{3227BA92-F42C-47C1-BFA3-651CE87E4963}" name="HANANE OPERATIONS" totalsRowLabel="Total" dataDxfId="272" totalsRowDxfId="271"/>
    <tableColumn id="2" xr3:uid="{7597A9BA-F567-408B-8A75-FB83CA485044}" name="DEBIT" totalsRowFunction="custom" dataDxfId="270" totalsRowDxfId="269">
      <totalsRowFormula>SUM(Tableau1105169[DEBIT])</totalsRowFormula>
    </tableColumn>
    <tableColumn id="3" xr3:uid="{C319583E-2C43-4A0E-B1C9-8CE7479CB1D1}" name="CREDIT" totalsRowFunction="custom" dataDxfId="268" totalsRowDxfId="267">
      <totalsRowFormula>SUM(Tableau1105169[CREDIT])</totalsRowFormula>
    </tableColumn>
    <tableColumn id="4" xr3:uid="{F0EA81AD-65AA-45C7-A5DC-E0D2B10D737A}" name="CATEGORIE" totalsRowFunction="custom" dataDxfId="266" totalsRowDxfId="265">
      <totalsRowFormula>SUM(Tableau1105169[[#Totals],[DEBIT]:[CREDIT]])</totalsRowFormula>
    </tableColumn>
  </tableColumns>
  <tableStyleInfo name="TableStyleMedium13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9" xr:uid="{DF262D3A-069F-446E-B714-986780E2B37F}" name="Tableau3106170" displayName="Tableau3106170" ref="GB18:GE20" totalsRowCount="1" headerRowDxfId="264" dataDxfId="263">
  <autoFilter ref="GB18:GE19" xr:uid="{DF262D3A-069F-446E-B714-986780E2B37F}">
    <filterColumn colId="0" hiddenButton="1"/>
    <filterColumn colId="1" hiddenButton="1"/>
    <filterColumn colId="2" hiddenButton="1"/>
    <filterColumn colId="3" hiddenButton="1"/>
  </autoFilter>
  <tableColumns count="4">
    <tableColumn id="1" xr3:uid="{1F2300DB-1E71-46E2-942D-E44B3EAFFDCB}" name="ROMAIN OPERATIONS" totalsRowLabel="Total" dataDxfId="262" totalsRowDxfId="261"/>
    <tableColumn id="2" xr3:uid="{95A5A0E8-94CB-4D36-B63B-90F919FB4FC3}" name="DEBIT" totalsRowFunction="custom" dataDxfId="260" totalsRowDxfId="259">
      <totalsRowFormula>SUM(Tableau3106170[DEBIT])</totalsRowFormula>
    </tableColumn>
    <tableColumn id="3" xr3:uid="{59FE31BA-8D61-4073-9829-E6ACFC0351D6}" name="CREDIT" totalsRowFunction="custom" dataDxfId="258" totalsRowDxfId="257">
      <totalsRowFormula>SUM(Tableau3106170[CREDIT])</totalsRowFormula>
    </tableColumn>
    <tableColumn id="4" xr3:uid="{7B84942F-A123-4A9C-8956-E1A061C97A95}" name="CATEGORIE" totalsRowFunction="custom" dataDxfId="256" totalsRowDxfId="255">
      <totalsRowFormula>SUM(Tableau3106170[[#Totals],[CREDIT]],Tableau3106170[[#Totals],[DEBIT]])</totalsRowFormula>
    </tableColumn>
  </tableColumns>
  <tableStyleInfo name="TableStyleMedium13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0" xr:uid="{EB2D5195-9601-4B31-834A-31B8DA3DACBE}" name="Tableau16107171" displayName="Tableau16107171" ref="GG14:GJ16" insertRow="1" totalsRowCount="1" headerRowDxfId="254" dataDxfId="253" totalsRowDxfId="252">
  <autoFilter ref="GG14:GJ15" xr:uid="{EB2D5195-9601-4B31-834A-31B8DA3DACBE}">
    <filterColumn colId="0" hiddenButton="1"/>
    <filterColumn colId="1" hiddenButton="1"/>
    <filterColumn colId="2" hiddenButton="1"/>
    <filterColumn colId="3" hiddenButton="1"/>
  </autoFilter>
  <tableColumns count="4">
    <tableColumn id="1" xr3:uid="{3E2F9766-343E-46F6-9949-3A2ABBE1FBBB}" name="HANANE OPERATIONS" totalsRowLabel="Total" dataDxfId="251" totalsRowDxfId="250"/>
    <tableColumn id="2" xr3:uid="{658CA7BA-1304-45BB-9791-5D0FED11BF61}" name="DEBIT" totalsRowFunction="custom" dataDxfId="249" totalsRowDxfId="248">
      <totalsRowFormula>SUM(Tableau16107171[DEBIT])</totalsRowFormula>
    </tableColumn>
    <tableColumn id="3" xr3:uid="{8DB5183B-2EE7-412A-BD94-6A8734E08CE5}" name="CREDIT" totalsRowFunction="custom" dataDxfId="247" totalsRowDxfId="246">
      <totalsRowFormula>SUM(Tableau16107171[CREDIT])</totalsRowFormula>
    </tableColumn>
    <tableColumn id="4" xr3:uid="{7580B521-166D-4D6F-A44B-69B42B5512DD}" name="CATEGORIE" totalsRowFunction="custom" dataDxfId="245" totalsRowDxfId="244">
      <totalsRowFormula>SUM(Tableau16107171[[#Totals],[DEBIT]:[CREDIT]])</totalsRowFormula>
    </tableColumn>
  </tableColumns>
  <tableStyleInfo name="Style de tableau corail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1" xr:uid="{2EB28B8B-8F5F-4547-A49A-C68DE1496207}" name="Tableau33108172" displayName="Tableau33108172" ref="GG18:GJ20" totalsRowCount="1" headerRowDxfId="243" dataDxfId="242">
  <autoFilter ref="GG18:GJ19" xr:uid="{2EB28B8B-8F5F-4547-A49A-C68DE1496207}">
    <filterColumn colId="0" hiddenButton="1"/>
    <filterColumn colId="1" hiddenButton="1"/>
    <filterColumn colId="2" hiddenButton="1"/>
    <filterColumn colId="3" hiddenButton="1"/>
  </autoFilter>
  <tableColumns count="4">
    <tableColumn id="1" xr3:uid="{1F54B6DB-752E-4AFB-AF4B-9EAFC406EF39}" name="ROMAIN OPERATIONS" totalsRowLabel="Total" dataDxfId="241" totalsRowDxfId="240"/>
    <tableColumn id="2" xr3:uid="{723C52C3-7055-4132-AF63-A87AA29081D2}" name="DEBIT" totalsRowFunction="custom" dataDxfId="239" totalsRowDxfId="238">
      <totalsRowFormula>SUM(Tableau33108172[DEBIT])</totalsRowFormula>
    </tableColumn>
    <tableColumn id="3" xr3:uid="{52B56D5C-46D5-4593-A318-634ED35B46E4}" name="CREDIT" totalsRowFunction="custom" dataDxfId="237" totalsRowDxfId="236">
      <totalsRowFormula>SUM(Tableau33108172[CREDIT])</totalsRowFormula>
    </tableColumn>
    <tableColumn id="4" xr3:uid="{39799A6F-2C58-4447-9271-BFFD460F3AC3}" name="CATEGORIE" totalsRowFunction="custom" dataDxfId="235" totalsRowDxfId="234">
      <totalsRowFormula>SUM(Tableau33108172[[#Totals],[CREDIT]],Tableau33108172[[#Totals],[DEBIT]])</totalsRowFormula>
    </tableColumn>
  </tableColumns>
  <tableStyleInfo name="Style de tableau corail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2" xr:uid="{B47A399B-E02D-4D69-B7DB-E67DFDFC976C}" name="Tableau1100109173" displayName="Tableau1100109173" ref="GL14:GO16" insertRow="1" totalsRowCount="1" headerRowDxfId="233" dataDxfId="232" totalsRowDxfId="231">
  <autoFilter ref="GL14:GO15" xr:uid="{B47A399B-E02D-4D69-B7DB-E67DFDFC976C}">
    <filterColumn colId="0" hiddenButton="1"/>
    <filterColumn colId="1" hiddenButton="1"/>
    <filterColumn colId="2" hiddenButton="1"/>
    <filterColumn colId="3" hiddenButton="1"/>
  </autoFilter>
  <tableColumns count="4">
    <tableColumn id="1" xr3:uid="{80892FE5-D303-4C24-A905-C587C5F61E96}" name="HANANE OPERATIONS" totalsRowLabel="Total" dataDxfId="230" totalsRowDxfId="229"/>
    <tableColumn id="2" xr3:uid="{C0902652-D46D-4BCA-9C0C-0B91131F4D30}" name="DEBIT" totalsRowFunction="custom" dataDxfId="228" totalsRowDxfId="227">
      <totalsRowFormula>SUM(Tableau1100109173[DEBIT])</totalsRowFormula>
    </tableColumn>
    <tableColumn id="3" xr3:uid="{E750492D-11DD-499F-95E0-F6C182C77990}" name="CREDIT" totalsRowFunction="custom" dataDxfId="226" totalsRowDxfId="225">
      <totalsRowFormula>SUM(Tableau1100109173[CREDIT])</totalsRowFormula>
    </tableColumn>
    <tableColumn id="4" xr3:uid="{F1F0EBAB-FE51-48F5-8B58-60C7924B4A3F}" name="CATEGORIE" totalsRowFunction="custom" dataDxfId="224" totalsRowDxfId="223">
      <totalsRowFormula>SUM(Tableau1100109173[[#Totals],[DEBIT]:[CREDIT]])</totalsRowFormula>
    </tableColumn>
  </tableColumns>
  <tableStyleInfo name="TableStyleMedium13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3" xr:uid="{79D1F9CB-EFDF-45A9-B00C-77B32E688AA3}" name="Tableau3102110174" displayName="Tableau3102110174" ref="GL18:GO20" totalsRowCount="1" headerRowDxfId="222" dataDxfId="221">
  <autoFilter ref="GL18:GO19" xr:uid="{79D1F9CB-EFDF-45A9-B00C-77B32E688AA3}">
    <filterColumn colId="0" hiddenButton="1"/>
    <filterColumn colId="1" hiddenButton="1"/>
    <filterColumn colId="2" hiddenButton="1"/>
    <filterColumn colId="3" hiddenButton="1"/>
  </autoFilter>
  <tableColumns count="4">
    <tableColumn id="1" xr3:uid="{9D2CF115-78FA-49FB-9A47-694F40B7CDEB}" name="ROMAIN OPERATIONS" totalsRowLabel="Total" dataDxfId="220" totalsRowDxfId="219"/>
    <tableColumn id="2" xr3:uid="{B1926DA7-EFFC-4BF1-B805-C8493C954E8F}" name="DEBIT" totalsRowFunction="custom" dataDxfId="218" totalsRowDxfId="217">
      <totalsRowFormula>SUM(Tableau3102110174[DEBIT])</totalsRowFormula>
    </tableColumn>
    <tableColumn id="3" xr3:uid="{C6B90520-3EAF-4D83-9B23-41170CFEBB04}" name="CREDIT" totalsRowFunction="custom" dataDxfId="216" totalsRowDxfId="215">
      <totalsRowFormula>SUM(Tableau3102110174[CREDIT])</totalsRowFormula>
    </tableColumn>
    <tableColumn id="4" xr3:uid="{A89604F2-CECE-4AAB-BD7D-A77C5CC3C58C}" name="CATEGORIE" totalsRowFunction="custom" dataDxfId="214" totalsRowDxfId="213">
      <totalsRowFormula>SUM(Tableau3102110174[[#Totals],[CREDIT]],Tableau3102110174[[#Totals],[DEBIT]])</totalsRowFormula>
    </tableColumn>
  </tableColumns>
  <tableStyleInfo name="TableStyleMedium13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4" xr:uid="{9990DECA-CE1F-4FCE-800F-9EB015DE9763}" name="Tableau16103111175" displayName="Tableau16103111175" ref="GQ14:GT16" insertRow="1" totalsRowCount="1" headerRowDxfId="212" dataDxfId="211" totalsRowDxfId="210">
  <autoFilter ref="GQ14:GT15" xr:uid="{9990DECA-CE1F-4FCE-800F-9EB015DE9763}">
    <filterColumn colId="0" hiddenButton="1"/>
    <filterColumn colId="1" hiddenButton="1"/>
    <filterColumn colId="2" hiddenButton="1"/>
    <filterColumn colId="3" hiddenButton="1"/>
  </autoFilter>
  <tableColumns count="4">
    <tableColumn id="1" xr3:uid="{55EE66D6-7556-48CA-A889-368E03EB6342}" name="HANANE OPERATIONS" totalsRowLabel="Total" dataDxfId="209" totalsRowDxfId="208"/>
    <tableColumn id="2" xr3:uid="{AEA9DD36-A849-4CFF-9E3F-866983EB2339}" name="DEBIT" totalsRowFunction="custom" dataDxfId="207" totalsRowDxfId="206">
      <totalsRowFormula>SUM(Tableau16103111175[DEBIT])</totalsRowFormula>
    </tableColumn>
    <tableColumn id="3" xr3:uid="{F7175142-941B-4D15-898B-C35AF8C489A1}" name="CREDIT" totalsRowFunction="custom" dataDxfId="205" totalsRowDxfId="204">
      <totalsRowFormula>SUM(Tableau16103111175[CREDIT])</totalsRowFormula>
    </tableColumn>
    <tableColumn id="4" xr3:uid="{1F26AACA-BD43-4812-9159-40CD04717449}" name="CATEGORIE" totalsRowFunction="custom" dataDxfId="203" totalsRowDxfId="202">
      <totalsRowFormula>SUM(Tableau16103111175[[#Totals],[DEBIT]:[CREDIT]])</totalsRowFormula>
    </tableColumn>
  </tableColumns>
  <tableStyleInfo name="Style de tableau corail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5" xr:uid="{15576F03-0938-4806-A9EF-4C249BAD22F3}" name="Tableau33104112176" displayName="Tableau33104112176" ref="GQ18:GT20" totalsRowCount="1" headerRowDxfId="201" dataDxfId="200">
  <autoFilter ref="GQ18:GT19" xr:uid="{15576F03-0938-4806-A9EF-4C249BAD22F3}">
    <filterColumn colId="0" hiddenButton="1"/>
    <filterColumn colId="1" hiddenButton="1"/>
    <filterColumn colId="2" hiddenButton="1"/>
    <filterColumn colId="3" hiddenButton="1"/>
  </autoFilter>
  <tableColumns count="4">
    <tableColumn id="1" xr3:uid="{51B7A162-0E7F-47DB-9EA5-91004472A083}" name="ROMAIN OPERATIONS" totalsRowLabel="Total" dataDxfId="199" totalsRowDxfId="198"/>
    <tableColumn id="2" xr3:uid="{B85A1B19-3214-4831-BD86-FBDAB0FC7C31}" name="DEBIT" totalsRowFunction="custom" dataDxfId="197" totalsRowDxfId="196">
      <totalsRowFormula>SUM(Tableau33104112176[DEBIT])</totalsRowFormula>
    </tableColumn>
    <tableColumn id="3" xr3:uid="{D69CD0D3-423B-41A2-B80C-5A8935D72059}" name="CREDIT" totalsRowFunction="custom" dataDxfId="195" totalsRowDxfId="194">
      <totalsRowFormula>SUM(Tableau33104112176[CREDIT])</totalsRowFormula>
    </tableColumn>
    <tableColumn id="4" xr3:uid="{BF08DA6B-1135-4C05-B09A-3E9060AC9431}" name="CATEGORIE" totalsRowFunction="custom" dataDxfId="193" totalsRowDxfId="192">
      <totalsRowFormula>SUM(Tableau33104112176[[#Totals],[CREDIT]],Tableau33104112176[[#Totals],[DEBIT]])</totalsRowFormula>
    </tableColumn>
  </tableColumns>
  <tableStyleInfo name="Style de tableau corail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6" xr:uid="{C710D62E-AD2B-4F79-B3DE-F4956282B4AB}" name="Tableau1177" displayName="Tableau1177" ref="GV14:GY16" insertRow="1" totalsRowCount="1" headerRowDxfId="191" dataDxfId="190" totalsRowDxfId="189">
  <autoFilter ref="GV14:GY15" xr:uid="{C710D62E-AD2B-4F79-B3DE-F4956282B4AB}">
    <filterColumn colId="0" hiddenButton="1"/>
    <filterColumn colId="1" hiddenButton="1"/>
    <filterColumn colId="2" hiddenButton="1"/>
    <filterColumn colId="3" hiddenButton="1"/>
  </autoFilter>
  <tableColumns count="4">
    <tableColumn id="1" xr3:uid="{1A618EB0-EF39-4FFE-80A5-C17572EE1C7B}" name="HANANE OPERATIONS" totalsRowLabel="Total" dataDxfId="188" totalsRowDxfId="187"/>
    <tableColumn id="2" xr3:uid="{D44143B8-B0EC-4296-A9E0-CFBD2CD32537}" name="DEBIT" totalsRowFunction="custom" dataDxfId="186" totalsRowDxfId="185">
      <totalsRowFormula>SUM(Tableau1177[DEBIT])</totalsRowFormula>
    </tableColumn>
    <tableColumn id="3" xr3:uid="{F7564DD7-CA61-42A6-8178-9385429A5A78}" name="CREDIT" totalsRowFunction="custom" dataDxfId="184" totalsRowDxfId="183">
      <totalsRowFormula>SUM(Tableau1177[CREDIT])</totalsRowFormula>
    </tableColumn>
    <tableColumn id="4" xr3:uid="{D525F2B5-FF87-4A8B-8AC8-B728B406F08F}" name="CATEGORIE" totalsRowFunction="custom" dataDxfId="182" totalsRowDxfId="181">
      <totalsRowFormula>SUM(Tableau1177[[#Totals],[DEBIT]:[CREDIT]])</totalsRowFormula>
    </tableColumn>
  </tableColumns>
  <tableStyleInfo name="TableStyleMedium13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7" xr:uid="{6D6A3433-EFF5-46B2-81E6-038C2E968C08}" name="Tableau3178" displayName="Tableau3178" ref="GV18:GY20" totalsRowCount="1" headerRowDxfId="180" dataDxfId="179">
  <autoFilter ref="GV18:GY19" xr:uid="{6D6A3433-EFF5-46B2-81E6-038C2E968C08}">
    <filterColumn colId="0" hiddenButton="1"/>
    <filterColumn colId="1" hiddenButton="1"/>
    <filterColumn colId="2" hiddenButton="1"/>
    <filterColumn colId="3" hiddenButton="1"/>
  </autoFilter>
  <tableColumns count="4">
    <tableColumn id="1" xr3:uid="{2A186363-BC1A-4A31-B0E3-E35BF456A38D}" name="ROMAIN OPERATIONS" totalsRowLabel="Total" dataDxfId="178" totalsRowDxfId="177"/>
    <tableColumn id="2" xr3:uid="{573B370F-B19A-453B-B6AF-A8A5BF8FBBCD}" name="DEBIT" totalsRowFunction="custom" dataDxfId="176" totalsRowDxfId="175">
      <totalsRowFormula>SUM(Tableau3178[DEBIT])</totalsRowFormula>
    </tableColumn>
    <tableColumn id="3" xr3:uid="{CADB4BF2-ACEC-43EF-BB4B-DB9EBF6873E8}" name="CREDIT" totalsRowFunction="custom" dataDxfId="174" totalsRowDxfId="173">
      <totalsRowFormula>SUM(Tableau3178[CREDIT])</totalsRowFormula>
    </tableColumn>
    <tableColumn id="4" xr3:uid="{96307DD3-D140-4AB4-9B1F-0F5707AA3C26}" name="CATEGORIE" totalsRowFunction="custom" dataDxfId="172" totalsRowDxfId="171">
      <totalsRowFormula>SUM(Tableau3178[[#Totals],[CREDIT]],Tableau3178[[#Totals],[DEBIT]])</totalsRowFormula>
    </tableColumn>
  </tableColumns>
  <tableStyleInfo name="TableStyleMedium13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8" xr:uid="{0116B86B-19E6-4DA8-B7EA-36067D14ACAB}" name="Tableau16179" displayName="Tableau16179" ref="HA14:HD16" insertRow="1" totalsRowCount="1" headerRowDxfId="170" dataDxfId="169" totalsRowDxfId="168">
  <autoFilter ref="HA14:HD15" xr:uid="{0116B86B-19E6-4DA8-B7EA-36067D14ACAB}">
    <filterColumn colId="0" hiddenButton="1"/>
    <filterColumn colId="1" hiddenButton="1"/>
    <filterColumn colId="2" hiddenButton="1"/>
    <filterColumn colId="3" hiddenButton="1"/>
  </autoFilter>
  <tableColumns count="4">
    <tableColumn id="1" xr3:uid="{08E03D89-5504-4C1C-AB09-DFD525B73E20}" name="HANANE OPERATIONS" totalsRowLabel="Total" dataDxfId="167" totalsRowDxfId="166"/>
    <tableColumn id="2" xr3:uid="{A80B4E33-DB27-45DC-8061-7319BD839809}" name="DEBIT" totalsRowFunction="custom" dataDxfId="165" totalsRowDxfId="164">
      <totalsRowFormula>SUM(Tableau16179[DEBIT])</totalsRowFormula>
    </tableColumn>
    <tableColumn id="3" xr3:uid="{48FEE435-F7E5-45D8-87C7-E7EAF8A193DA}" name="CREDIT" totalsRowFunction="custom" dataDxfId="163" totalsRowDxfId="162">
      <totalsRowFormula>SUM(Tableau16179[CREDIT])</totalsRowFormula>
    </tableColumn>
    <tableColumn id="4" xr3:uid="{6D28995D-EC63-4C3C-AB71-F2BF94E4459F}" name="CATEGORIE" totalsRowFunction="custom" dataDxfId="161" totalsRowDxfId="160">
      <totalsRowFormula>SUM(Tableau16179[[#Totals],[DEBIT]:[CREDIT]])</totalsRowFormula>
    </tableColumn>
  </tableColumns>
  <tableStyleInfo name="Style de tableau corail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9" xr:uid="{D2BAB95D-0479-47F9-A664-369AF683E93E}" name="Tableau33180" displayName="Tableau33180" ref="HA18:HD20" totalsRowCount="1" headerRowDxfId="159" dataDxfId="158">
  <autoFilter ref="HA18:HD19" xr:uid="{D2BAB95D-0479-47F9-A664-369AF683E93E}">
    <filterColumn colId="0" hiddenButton="1"/>
    <filterColumn colId="1" hiddenButton="1"/>
    <filterColumn colId="2" hiddenButton="1"/>
    <filterColumn colId="3" hiddenButton="1"/>
  </autoFilter>
  <tableColumns count="4">
    <tableColumn id="1" xr3:uid="{9C65B2E6-16B2-4E78-B737-49900E0517D0}" name="ROMAIN OPERATIONS" totalsRowLabel="Total" dataDxfId="157" totalsRowDxfId="156"/>
    <tableColumn id="2" xr3:uid="{3F57B3F6-7449-42CC-B666-12DA69E9D37E}" name="DEBIT" totalsRowFunction="custom" dataDxfId="155" totalsRowDxfId="154">
      <totalsRowFormula>SUM(Tableau33180[DEBIT])</totalsRowFormula>
    </tableColumn>
    <tableColumn id="3" xr3:uid="{BA830AEF-AC57-434E-8D9A-573CC73BCFAE}" name="CREDIT" totalsRowFunction="custom" dataDxfId="153" totalsRowDxfId="152">
      <totalsRowFormula>SUM(Tableau33180[CREDIT])</totalsRowFormula>
    </tableColumn>
    <tableColumn id="4" xr3:uid="{75296C3A-765F-48D8-8CE4-EC7C566B77D8}" name="CATEGORIE" totalsRowFunction="custom" dataDxfId="151" totalsRowDxfId="150">
      <totalsRowFormula>SUM(Tableau33180[[#Totals],[CREDIT]],Tableau33180[[#Totals],[DEBIT]])</totalsRowFormula>
    </tableColumn>
  </tableColumns>
  <tableStyleInfo name="Style de tableau corail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0" xr:uid="{1C4547AD-5A53-48D4-9C53-99ACAE132F3E}" name="Tableau1100181" displayName="Tableau1100181" ref="HF14:HI16" insertRow="1" totalsRowCount="1" headerRowDxfId="149" dataDxfId="148" totalsRowDxfId="147">
  <autoFilter ref="HF14:HI15" xr:uid="{1C4547AD-5A53-48D4-9C53-99ACAE132F3E}">
    <filterColumn colId="0" hiddenButton="1"/>
    <filterColumn colId="1" hiddenButton="1"/>
    <filterColumn colId="2" hiddenButton="1"/>
    <filterColumn colId="3" hiddenButton="1"/>
  </autoFilter>
  <tableColumns count="4">
    <tableColumn id="1" xr3:uid="{ECA454A6-F3B9-4CE6-8739-41C608C61D1D}" name="HANANE OPERATIONS" totalsRowLabel="Total" dataDxfId="146" totalsRowDxfId="145"/>
    <tableColumn id="2" xr3:uid="{1952EAD7-5082-4C56-A605-3C13732235BA}" name="DEBIT" totalsRowFunction="custom" dataDxfId="144" totalsRowDxfId="143">
      <totalsRowFormula>SUM(Tableau1100181[DEBIT])</totalsRowFormula>
    </tableColumn>
    <tableColumn id="3" xr3:uid="{DB235A1E-D2BE-4749-9819-D16EFBC61E4D}" name="CREDIT" totalsRowFunction="custom" dataDxfId="142" totalsRowDxfId="141">
      <totalsRowFormula>SUM(Tableau1100181[CREDIT])</totalsRowFormula>
    </tableColumn>
    <tableColumn id="4" xr3:uid="{4D72C6F9-F39D-4BA7-8B2C-989383CB6000}" name="CATEGORIE" totalsRowFunction="custom" dataDxfId="140" totalsRowDxfId="139">
      <totalsRowFormula>SUM(Tableau1100181[[#Totals],[DEBIT]:[CREDIT]])</totalsRowFormula>
    </tableColumn>
  </tableColumns>
  <tableStyleInfo name="TableStyleMedium13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1" xr:uid="{DEFA50FF-4BA1-4137-B331-7D21E577E76A}" name="Tableau3102182" displayName="Tableau3102182" ref="HF18:HI20" totalsRowCount="1" headerRowDxfId="138" dataDxfId="137">
  <autoFilter ref="HF18:HI19" xr:uid="{DEFA50FF-4BA1-4137-B331-7D21E577E76A}">
    <filterColumn colId="0" hiddenButton="1"/>
    <filterColumn colId="1" hiddenButton="1"/>
    <filterColumn colId="2" hiddenButton="1"/>
    <filterColumn colId="3" hiddenButton="1"/>
  </autoFilter>
  <tableColumns count="4">
    <tableColumn id="1" xr3:uid="{DD378EAE-775A-44F8-AA41-9B737CFDB679}" name="ROMAIN OPERATIONS" totalsRowLabel="Total" dataDxfId="136" totalsRowDxfId="135"/>
    <tableColumn id="2" xr3:uid="{6F174972-9E23-4139-AFCF-56C877B0B6EF}" name="DEBIT" totalsRowFunction="custom" dataDxfId="134" totalsRowDxfId="133">
      <totalsRowFormula>SUM(Tableau3102182[DEBIT])</totalsRowFormula>
    </tableColumn>
    <tableColumn id="3" xr3:uid="{F6DBA7C3-C78B-4443-9D30-AD8B96DE7C22}" name="CREDIT" totalsRowFunction="custom" dataDxfId="132" totalsRowDxfId="131">
      <totalsRowFormula>SUM(Tableau3102182[CREDIT])</totalsRowFormula>
    </tableColumn>
    <tableColumn id="4" xr3:uid="{0CBC0B3D-400C-4798-83FA-9CB5D057FC32}" name="CATEGORIE" totalsRowFunction="custom" dataDxfId="130" totalsRowDxfId="129">
      <totalsRowFormula>SUM(Tableau3102182[[#Totals],[CREDIT]],Tableau3102182[[#Totals],[DEBIT]])</totalsRowFormula>
    </tableColumn>
  </tableColumns>
  <tableStyleInfo name="TableStyleMedium13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2" xr:uid="{C30061AA-E712-49CD-B45F-FB744F791799}" name="Tableau16103183" displayName="Tableau16103183" ref="HK14:HN16" insertRow="1" totalsRowCount="1" headerRowDxfId="128" dataDxfId="127" totalsRowDxfId="126">
  <autoFilter ref="HK14:HN15" xr:uid="{C30061AA-E712-49CD-B45F-FB744F791799}">
    <filterColumn colId="0" hiddenButton="1"/>
    <filterColumn colId="1" hiddenButton="1"/>
    <filterColumn colId="2" hiddenButton="1"/>
    <filterColumn colId="3" hiddenButton="1"/>
  </autoFilter>
  <tableColumns count="4">
    <tableColumn id="1" xr3:uid="{CA354D77-F149-4B9C-8E36-A5C538C4CE99}" name="HANANE OPERATIONS" totalsRowLabel="Total" dataDxfId="125" totalsRowDxfId="124"/>
    <tableColumn id="2" xr3:uid="{73BBE853-2C56-4B6F-9254-C74D21B0EC68}" name="DEBIT" totalsRowFunction="custom" dataDxfId="123" totalsRowDxfId="122">
      <totalsRowFormula>SUM(Tableau16103183[DEBIT])</totalsRowFormula>
    </tableColumn>
    <tableColumn id="3" xr3:uid="{178036FF-095F-4E85-B5A9-B3D2D7D51D40}" name="CREDIT" totalsRowFunction="custom" dataDxfId="121" totalsRowDxfId="120">
      <totalsRowFormula>SUM(Tableau16103183[CREDIT])</totalsRowFormula>
    </tableColumn>
    <tableColumn id="4" xr3:uid="{71A1CE50-2414-405C-A093-7CFC7E869216}" name="CATEGORIE" totalsRowFunction="custom" dataDxfId="119" totalsRowDxfId="118">
      <totalsRowFormula>SUM(Tableau16103183[[#Totals],[DEBIT]:[CREDIT]])</totalsRowFormula>
    </tableColumn>
  </tableColumns>
  <tableStyleInfo name="Style de tableau corail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3" xr:uid="{A4DA4C62-CCB3-4587-9934-2A2B21015F40}" name="Tableau33104184" displayName="Tableau33104184" ref="HK18:HN20" totalsRowCount="1" headerRowDxfId="117" dataDxfId="116">
  <autoFilter ref="HK18:HN19" xr:uid="{A4DA4C62-CCB3-4587-9934-2A2B21015F40}">
    <filterColumn colId="0" hiddenButton="1"/>
    <filterColumn colId="1" hiddenButton="1"/>
    <filterColumn colId="2" hiddenButton="1"/>
    <filterColumn colId="3" hiddenButton="1"/>
  </autoFilter>
  <tableColumns count="4">
    <tableColumn id="1" xr3:uid="{469F2859-19DD-4C0F-94B5-AB817364C8DA}" name="ROMAIN OPERATIONS" totalsRowLabel="Total" dataDxfId="115" totalsRowDxfId="114"/>
    <tableColumn id="2" xr3:uid="{4BFE58A6-C527-48F3-BF65-6132312E7952}" name="DEBIT" totalsRowFunction="custom" dataDxfId="113" totalsRowDxfId="112">
      <totalsRowFormula>SUM(Tableau33104184[DEBIT])</totalsRowFormula>
    </tableColumn>
    <tableColumn id="3" xr3:uid="{2BD6E401-AEAF-4890-B81A-26A64060D013}" name="CREDIT" totalsRowFunction="custom" dataDxfId="111" totalsRowDxfId="110">
      <totalsRowFormula>SUM(Tableau33104184[CREDIT])</totalsRowFormula>
    </tableColumn>
    <tableColumn id="4" xr3:uid="{DECC453F-E374-42BB-9121-44260CF807A8}" name="CATEGORIE" totalsRowFunction="custom" dataDxfId="109" totalsRowDxfId="108">
      <totalsRowFormula>SUM(Tableau33104184[[#Totals],[CREDIT]],Tableau33104184[[#Totals],[DEBIT]])</totalsRowFormula>
    </tableColumn>
  </tableColumns>
  <tableStyleInfo name="Style de tableau corail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4" xr:uid="{3D71724E-512A-4D0D-9A52-35838299E1CF}" name="Tableau1105185" displayName="Tableau1105185" ref="HP14:HS16" insertRow="1" totalsRowCount="1" headerRowDxfId="107" dataDxfId="106" totalsRowDxfId="105">
  <autoFilter ref="HP14:HS15" xr:uid="{3D71724E-512A-4D0D-9A52-35838299E1CF}">
    <filterColumn colId="0" hiddenButton="1"/>
    <filterColumn colId="1" hiddenButton="1"/>
    <filterColumn colId="2" hiddenButton="1"/>
    <filterColumn colId="3" hiddenButton="1"/>
  </autoFilter>
  <tableColumns count="4">
    <tableColumn id="1" xr3:uid="{88515738-17E2-4BE1-8B6C-606288248CBF}" name="HANANE OPERATIONS" totalsRowLabel="Total" dataDxfId="104" totalsRowDxfId="103"/>
    <tableColumn id="2" xr3:uid="{AE771028-622F-4C7A-AB77-633644467272}" name="DEBIT" totalsRowFunction="custom" dataDxfId="102" totalsRowDxfId="101">
      <totalsRowFormula>SUM(Tableau1105185[DEBIT])</totalsRowFormula>
    </tableColumn>
    <tableColumn id="3" xr3:uid="{4ABD3575-20E7-4864-A402-4BA514A00193}" name="CREDIT" totalsRowFunction="custom" dataDxfId="100" totalsRowDxfId="99">
      <totalsRowFormula>SUM(Tableau1105185[CREDIT])</totalsRowFormula>
    </tableColumn>
    <tableColumn id="4" xr3:uid="{CE24D2E7-68CF-43D8-A634-A9D9C0546CCF}" name="CATEGORIE" totalsRowFunction="custom" dataDxfId="98" totalsRowDxfId="97">
      <totalsRowFormula>SUM(Tableau1105185[[#Totals],[DEBIT]:[CREDIT]])</totalsRowFormula>
    </tableColumn>
  </tableColumns>
  <tableStyleInfo name="TableStyleMedium13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5" xr:uid="{04D81D32-54C0-448B-AD8C-49904A3D0FF2}" name="Tableau3106186" displayName="Tableau3106186" ref="HP18:HS20" totalsRowCount="1" headerRowDxfId="96" dataDxfId="95">
  <autoFilter ref="HP18:HS19" xr:uid="{04D81D32-54C0-448B-AD8C-49904A3D0FF2}">
    <filterColumn colId="0" hiddenButton="1"/>
    <filterColumn colId="1" hiddenButton="1"/>
    <filterColumn colId="2" hiddenButton="1"/>
    <filterColumn colId="3" hiddenButton="1"/>
  </autoFilter>
  <tableColumns count="4">
    <tableColumn id="1" xr3:uid="{25EED117-ACCC-4BD8-9D85-8BE0955BF97C}" name="ROMAIN OPERATIONS" totalsRowLabel="Total" dataDxfId="94" totalsRowDxfId="93"/>
    <tableColumn id="2" xr3:uid="{3A58E70A-D0DE-40B2-A6E3-9BB7C91F4AE5}" name="DEBIT" totalsRowFunction="custom" dataDxfId="92" totalsRowDxfId="91">
      <totalsRowFormula>SUM(Tableau3106186[DEBIT])</totalsRowFormula>
    </tableColumn>
    <tableColumn id="3" xr3:uid="{AAF7629F-CC0E-45A1-A798-D8C2EEC89514}" name="CREDIT" totalsRowFunction="custom" dataDxfId="90" totalsRowDxfId="89">
      <totalsRowFormula>SUM(Tableau3106186[CREDIT])</totalsRowFormula>
    </tableColumn>
    <tableColumn id="4" xr3:uid="{8D7E4658-81B8-4F60-BE72-A6DAA6A5D4DA}" name="CATEGORIE" totalsRowFunction="custom" dataDxfId="88" totalsRowDxfId="87">
      <totalsRowFormula>SUM(Tableau3106186[[#Totals],[CREDIT]],Tableau3106186[[#Totals],[DEBIT]])</totalsRowFormula>
    </tableColumn>
  </tableColumns>
  <tableStyleInfo name="TableStyleMedium13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6" xr:uid="{0BCD9AC8-9AD9-4F2A-A161-AB803F01A4F3}" name="Tableau16107187" displayName="Tableau16107187" ref="HU14:HX16" totalsRowCount="1" headerRowDxfId="86" dataDxfId="85" totalsRowDxfId="84">
  <autoFilter ref="HU14:HX15" xr:uid="{0BCD9AC8-9AD9-4F2A-A161-AB803F01A4F3}">
    <filterColumn colId="0" hiddenButton="1"/>
    <filterColumn colId="1" hiddenButton="1"/>
    <filterColumn colId="2" hiddenButton="1"/>
    <filterColumn colId="3" hiddenButton="1"/>
  </autoFilter>
  <tableColumns count="4">
    <tableColumn id="1" xr3:uid="{C065DBDF-92B6-4703-A404-3C2281D525A1}" name="HANANE OPERATIONS" totalsRowLabel="Total" dataDxfId="83" totalsRowDxfId="82"/>
    <tableColumn id="2" xr3:uid="{8A4E1F3C-9B54-4CC2-85ED-3C7A71830E43}" name="DEBIT" totalsRowFunction="custom" dataDxfId="81" totalsRowDxfId="80">
      <totalsRowFormula>SUM(Tableau16107187[DEBIT])</totalsRowFormula>
    </tableColumn>
    <tableColumn id="3" xr3:uid="{F568F744-F15D-4545-BDF6-AF4942B3B2DC}" name="CREDIT" totalsRowFunction="custom" dataDxfId="79" totalsRowDxfId="78">
      <totalsRowFormula>SUM(Tableau16107187[CREDIT])</totalsRowFormula>
    </tableColumn>
    <tableColumn id="4" xr3:uid="{AAD466EC-73A4-4306-B5BF-24C9DEF917A1}" name="CATEGORIE" totalsRowFunction="custom" dataDxfId="77" totalsRowDxfId="76">
      <totalsRowFormula>SUM(Tableau16107187[[#Totals],[DEBIT]:[CREDIT]])</totalsRowFormula>
    </tableColumn>
  </tableColumns>
  <tableStyleInfo name="Style de tableau corail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7" xr:uid="{29AF024B-BFFA-4739-A163-3D10DE46EDE9}" name="Tableau33108188" displayName="Tableau33108188" ref="HU18:HX20" totalsRowCount="1" headerRowDxfId="75" dataDxfId="74">
  <autoFilter ref="HU18:HX19" xr:uid="{29AF024B-BFFA-4739-A163-3D10DE46EDE9}">
    <filterColumn colId="0" hiddenButton="1"/>
    <filterColumn colId="1" hiddenButton="1"/>
    <filterColumn colId="2" hiddenButton="1"/>
    <filterColumn colId="3" hiddenButton="1"/>
  </autoFilter>
  <tableColumns count="4">
    <tableColumn id="1" xr3:uid="{94CAC8F1-1E55-4F01-8BB5-9BCA02722E93}" name="ROMAIN OPERATIONS" totalsRowLabel="Total" dataDxfId="73" totalsRowDxfId="72"/>
    <tableColumn id="2" xr3:uid="{84254043-A161-4B97-B90E-3EC640A74E38}" name="DEBIT" totalsRowFunction="custom" dataDxfId="71" totalsRowDxfId="70">
      <totalsRowFormula>SUM(Tableau33108188[DEBIT])</totalsRowFormula>
    </tableColumn>
    <tableColumn id="3" xr3:uid="{6CDC0032-2D9F-4415-A9AC-5A8A513099E6}" name="CREDIT" totalsRowFunction="custom" dataDxfId="69" totalsRowDxfId="68">
      <totalsRowFormula>SUM(Tableau33108188[CREDIT])</totalsRowFormula>
    </tableColumn>
    <tableColumn id="4" xr3:uid="{0EBD54D3-F350-4960-BC00-064BA6562A70}" name="CATEGORIE" totalsRowFunction="custom" dataDxfId="67" totalsRowDxfId="66">
      <totalsRowFormula>SUM(Tableau33108188[[#Totals],[CREDIT]],Tableau33108188[[#Totals],[DEBIT]])</totalsRowFormula>
    </tableColumn>
  </tableColumns>
  <tableStyleInfo name="Style de tableau corail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8" xr:uid="{2D663117-4F94-4B1E-BF0D-8B22228A9F81}" name="Tableau1100109189" displayName="Tableau1100109189" ref="HZ14:IC16" totalsRowCount="1" headerRowDxfId="65" dataDxfId="64" totalsRowDxfId="63">
  <autoFilter ref="HZ14:IC15" xr:uid="{2D663117-4F94-4B1E-BF0D-8B22228A9F81}">
    <filterColumn colId="0" hiddenButton="1"/>
    <filterColumn colId="1" hiddenButton="1"/>
    <filterColumn colId="2" hiddenButton="1"/>
    <filterColumn colId="3" hiddenButton="1"/>
  </autoFilter>
  <tableColumns count="4">
    <tableColumn id="1" xr3:uid="{242443B2-13C6-4D49-8D4F-E2E1CD3E7649}" name="HANANE OPERATIONS" totalsRowLabel="Total" dataDxfId="62" totalsRowDxfId="61"/>
    <tableColumn id="2" xr3:uid="{C6486ED1-0028-491D-8C57-0EA5FA3F0A68}" name="DEBIT" totalsRowFunction="custom" dataDxfId="60" totalsRowDxfId="59">
      <totalsRowFormula>SUM(Tableau1100109189[DEBIT])</totalsRowFormula>
    </tableColumn>
    <tableColumn id="3" xr3:uid="{6AD23BDF-BDD3-45E2-AC1B-C4265D444C15}" name="CREDIT" totalsRowFunction="custom" dataDxfId="58" totalsRowDxfId="57">
      <totalsRowFormula>SUM(Tableau1100109189[CREDIT])</totalsRowFormula>
    </tableColumn>
    <tableColumn id="4" xr3:uid="{A6C83BBA-41C4-4C53-BA7D-2D1976F69115}" name="CATEGORIE" totalsRowFunction="custom" dataDxfId="56" totalsRowDxfId="55">
      <totalsRowFormula>SUM(Tableau1100109189[[#Totals],[DEBIT]:[CREDIT]])</totalsRowFormula>
    </tableColumn>
  </tableColumns>
  <tableStyleInfo name="TableStyleMedium13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9" xr:uid="{C51FC0EA-648D-4038-A195-405397290F3F}" name="Tableau3102110190" displayName="Tableau3102110190" ref="HZ18:IC20" totalsRowCount="1" headerRowDxfId="54" dataDxfId="53">
  <autoFilter ref="HZ18:IC19" xr:uid="{C51FC0EA-648D-4038-A195-405397290F3F}">
    <filterColumn colId="0" hiddenButton="1"/>
    <filterColumn colId="1" hiddenButton="1"/>
    <filterColumn colId="2" hiddenButton="1"/>
    <filterColumn colId="3" hiddenButton="1"/>
  </autoFilter>
  <tableColumns count="4">
    <tableColumn id="1" xr3:uid="{8AFCA26B-2AC5-46E1-A50A-004EE8174B59}" name="ROMAIN OPERATIONS" totalsRowLabel="Total" dataDxfId="52" totalsRowDxfId="51"/>
    <tableColumn id="2" xr3:uid="{D573E370-0186-4122-9571-463054DC5BC7}" name="DEBIT" totalsRowFunction="custom" dataDxfId="50" totalsRowDxfId="49">
      <totalsRowFormula>SUM(Tableau3102110190[DEBIT])</totalsRowFormula>
    </tableColumn>
    <tableColumn id="3" xr3:uid="{85643E28-4329-42A2-8B43-38979BE315BD}" name="CREDIT" totalsRowFunction="custom" dataDxfId="48" totalsRowDxfId="47">
      <totalsRowFormula>SUM(Tableau3102110190[CREDIT])</totalsRowFormula>
    </tableColumn>
    <tableColumn id="4" xr3:uid="{5D206FCB-10A4-4DDE-83E1-DA4B0FB03C9D}" name="CATEGORIE" totalsRowFunction="custom" dataDxfId="46" totalsRowDxfId="45">
      <totalsRowFormula>SUM(Tableau3102110190[[#Totals],[CREDIT]],Tableau3102110190[[#Totals],[DEBIT]])</totalsRowFormula>
    </tableColumn>
  </tableColumns>
  <tableStyleInfo name="TableStyleMedium13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0" xr:uid="{45AC92A4-D5BA-4C0C-B98F-53E2C8A702C8}" name="Tableau16103111191" displayName="Tableau16103111191" ref="IE14:IH16" insertRow="1" totalsRowCount="1" headerRowDxfId="44" dataDxfId="43" totalsRowDxfId="42">
  <autoFilter ref="IE14:IH15" xr:uid="{45AC92A4-D5BA-4C0C-B98F-53E2C8A702C8}">
    <filterColumn colId="0" hiddenButton="1"/>
    <filterColumn colId="1" hiddenButton="1"/>
    <filterColumn colId="2" hiddenButton="1"/>
    <filterColumn colId="3" hiddenButton="1"/>
  </autoFilter>
  <tableColumns count="4">
    <tableColumn id="1" xr3:uid="{DFA7EE9F-A032-4750-A2DC-E6E1AC41DCF0}" name="HANANE OPERATIONS" totalsRowLabel="Total" dataDxfId="41" totalsRowDxfId="40"/>
    <tableColumn id="2" xr3:uid="{839FF125-EAAD-4F7C-87F8-D4D74E09BF9F}" name="DEBIT" totalsRowFunction="custom" dataDxfId="39" totalsRowDxfId="38">
      <totalsRowFormula>SUM(Tableau16103111191[DEBIT])</totalsRowFormula>
    </tableColumn>
    <tableColumn id="3" xr3:uid="{39F4B961-A0FE-4534-BE2F-7231302A7BD8}" name="CREDIT" totalsRowFunction="custom" dataDxfId="37" totalsRowDxfId="36">
      <totalsRowFormula>SUM(Tableau16103111191[CREDIT])</totalsRowFormula>
    </tableColumn>
    <tableColumn id="4" xr3:uid="{3E7407BD-3F13-41AD-99E6-588438480271}" name="CATEGORIE" totalsRowFunction="custom" dataDxfId="35" totalsRowDxfId="34">
      <totalsRowFormula>SUM(Tableau16103111191[[#Totals],[DEBIT]:[CREDIT]])</totalsRowFormula>
    </tableColumn>
  </tableColumns>
  <tableStyleInfo name="Style de tableau corail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1" xr:uid="{9BDEE9D4-F6B1-47E4-B513-4D49643111B4}" name="Tableau33104112192" displayName="Tableau33104112192" ref="IE18:IH20" totalsRowCount="1" headerRowDxfId="33" dataDxfId="32">
  <autoFilter ref="IE18:IH19" xr:uid="{9BDEE9D4-F6B1-47E4-B513-4D49643111B4}">
    <filterColumn colId="0" hiddenButton="1"/>
    <filterColumn colId="1" hiddenButton="1"/>
    <filterColumn colId="2" hiddenButton="1"/>
    <filterColumn colId="3" hiddenButton="1"/>
  </autoFilter>
  <tableColumns count="4">
    <tableColumn id="1" xr3:uid="{4814BA8C-AE8E-481E-AED0-5550E20785F0}" name="ROMAIN OPERATIONS" totalsRowLabel="Total" dataDxfId="31" totalsRowDxfId="30"/>
    <tableColumn id="2" xr3:uid="{E617E43C-FBED-4152-90CC-1401EBAAB4EB}" name="DEBIT" totalsRowFunction="custom" dataDxfId="29" totalsRowDxfId="28">
      <totalsRowFormula>SUM(Tableau33104112192[DEBIT])</totalsRowFormula>
    </tableColumn>
    <tableColumn id="3" xr3:uid="{E751E4A1-DFA5-4B34-98FB-F9E464EF80F8}" name="CREDIT" totalsRowFunction="custom" dataDxfId="27" totalsRowDxfId="26">
      <totalsRowFormula>SUM(Tableau33104112192[CREDIT])</totalsRowFormula>
    </tableColumn>
    <tableColumn id="4" xr3:uid="{365735E2-19DB-4FB7-B823-C4CDA511C022}" name="CATEGORIE" totalsRowFunction="custom" dataDxfId="25" totalsRowDxfId="24">
      <totalsRowFormula>SUM(Tableau33104112192[[#Totals],[CREDIT]],Tableau33104112192[[#Totals],[DEBIT]])</totalsRowFormula>
    </tableColumn>
  </tableColumns>
  <tableStyleInfo name="Style de tableau corail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6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76" Type="http://schemas.openxmlformats.org/officeDocument/2006/relationships/table" Target="../tables/table76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97" Type="http://schemas.openxmlformats.org/officeDocument/2006/relationships/table" Target="../tables/table97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92" Type="http://schemas.openxmlformats.org/officeDocument/2006/relationships/table" Target="../tables/table9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9" Type="http://schemas.openxmlformats.org/officeDocument/2006/relationships/table" Target="../tables/table29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66" Type="http://schemas.openxmlformats.org/officeDocument/2006/relationships/table" Target="../tables/table66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87" Type="http://schemas.openxmlformats.org/officeDocument/2006/relationships/table" Target="../tables/table87.xml"/><Relationship Id="rId5" Type="http://schemas.openxmlformats.org/officeDocument/2006/relationships/table" Target="../tables/table5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90" Type="http://schemas.openxmlformats.org/officeDocument/2006/relationships/table" Target="../tables/table90.xml"/><Relationship Id="rId95" Type="http://schemas.openxmlformats.org/officeDocument/2006/relationships/table" Target="../tables/table95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56" Type="http://schemas.openxmlformats.org/officeDocument/2006/relationships/table" Target="../tables/table56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77" Type="http://schemas.openxmlformats.org/officeDocument/2006/relationships/table" Target="../tables/table77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93" Type="http://schemas.openxmlformats.org/officeDocument/2006/relationships/table" Target="../tables/table93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59" Type="http://schemas.openxmlformats.org/officeDocument/2006/relationships/table" Target="../tables/table59.xml"/><Relationship Id="rId67" Type="http://schemas.openxmlformats.org/officeDocument/2006/relationships/table" Target="../tables/table67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54" Type="http://schemas.openxmlformats.org/officeDocument/2006/relationships/table" Target="../tables/table54.xml"/><Relationship Id="rId62" Type="http://schemas.openxmlformats.org/officeDocument/2006/relationships/table" Target="../tables/table62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91" Type="http://schemas.openxmlformats.org/officeDocument/2006/relationships/table" Target="../tables/table91.xml"/><Relationship Id="rId96" Type="http://schemas.openxmlformats.org/officeDocument/2006/relationships/table" Target="../tables/table96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57" Type="http://schemas.openxmlformats.org/officeDocument/2006/relationships/table" Target="../tables/table57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94" Type="http://schemas.openxmlformats.org/officeDocument/2006/relationships/table" Target="../tables/table9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9" Type="http://schemas.openxmlformats.org/officeDocument/2006/relationships/table" Target="../tables/table3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2930-781F-4C3D-9B80-210A41ED8A72}">
  <sheetPr codeName="Feuil1"/>
  <dimension ref="B5:P22"/>
  <sheetViews>
    <sheetView workbookViewId="0">
      <selection activeCell="I5" sqref="I5:J12"/>
    </sheetView>
  </sheetViews>
  <sheetFormatPr defaultColWidth="11.5703125" defaultRowHeight="15" x14ac:dyDescent="0.25"/>
  <cols>
    <col min="2" max="2" width="15.28515625" customWidth="1"/>
    <col min="3" max="3" width="16.7109375" customWidth="1"/>
    <col min="4" max="4" width="15.28515625" customWidth="1"/>
    <col min="5" max="5" width="19.85546875" customWidth="1"/>
    <col min="6" max="6" width="15.28515625" customWidth="1"/>
    <col min="7" max="7" width="27.7109375" style="85" customWidth="1"/>
    <col min="8" max="8" width="15.28515625" style="85" customWidth="1"/>
    <col min="9" max="9" width="21" bestFit="1" customWidth="1"/>
    <col min="10" max="10" width="15.28515625" customWidth="1"/>
    <col min="11" max="11" width="17.42578125" customWidth="1"/>
    <col min="12" max="13" width="15.28515625" customWidth="1"/>
    <col min="14" max="14" width="20.140625" customWidth="1"/>
    <col min="15" max="15" width="15.28515625" customWidth="1"/>
  </cols>
  <sheetData>
    <row r="5" spans="2:15" ht="19.5" thickBot="1" x14ac:dyDescent="0.35">
      <c r="B5" s="56" t="s">
        <v>20</v>
      </c>
      <c r="C5" s="56" t="s">
        <v>21</v>
      </c>
    </row>
    <row r="6" spans="2:15" ht="18.75" x14ac:dyDescent="0.3">
      <c r="B6" s="52" t="s">
        <v>2</v>
      </c>
      <c r="C6" s="53" t="s">
        <v>22</v>
      </c>
    </row>
    <row r="7" spans="2:15" ht="18.75" x14ac:dyDescent="0.3">
      <c r="B7" s="54" t="s">
        <v>0</v>
      </c>
      <c r="C7" s="55" t="s">
        <v>23</v>
      </c>
    </row>
    <row r="8" spans="2:15" ht="18.75" x14ac:dyDescent="0.3">
      <c r="B8" s="52" t="s">
        <v>10</v>
      </c>
      <c r="C8" s="53" t="s">
        <v>23</v>
      </c>
    </row>
    <row r="9" spans="2:15" ht="18.75" x14ac:dyDescent="0.3">
      <c r="B9" s="54" t="s">
        <v>12</v>
      </c>
      <c r="C9" s="55" t="s">
        <v>23</v>
      </c>
    </row>
    <row r="10" spans="2:15" ht="18.75" x14ac:dyDescent="0.3">
      <c r="B10" s="52" t="s">
        <v>14</v>
      </c>
      <c r="C10" s="53" t="s">
        <v>23</v>
      </c>
    </row>
    <row r="11" spans="2:15" ht="18.75" x14ac:dyDescent="0.3">
      <c r="B11" s="54" t="s">
        <v>19</v>
      </c>
      <c r="C11" s="55" t="s">
        <v>23</v>
      </c>
    </row>
    <row r="12" spans="2:15" ht="18.75" x14ac:dyDescent="0.3">
      <c r="B12" s="52" t="s">
        <v>24</v>
      </c>
      <c r="C12" s="53" t="s">
        <v>23</v>
      </c>
    </row>
    <row r="13" spans="2:15" ht="18.75" x14ac:dyDescent="0.3">
      <c r="B13" s="54" t="s">
        <v>40</v>
      </c>
      <c r="C13" s="55" t="s">
        <v>23</v>
      </c>
    </row>
    <row r="14" spans="2:15" ht="37.5" x14ac:dyDescent="0.3">
      <c r="B14" s="52" t="s">
        <v>25</v>
      </c>
      <c r="C14" s="53" t="s">
        <v>26</v>
      </c>
    </row>
    <row r="15" spans="2:15" ht="37.5" x14ac:dyDescent="0.3">
      <c r="B15" s="54" t="s">
        <v>13</v>
      </c>
      <c r="C15" s="55" t="s">
        <v>26</v>
      </c>
      <c r="E15" s="44"/>
    </row>
    <row r="16" spans="2:15" ht="37.5" x14ac:dyDescent="0.3">
      <c r="B16" s="52" t="s">
        <v>15</v>
      </c>
      <c r="C16" s="53" t="s">
        <v>26</v>
      </c>
      <c r="D16" s="51"/>
      <c r="E16" s="51"/>
      <c r="F16" s="51"/>
      <c r="G16" s="86"/>
      <c r="H16" s="86"/>
      <c r="I16" s="51"/>
      <c r="J16" s="51"/>
      <c r="K16" s="51"/>
      <c r="L16" s="51"/>
      <c r="M16" s="51"/>
      <c r="N16" s="51"/>
      <c r="O16" s="51"/>
    </row>
    <row r="17" spans="2:16" ht="32.450000000000003" customHeight="1" x14ac:dyDescent="0.3">
      <c r="B17" s="54" t="s">
        <v>27</v>
      </c>
      <c r="C17" s="55" t="s">
        <v>28</v>
      </c>
      <c r="D17" s="45"/>
      <c r="E17" s="45"/>
      <c r="F17" s="45"/>
      <c r="G17" s="87"/>
      <c r="H17" s="87"/>
      <c r="I17" s="45"/>
      <c r="J17" s="45"/>
      <c r="K17" s="45"/>
      <c r="L17" s="45"/>
      <c r="M17" s="45"/>
      <c r="N17" s="45"/>
      <c r="O17" s="45"/>
      <c r="P17" s="45"/>
    </row>
    <row r="18" spans="2:16" ht="37.5" x14ac:dyDescent="0.3">
      <c r="B18" s="52" t="s">
        <v>41</v>
      </c>
      <c r="C18" s="53" t="s">
        <v>26</v>
      </c>
    </row>
    <row r="19" spans="2:16" ht="37.5" x14ac:dyDescent="0.3">
      <c r="B19" s="54" t="s">
        <v>42</v>
      </c>
      <c r="C19" s="55" t="s">
        <v>28</v>
      </c>
    </row>
    <row r="20" spans="2:16" ht="37.5" x14ac:dyDescent="0.3">
      <c r="B20" s="52" t="s">
        <v>11</v>
      </c>
      <c r="C20" s="53" t="s">
        <v>28</v>
      </c>
    </row>
    <row r="21" spans="2:16" ht="37.5" x14ac:dyDescent="0.3">
      <c r="B21" s="54" t="s">
        <v>29</v>
      </c>
      <c r="C21" s="55" t="s">
        <v>28</v>
      </c>
    </row>
    <row r="22" spans="2:16" ht="37.5" x14ac:dyDescent="0.3">
      <c r="B22" s="52" t="s">
        <v>1</v>
      </c>
      <c r="C22" s="53" t="s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F7907-E45E-4488-8B87-C58B570B27D9}">
  <dimension ref="D5:E12"/>
  <sheetViews>
    <sheetView tabSelected="1" workbookViewId="0">
      <selection activeCell="E5" sqref="E5"/>
    </sheetView>
  </sheetViews>
  <sheetFormatPr defaultRowHeight="15" x14ac:dyDescent="0.25"/>
  <cols>
    <col min="4" max="5" width="36.140625" customWidth="1"/>
  </cols>
  <sheetData>
    <row r="5" spans="4:5" x14ac:dyDescent="0.25">
      <c r="D5" s="85" t="s">
        <v>37</v>
      </c>
      <c r="E5" s="85" t="str" cm="1">
        <f t="array" ref="E5">INDEX(Categories,-ROW(Entête)+_xlfn.AGGREGATE(14,6,ROW(Mots_cles)/ISNUMBER(SEARCH(Mots_cles,D5)),1))</f>
        <v>LOGEMENT</v>
      </c>
    </row>
    <row r="6" spans="4:5" x14ac:dyDescent="0.25">
      <c r="D6" s="85" t="s">
        <v>37</v>
      </c>
      <c r="E6" s="85" t="str" cm="1">
        <f t="array" ref="E6">INDEX(Categories,-ROW(Entête)+_xlfn.AGGREGATE(14,6,ROW(Mots_cles)/ISNUMBER(SEARCH(Mots_cles,D6)),1))</f>
        <v>LOGEMENT</v>
      </c>
    </row>
    <row r="7" spans="4:5" x14ac:dyDescent="0.25">
      <c r="D7" s="85" t="s">
        <v>38</v>
      </c>
      <c r="E7" s="85" t="str" cm="1">
        <f t="array" ref="E7">INDEX(Categories,-ROW(Entête)+_xlfn.AGGREGATE(14,6,ROW(Mots_cles)/ISNUMBER(SEARCH(Mots_cles,D7)),1))</f>
        <v>COURSES</v>
      </c>
    </row>
    <row r="8" spans="4:5" x14ac:dyDescent="0.25">
      <c r="D8" s="88" t="s">
        <v>39</v>
      </c>
      <c r="E8" s="85" t="str" cm="1">
        <f t="array" ref="E8">INDEX(Categories,-ROW(Entête)+_xlfn.AGGREGATE(14,6,ROW(Mots_cles)/ISNUMBER(SEARCH(Mots_cles,D8)),1))</f>
        <v>TRANSPORT</v>
      </c>
    </row>
    <row r="9" spans="4:5" x14ac:dyDescent="0.25">
      <c r="D9" s="85" t="s">
        <v>37</v>
      </c>
      <c r="E9" s="85" t="str" cm="1">
        <f t="array" ref="E9">INDEX(Categories,-ROW(Entête)+_xlfn.AGGREGATE(14,6,ROW(Mots_cles)/ISNUMBER(SEARCH(Mots_cles,D9)),1))</f>
        <v>LOGEMENT</v>
      </c>
    </row>
    <row r="10" spans="4:5" x14ac:dyDescent="0.25">
      <c r="D10" s="85" t="s">
        <v>37</v>
      </c>
      <c r="E10" s="85" t="str" cm="1">
        <f t="array" ref="E10">INDEX(Categories,-ROW(Entête)+_xlfn.AGGREGATE(14,6,ROW(Mots_cles)/ISNUMBER(SEARCH(Mots_cles,D10)),1))</f>
        <v>LOGEMENT</v>
      </c>
    </row>
    <row r="11" spans="4:5" x14ac:dyDescent="0.25">
      <c r="D11" s="85" t="s">
        <v>37</v>
      </c>
      <c r="E11" s="85" t="str" cm="1">
        <f t="array" ref="E11">INDEX(Categories,-ROW(Entête)+_xlfn.AGGREGATE(14,6,ROW(Mots_cles)/ISNUMBER(SEARCH(Mots_cles,D11)),1))</f>
        <v>LOGEMENT</v>
      </c>
    </row>
    <row r="12" spans="4:5" x14ac:dyDescent="0.25">
      <c r="D12" s="85" t="s">
        <v>37</v>
      </c>
      <c r="E12" s="85" t="str" cm="1">
        <f t="array" ref="E12">INDEX(Categories,-ROW(Entête)+_xlfn.AGGREGATE(14,6,ROW(Mots_cles)/ISNUMBER(SEARCH(Mots_cles,D12)),1))</f>
        <v>LOGEMENT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E715-D622-4F0C-9D74-5BBC216C24A4}">
  <sheetPr codeName="Feuil2"/>
  <dimension ref="A1:KO66"/>
  <sheetViews>
    <sheetView zoomScaleNormal="100" workbookViewId="0">
      <pane xSplit="3" ySplit="14" topLeftCell="D15" activePane="bottomRight" state="frozen"/>
      <selection pane="topRight" activeCell="D1" sqref="D1"/>
      <selection pane="bottomLeft" activeCell="A15" sqref="A15"/>
      <selection pane="bottomRight" activeCell="G19" sqref="G19"/>
    </sheetView>
  </sheetViews>
  <sheetFormatPr defaultColWidth="11.5703125" defaultRowHeight="14.25" x14ac:dyDescent="0.2"/>
  <cols>
    <col min="1" max="1" width="48" style="1" customWidth="1"/>
    <col min="2" max="3" width="11.5703125" style="1"/>
    <col min="4" max="4" width="11.5703125" style="1" customWidth="1"/>
    <col min="5" max="6" width="11.5703125" style="1"/>
    <col min="7" max="7" width="12" style="1" customWidth="1"/>
    <col min="8" max="8" width="2.140625" style="1" customWidth="1"/>
    <col min="9" max="12" width="11.5703125" style="1"/>
    <col min="13" max="13" width="2.140625" style="1" customWidth="1"/>
    <col min="14" max="17" width="11.5703125" style="1"/>
    <col min="18" max="18" width="2.140625" style="1" customWidth="1"/>
    <col min="19" max="22" width="11.5703125" style="1"/>
    <col min="23" max="23" width="2.140625" style="1" customWidth="1"/>
    <col min="24" max="27" width="11.5703125" style="1"/>
    <col min="28" max="28" width="2.140625" style="1" customWidth="1"/>
    <col min="29" max="32" width="11.5703125" style="1"/>
    <col min="33" max="33" width="2.140625" style="1" customWidth="1"/>
    <col min="34" max="37" width="11.5703125" style="1"/>
    <col min="38" max="38" width="2.140625" style="1" customWidth="1"/>
    <col min="39" max="42" width="11.5703125" style="1"/>
    <col min="43" max="43" width="2.140625" style="1" customWidth="1"/>
    <col min="44" max="47" width="11.5703125" style="1"/>
    <col min="48" max="48" width="2.140625" style="1" customWidth="1"/>
    <col min="49" max="52" width="11.5703125" style="1"/>
    <col min="53" max="53" width="2.140625" style="1" customWidth="1"/>
    <col min="54" max="57" width="11.5703125" style="1"/>
    <col min="58" max="58" width="2.140625" style="1" customWidth="1"/>
    <col min="59" max="62" width="11.5703125" style="1"/>
    <col min="63" max="63" width="2.140625" style="1" customWidth="1"/>
    <col min="64" max="67" width="11.5703125" style="1"/>
    <col min="68" max="68" width="2.140625" style="1" customWidth="1"/>
    <col min="69" max="72" width="11.5703125" style="1"/>
    <col min="73" max="73" width="2.140625" style="1" customWidth="1"/>
    <col min="74" max="77" width="11.5703125" style="1"/>
    <col min="78" max="78" width="2.140625" style="1" customWidth="1"/>
    <col min="79" max="82" width="11.5703125" style="1"/>
    <col min="83" max="83" width="2.140625" style="1" customWidth="1"/>
    <col min="84" max="87" width="11.5703125" style="1"/>
    <col min="88" max="88" width="2.140625" style="1" customWidth="1"/>
    <col min="89" max="92" width="11.5703125" style="1"/>
    <col min="93" max="93" width="2.140625" style="1" customWidth="1"/>
    <col min="94" max="97" width="11.5703125" style="1"/>
    <col min="98" max="98" width="2.140625" style="1" customWidth="1"/>
    <col min="99" max="102" width="11.5703125" style="1"/>
    <col min="103" max="103" width="2.140625" style="1" customWidth="1"/>
    <col min="104" max="107" width="11.5703125" style="1"/>
    <col min="108" max="108" width="2.140625" style="1" customWidth="1"/>
    <col min="109" max="112" width="11.5703125" style="1"/>
    <col min="113" max="113" width="2.140625" style="1" customWidth="1"/>
    <col min="114" max="117" width="11.5703125" style="1"/>
    <col min="118" max="118" width="2.140625" style="1" customWidth="1"/>
    <col min="119" max="122" width="11.5703125" style="1"/>
    <col min="123" max="123" width="2.140625" style="1" customWidth="1"/>
    <col min="124" max="127" width="11.5703125" style="1"/>
    <col min="128" max="128" width="2.140625" style="1" customWidth="1"/>
    <col min="129" max="132" width="11.5703125" style="1"/>
    <col min="133" max="133" width="2.140625" style="1" customWidth="1"/>
    <col min="134" max="137" width="11.5703125" style="1"/>
    <col min="138" max="138" width="2.140625" style="1" customWidth="1"/>
    <col min="139" max="142" width="11.5703125" style="1"/>
    <col min="143" max="143" width="2.140625" style="1" customWidth="1"/>
    <col min="144" max="147" width="11.5703125" style="1"/>
    <col min="148" max="148" width="2.140625" style="1" customWidth="1"/>
    <col min="149" max="152" width="11.5703125" style="1"/>
    <col min="153" max="153" width="2.140625" style="1" customWidth="1"/>
    <col min="154" max="157" width="11.5703125" style="1"/>
    <col min="158" max="158" width="2.140625" style="1" customWidth="1"/>
    <col min="159" max="162" width="11.5703125" style="1"/>
    <col min="163" max="163" width="2.140625" style="1" customWidth="1"/>
    <col min="164" max="167" width="11.5703125" style="1"/>
    <col min="168" max="168" width="2.140625" style="1" customWidth="1"/>
    <col min="169" max="172" width="11.5703125" style="1"/>
    <col min="173" max="173" width="2.140625" style="1" customWidth="1"/>
    <col min="174" max="177" width="11.5703125" style="1"/>
    <col min="178" max="178" width="2.140625" style="1" customWidth="1"/>
    <col min="179" max="182" width="11.5703125" style="1"/>
    <col min="183" max="183" width="2.140625" style="1" customWidth="1"/>
    <col min="184" max="187" width="11.5703125" style="1"/>
    <col min="188" max="188" width="2.140625" style="1" customWidth="1"/>
    <col min="189" max="192" width="11.5703125" style="1"/>
    <col min="193" max="193" width="2.140625" style="1" customWidth="1"/>
    <col min="194" max="197" width="11.5703125" style="1"/>
    <col min="198" max="198" width="2.140625" style="1" customWidth="1"/>
    <col min="199" max="202" width="11.5703125" style="1"/>
    <col min="203" max="203" width="2.140625" style="1" customWidth="1"/>
    <col min="204" max="207" width="11.5703125" style="1"/>
    <col min="208" max="208" width="2.140625" style="1" customWidth="1"/>
    <col min="209" max="212" width="11.5703125" style="1"/>
    <col min="213" max="213" width="2.140625" style="1" customWidth="1"/>
    <col min="214" max="217" width="11.5703125" style="1"/>
    <col min="218" max="218" width="2.140625" style="1" customWidth="1"/>
    <col min="219" max="222" width="11.5703125" style="1"/>
    <col min="223" max="223" width="2.140625" style="1" customWidth="1"/>
    <col min="224" max="227" width="11.5703125" style="1"/>
    <col min="228" max="228" width="2.140625" style="1" customWidth="1"/>
    <col min="229" max="232" width="11.5703125" style="1"/>
    <col min="233" max="233" width="2.140625" style="1" customWidth="1"/>
    <col min="234" max="237" width="11.5703125" style="1"/>
    <col min="238" max="238" width="2.140625" style="1" customWidth="1"/>
    <col min="239" max="242" width="11.5703125" style="1"/>
    <col min="243" max="243" width="2.140625" style="1" customWidth="1"/>
    <col min="244" max="16384" width="11.5703125" style="1"/>
  </cols>
  <sheetData>
    <row r="1" spans="1:301" ht="15" thickBot="1" x14ac:dyDescent="0.25">
      <c r="A1" s="63"/>
      <c r="C1" s="13"/>
    </row>
    <row r="2" spans="1:301" s="8" customFormat="1" ht="35.450000000000003" customHeight="1" thickTop="1" x14ac:dyDescent="0.25">
      <c r="A2" s="63"/>
      <c r="B2" s="7"/>
      <c r="C2" s="7"/>
      <c r="D2" s="57">
        <v>44927</v>
      </c>
      <c r="E2" s="58"/>
      <c r="F2" s="58"/>
      <c r="G2" s="59"/>
      <c r="I2" s="60">
        <v>44958</v>
      </c>
      <c r="J2" s="61"/>
      <c r="K2" s="61"/>
      <c r="L2" s="62"/>
      <c r="N2" s="57">
        <v>44986</v>
      </c>
      <c r="O2" s="58"/>
      <c r="P2" s="58"/>
      <c r="Q2" s="59"/>
      <c r="S2" s="60">
        <v>45017</v>
      </c>
      <c r="T2" s="61"/>
      <c r="U2" s="61"/>
      <c r="V2" s="62"/>
      <c r="X2" s="57">
        <v>45047</v>
      </c>
      <c r="Y2" s="58"/>
      <c r="Z2" s="58"/>
      <c r="AA2" s="59"/>
      <c r="AC2" s="60">
        <v>45078</v>
      </c>
      <c r="AD2" s="61"/>
      <c r="AE2" s="61"/>
      <c r="AF2" s="62"/>
      <c r="AH2" s="57">
        <v>45108</v>
      </c>
      <c r="AI2" s="58"/>
      <c r="AJ2" s="58"/>
      <c r="AK2" s="59"/>
      <c r="AM2" s="60">
        <v>45139</v>
      </c>
      <c r="AN2" s="61"/>
      <c r="AO2" s="61"/>
      <c r="AP2" s="62"/>
      <c r="AR2" s="57">
        <v>45170</v>
      </c>
      <c r="AS2" s="58"/>
      <c r="AT2" s="58"/>
      <c r="AU2" s="59"/>
      <c r="AW2" s="60">
        <v>45200</v>
      </c>
      <c r="AX2" s="61"/>
      <c r="AY2" s="61"/>
      <c r="AZ2" s="62"/>
      <c r="BB2" s="57">
        <v>45231</v>
      </c>
      <c r="BC2" s="58"/>
      <c r="BD2" s="58"/>
      <c r="BE2" s="59"/>
      <c r="BG2" s="60">
        <v>45261</v>
      </c>
      <c r="BH2" s="61"/>
      <c r="BI2" s="61"/>
      <c r="BJ2" s="62"/>
      <c r="BL2" s="57">
        <v>45292</v>
      </c>
      <c r="BM2" s="58"/>
      <c r="BN2" s="58"/>
      <c r="BO2" s="59"/>
      <c r="BQ2" s="60">
        <v>45323</v>
      </c>
      <c r="BR2" s="61"/>
      <c r="BS2" s="61"/>
      <c r="BT2" s="62"/>
      <c r="BV2" s="57">
        <v>45352</v>
      </c>
      <c r="BW2" s="58"/>
      <c r="BX2" s="58"/>
      <c r="BY2" s="59"/>
      <c r="CA2" s="60">
        <v>45383</v>
      </c>
      <c r="CB2" s="61"/>
      <c r="CC2" s="61"/>
      <c r="CD2" s="62"/>
      <c r="CF2" s="57">
        <v>45413</v>
      </c>
      <c r="CG2" s="58"/>
      <c r="CH2" s="58"/>
      <c r="CI2" s="59"/>
      <c r="CK2" s="60">
        <v>45444</v>
      </c>
      <c r="CL2" s="61"/>
      <c r="CM2" s="61"/>
      <c r="CN2" s="62"/>
      <c r="CP2" s="57">
        <v>45474</v>
      </c>
      <c r="CQ2" s="58"/>
      <c r="CR2" s="58"/>
      <c r="CS2" s="59"/>
      <c r="CU2" s="60">
        <v>45505</v>
      </c>
      <c r="CV2" s="61"/>
      <c r="CW2" s="61"/>
      <c r="CX2" s="62"/>
      <c r="CZ2" s="57">
        <v>45536</v>
      </c>
      <c r="DA2" s="58"/>
      <c r="DB2" s="58"/>
      <c r="DC2" s="59"/>
      <c r="DE2" s="60">
        <v>45566</v>
      </c>
      <c r="DF2" s="61"/>
      <c r="DG2" s="61"/>
      <c r="DH2" s="62"/>
      <c r="DJ2" s="57">
        <v>45597</v>
      </c>
      <c r="DK2" s="58"/>
      <c r="DL2" s="58"/>
      <c r="DM2" s="59"/>
      <c r="DO2" s="60">
        <v>45627</v>
      </c>
      <c r="DP2" s="61"/>
      <c r="DQ2" s="61"/>
      <c r="DR2" s="62"/>
      <c r="DT2" s="57">
        <v>45658</v>
      </c>
      <c r="DU2" s="58"/>
      <c r="DV2" s="58"/>
      <c r="DW2" s="59"/>
      <c r="DY2" s="60">
        <v>45689</v>
      </c>
      <c r="DZ2" s="61"/>
      <c r="EA2" s="61"/>
      <c r="EB2" s="62"/>
      <c r="ED2" s="57">
        <v>45717</v>
      </c>
      <c r="EE2" s="58"/>
      <c r="EF2" s="58"/>
      <c r="EG2" s="59"/>
      <c r="EI2" s="60">
        <v>45748</v>
      </c>
      <c r="EJ2" s="61"/>
      <c r="EK2" s="61"/>
      <c r="EL2" s="62"/>
      <c r="EN2" s="57">
        <v>45778</v>
      </c>
      <c r="EO2" s="58"/>
      <c r="EP2" s="58"/>
      <c r="EQ2" s="59"/>
      <c r="ES2" s="60">
        <v>45809</v>
      </c>
      <c r="ET2" s="61"/>
      <c r="EU2" s="61"/>
      <c r="EV2" s="62"/>
      <c r="EX2" s="57">
        <v>45839</v>
      </c>
      <c r="EY2" s="58"/>
      <c r="EZ2" s="58"/>
      <c r="FA2" s="59"/>
      <c r="FC2" s="60">
        <v>45870</v>
      </c>
      <c r="FD2" s="61"/>
      <c r="FE2" s="61"/>
      <c r="FF2" s="62"/>
      <c r="FH2" s="57">
        <v>45901</v>
      </c>
      <c r="FI2" s="58"/>
      <c r="FJ2" s="58"/>
      <c r="FK2" s="59"/>
      <c r="FM2" s="60">
        <v>45931</v>
      </c>
      <c r="FN2" s="61"/>
      <c r="FO2" s="61"/>
      <c r="FP2" s="62"/>
      <c r="FR2" s="57">
        <v>45962</v>
      </c>
      <c r="FS2" s="58"/>
      <c r="FT2" s="58"/>
      <c r="FU2" s="59"/>
      <c r="FW2" s="60">
        <v>45992</v>
      </c>
      <c r="FX2" s="61"/>
      <c r="FY2" s="61"/>
      <c r="FZ2" s="62"/>
      <c r="GB2" s="57">
        <v>46023</v>
      </c>
      <c r="GC2" s="58"/>
      <c r="GD2" s="58"/>
      <c r="GE2" s="59"/>
      <c r="GG2" s="60">
        <v>46054</v>
      </c>
      <c r="GH2" s="61"/>
      <c r="GI2" s="61"/>
      <c r="GJ2" s="62"/>
      <c r="GL2" s="57">
        <v>46082</v>
      </c>
      <c r="GM2" s="58"/>
      <c r="GN2" s="58"/>
      <c r="GO2" s="59"/>
      <c r="GQ2" s="60">
        <v>46113</v>
      </c>
      <c r="GR2" s="61"/>
      <c r="GS2" s="61"/>
      <c r="GT2" s="62"/>
      <c r="GV2" s="57">
        <v>46143</v>
      </c>
      <c r="GW2" s="58"/>
      <c r="GX2" s="58"/>
      <c r="GY2" s="59"/>
      <c r="HA2" s="60">
        <v>46174</v>
      </c>
      <c r="HB2" s="61"/>
      <c r="HC2" s="61"/>
      <c r="HD2" s="62"/>
      <c r="HF2" s="57">
        <v>46204</v>
      </c>
      <c r="HG2" s="58"/>
      <c r="HH2" s="58"/>
      <c r="HI2" s="59"/>
      <c r="HK2" s="60">
        <v>46235</v>
      </c>
      <c r="HL2" s="61"/>
      <c r="HM2" s="61"/>
      <c r="HN2" s="62"/>
      <c r="HP2" s="57">
        <v>46266</v>
      </c>
      <c r="HQ2" s="58"/>
      <c r="HR2" s="58"/>
      <c r="HS2" s="59"/>
      <c r="HU2" s="60">
        <v>46296</v>
      </c>
      <c r="HV2" s="61"/>
      <c r="HW2" s="61"/>
      <c r="HX2" s="62"/>
      <c r="HZ2" s="57">
        <v>46327</v>
      </c>
      <c r="IA2" s="58"/>
      <c r="IB2" s="58"/>
      <c r="IC2" s="59"/>
      <c r="IE2" s="60">
        <v>46357</v>
      </c>
      <c r="IF2" s="61"/>
      <c r="IG2" s="61"/>
      <c r="IH2" s="62"/>
      <c r="IJ2" s="42"/>
      <c r="IK2" s="42"/>
      <c r="IL2" s="42"/>
      <c r="IM2" s="42"/>
      <c r="IO2" s="42"/>
      <c r="IP2" s="42"/>
      <c r="IQ2" s="42"/>
      <c r="IR2" s="41"/>
      <c r="IS2" s="42"/>
      <c r="IT2" s="42"/>
      <c r="IU2" s="42"/>
      <c r="IV2" s="42"/>
      <c r="IW2" s="41"/>
      <c r="IX2" s="42"/>
      <c r="IY2" s="42"/>
      <c r="IZ2" s="42"/>
      <c r="JA2" s="42"/>
      <c r="JB2" s="41"/>
      <c r="JC2" s="42"/>
      <c r="JD2" s="42"/>
      <c r="JE2" s="42"/>
      <c r="JF2" s="42"/>
      <c r="JG2" s="41"/>
      <c r="JH2" s="42"/>
      <c r="JI2" s="42"/>
      <c r="JJ2" s="42"/>
      <c r="JK2" s="42"/>
      <c r="JL2" s="41"/>
      <c r="JM2" s="42"/>
      <c r="JN2" s="42"/>
      <c r="JO2" s="42"/>
      <c r="JP2" s="42"/>
      <c r="JQ2" s="41"/>
      <c r="JR2" s="42"/>
      <c r="JS2" s="42"/>
      <c r="JT2" s="42"/>
      <c r="JU2" s="42"/>
      <c r="JV2" s="41"/>
      <c r="JW2" s="42"/>
      <c r="JX2" s="42"/>
      <c r="JY2" s="42"/>
      <c r="JZ2" s="42"/>
      <c r="KB2" s="42"/>
      <c r="KC2" s="42"/>
      <c r="KD2" s="42"/>
      <c r="KE2" s="42"/>
      <c r="KG2" s="42"/>
      <c r="KH2" s="42"/>
      <c r="KI2" s="42"/>
      <c r="KJ2" s="42"/>
      <c r="KL2" s="42"/>
      <c r="KM2" s="42"/>
      <c r="KN2" s="42"/>
      <c r="KO2" s="42"/>
    </row>
    <row r="3" spans="1:301" ht="15" x14ac:dyDescent="0.25">
      <c r="A3" s="63"/>
      <c r="D3" s="68" t="s">
        <v>3</v>
      </c>
      <c r="E3" s="69"/>
      <c r="F3" s="9" t="s">
        <v>4</v>
      </c>
      <c r="G3" s="15" t="s">
        <v>5</v>
      </c>
      <c r="I3" s="74" t="s">
        <v>3</v>
      </c>
      <c r="J3" s="75"/>
      <c r="K3" s="25" t="s">
        <v>4</v>
      </c>
      <c r="L3" s="26" t="s">
        <v>5</v>
      </c>
      <c r="N3" s="68" t="s">
        <v>3</v>
      </c>
      <c r="O3" s="69"/>
      <c r="P3" s="9" t="s">
        <v>4</v>
      </c>
      <c r="Q3" s="15" t="s">
        <v>5</v>
      </c>
      <c r="S3" s="74" t="s">
        <v>3</v>
      </c>
      <c r="T3" s="75"/>
      <c r="U3" s="25" t="s">
        <v>4</v>
      </c>
      <c r="V3" s="26" t="s">
        <v>5</v>
      </c>
      <c r="X3" s="68" t="s">
        <v>3</v>
      </c>
      <c r="Y3" s="69"/>
      <c r="Z3" s="9" t="s">
        <v>4</v>
      </c>
      <c r="AA3" s="15" t="s">
        <v>5</v>
      </c>
      <c r="AC3" s="74" t="s">
        <v>3</v>
      </c>
      <c r="AD3" s="75"/>
      <c r="AE3" s="25" t="s">
        <v>4</v>
      </c>
      <c r="AF3" s="26" t="s">
        <v>5</v>
      </c>
      <c r="AH3" s="68" t="s">
        <v>3</v>
      </c>
      <c r="AI3" s="69"/>
      <c r="AJ3" s="9" t="s">
        <v>4</v>
      </c>
      <c r="AK3" s="15" t="s">
        <v>5</v>
      </c>
      <c r="AM3" s="74" t="s">
        <v>3</v>
      </c>
      <c r="AN3" s="75"/>
      <c r="AO3" s="25" t="s">
        <v>4</v>
      </c>
      <c r="AP3" s="26" t="s">
        <v>5</v>
      </c>
      <c r="AR3" s="68" t="s">
        <v>3</v>
      </c>
      <c r="AS3" s="69"/>
      <c r="AT3" s="9" t="s">
        <v>4</v>
      </c>
      <c r="AU3" s="15" t="s">
        <v>5</v>
      </c>
      <c r="AW3" s="74" t="s">
        <v>3</v>
      </c>
      <c r="AX3" s="75"/>
      <c r="AY3" s="25" t="s">
        <v>4</v>
      </c>
      <c r="AZ3" s="26" t="s">
        <v>5</v>
      </c>
      <c r="BB3" s="68" t="s">
        <v>3</v>
      </c>
      <c r="BC3" s="69"/>
      <c r="BD3" s="9" t="s">
        <v>4</v>
      </c>
      <c r="BE3" s="15" t="s">
        <v>5</v>
      </c>
      <c r="BG3" s="74" t="s">
        <v>3</v>
      </c>
      <c r="BH3" s="75"/>
      <c r="BI3" s="25" t="s">
        <v>4</v>
      </c>
      <c r="BJ3" s="26" t="s">
        <v>5</v>
      </c>
      <c r="BL3" s="68" t="s">
        <v>3</v>
      </c>
      <c r="BM3" s="69"/>
      <c r="BN3" s="9" t="s">
        <v>4</v>
      </c>
      <c r="BO3" s="15" t="s">
        <v>5</v>
      </c>
      <c r="BQ3" s="74" t="s">
        <v>3</v>
      </c>
      <c r="BR3" s="75"/>
      <c r="BS3" s="25" t="s">
        <v>4</v>
      </c>
      <c r="BT3" s="26" t="s">
        <v>5</v>
      </c>
      <c r="BV3" s="68" t="s">
        <v>3</v>
      </c>
      <c r="BW3" s="69"/>
      <c r="BX3" s="9" t="s">
        <v>4</v>
      </c>
      <c r="BY3" s="15" t="s">
        <v>5</v>
      </c>
      <c r="CA3" s="74" t="s">
        <v>3</v>
      </c>
      <c r="CB3" s="75"/>
      <c r="CC3" s="25" t="s">
        <v>4</v>
      </c>
      <c r="CD3" s="26" t="s">
        <v>5</v>
      </c>
      <c r="CF3" s="68" t="s">
        <v>3</v>
      </c>
      <c r="CG3" s="69"/>
      <c r="CH3" s="9" t="s">
        <v>4</v>
      </c>
      <c r="CI3" s="15" t="s">
        <v>5</v>
      </c>
      <c r="CK3" s="74" t="s">
        <v>3</v>
      </c>
      <c r="CL3" s="75"/>
      <c r="CM3" s="25" t="s">
        <v>4</v>
      </c>
      <c r="CN3" s="26" t="s">
        <v>5</v>
      </c>
      <c r="CP3" s="68" t="s">
        <v>3</v>
      </c>
      <c r="CQ3" s="69"/>
      <c r="CR3" s="9" t="s">
        <v>4</v>
      </c>
      <c r="CS3" s="15" t="s">
        <v>5</v>
      </c>
      <c r="CU3" s="74" t="s">
        <v>3</v>
      </c>
      <c r="CV3" s="75"/>
      <c r="CW3" s="25" t="s">
        <v>4</v>
      </c>
      <c r="CX3" s="26" t="s">
        <v>5</v>
      </c>
      <c r="CZ3" s="68" t="s">
        <v>3</v>
      </c>
      <c r="DA3" s="69"/>
      <c r="DB3" s="9" t="s">
        <v>4</v>
      </c>
      <c r="DC3" s="15" t="s">
        <v>5</v>
      </c>
      <c r="DE3" s="74" t="s">
        <v>3</v>
      </c>
      <c r="DF3" s="75"/>
      <c r="DG3" s="25" t="s">
        <v>4</v>
      </c>
      <c r="DH3" s="26" t="s">
        <v>5</v>
      </c>
      <c r="DJ3" s="68" t="s">
        <v>3</v>
      </c>
      <c r="DK3" s="69"/>
      <c r="DL3" s="9" t="s">
        <v>4</v>
      </c>
      <c r="DM3" s="15" t="s">
        <v>5</v>
      </c>
      <c r="DO3" s="74" t="s">
        <v>3</v>
      </c>
      <c r="DP3" s="75"/>
      <c r="DQ3" s="25" t="s">
        <v>4</v>
      </c>
      <c r="DR3" s="26" t="s">
        <v>5</v>
      </c>
      <c r="DT3" s="68" t="s">
        <v>3</v>
      </c>
      <c r="DU3" s="69"/>
      <c r="DV3" s="9" t="s">
        <v>4</v>
      </c>
      <c r="DW3" s="15" t="s">
        <v>5</v>
      </c>
      <c r="DY3" s="74" t="s">
        <v>3</v>
      </c>
      <c r="DZ3" s="75"/>
      <c r="EA3" s="25" t="s">
        <v>4</v>
      </c>
      <c r="EB3" s="26" t="s">
        <v>5</v>
      </c>
      <c r="ED3" s="68" t="s">
        <v>3</v>
      </c>
      <c r="EE3" s="69"/>
      <c r="EF3" s="9" t="s">
        <v>4</v>
      </c>
      <c r="EG3" s="15" t="s">
        <v>5</v>
      </c>
      <c r="EI3" s="74" t="s">
        <v>3</v>
      </c>
      <c r="EJ3" s="75"/>
      <c r="EK3" s="25" t="s">
        <v>4</v>
      </c>
      <c r="EL3" s="26" t="s">
        <v>5</v>
      </c>
      <c r="EN3" s="68" t="s">
        <v>3</v>
      </c>
      <c r="EO3" s="69"/>
      <c r="EP3" s="9" t="s">
        <v>4</v>
      </c>
      <c r="EQ3" s="15" t="s">
        <v>5</v>
      </c>
      <c r="ES3" s="74" t="s">
        <v>3</v>
      </c>
      <c r="ET3" s="75"/>
      <c r="EU3" s="25" t="s">
        <v>4</v>
      </c>
      <c r="EV3" s="26" t="s">
        <v>5</v>
      </c>
      <c r="EX3" s="68" t="s">
        <v>3</v>
      </c>
      <c r="EY3" s="69"/>
      <c r="EZ3" s="9" t="s">
        <v>4</v>
      </c>
      <c r="FA3" s="15" t="s">
        <v>5</v>
      </c>
      <c r="FC3" s="74" t="s">
        <v>3</v>
      </c>
      <c r="FD3" s="75"/>
      <c r="FE3" s="25" t="s">
        <v>4</v>
      </c>
      <c r="FF3" s="26" t="s">
        <v>5</v>
      </c>
      <c r="FH3" s="68" t="s">
        <v>3</v>
      </c>
      <c r="FI3" s="69"/>
      <c r="FJ3" s="9" t="s">
        <v>4</v>
      </c>
      <c r="FK3" s="15" t="s">
        <v>5</v>
      </c>
      <c r="FM3" s="74" t="s">
        <v>3</v>
      </c>
      <c r="FN3" s="75"/>
      <c r="FO3" s="25" t="s">
        <v>4</v>
      </c>
      <c r="FP3" s="26" t="s">
        <v>5</v>
      </c>
      <c r="FR3" s="68" t="s">
        <v>3</v>
      </c>
      <c r="FS3" s="69"/>
      <c r="FT3" s="9" t="s">
        <v>4</v>
      </c>
      <c r="FU3" s="15" t="s">
        <v>5</v>
      </c>
      <c r="FW3" s="74" t="s">
        <v>3</v>
      </c>
      <c r="FX3" s="75"/>
      <c r="FY3" s="25" t="s">
        <v>4</v>
      </c>
      <c r="FZ3" s="26" t="s">
        <v>5</v>
      </c>
      <c r="GB3" s="68" t="s">
        <v>3</v>
      </c>
      <c r="GC3" s="69"/>
      <c r="GD3" s="9" t="s">
        <v>4</v>
      </c>
      <c r="GE3" s="15" t="s">
        <v>5</v>
      </c>
      <c r="GG3" s="74" t="s">
        <v>3</v>
      </c>
      <c r="GH3" s="75"/>
      <c r="GI3" s="25" t="s">
        <v>4</v>
      </c>
      <c r="GJ3" s="26" t="s">
        <v>5</v>
      </c>
      <c r="GL3" s="68" t="s">
        <v>3</v>
      </c>
      <c r="GM3" s="69"/>
      <c r="GN3" s="9" t="s">
        <v>4</v>
      </c>
      <c r="GO3" s="15" t="s">
        <v>5</v>
      </c>
      <c r="GQ3" s="74" t="s">
        <v>3</v>
      </c>
      <c r="GR3" s="75"/>
      <c r="GS3" s="25" t="s">
        <v>4</v>
      </c>
      <c r="GT3" s="26" t="s">
        <v>5</v>
      </c>
      <c r="GV3" s="68" t="s">
        <v>3</v>
      </c>
      <c r="GW3" s="69"/>
      <c r="GX3" s="9" t="s">
        <v>4</v>
      </c>
      <c r="GY3" s="15" t="s">
        <v>5</v>
      </c>
      <c r="HA3" s="74" t="s">
        <v>3</v>
      </c>
      <c r="HB3" s="75"/>
      <c r="HC3" s="25" t="s">
        <v>4</v>
      </c>
      <c r="HD3" s="26" t="s">
        <v>5</v>
      </c>
      <c r="HF3" s="68" t="s">
        <v>3</v>
      </c>
      <c r="HG3" s="69"/>
      <c r="HH3" s="9" t="s">
        <v>4</v>
      </c>
      <c r="HI3" s="15" t="s">
        <v>5</v>
      </c>
      <c r="HK3" s="74" t="s">
        <v>3</v>
      </c>
      <c r="HL3" s="75"/>
      <c r="HM3" s="25" t="s">
        <v>4</v>
      </c>
      <c r="HN3" s="26" t="s">
        <v>5</v>
      </c>
      <c r="HP3" s="68" t="s">
        <v>3</v>
      </c>
      <c r="HQ3" s="69"/>
      <c r="HR3" s="9" t="s">
        <v>4</v>
      </c>
      <c r="HS3" s="15" t="s">
        <v>5</v>
      </c>
      <c r="HU3" s="74" t="s">
        <v>3</v>
      </c>
      <c r="HV3" s="75"/>
      <c r="HW3" s="25" t="s">
        <v>4</v>
      </c>
      <c r="HX3" s="26" t="s">
        <v>5</v>
      </c>
      <c r="HZ3" s="68" t="s">
        <v>3</v>
      </c>
      <c r="IA3" s="69"/>
      <c r="IB3" s="9" t="s">
        <v>4</v>
      </c>
      <c r="IC3" s="15" t="s">
        <v>5</v>
      </c>
      <c r="IE3" s="74" t="s">
        <v>3</v>
      </c>
      <c r="IF3" s="75"/>
      <c r="IG3" s="25" t="s">
        <v>4</v>
      </c>
      <c r="IH3" s="26" t="s">
        <v>5</v>
      </c>
      <c r="IJ3" s="3"/>
      <c r="IK3" s="2"/>
      <c r="IL3" s="2"/>
      <c r="IN3" s="3"/>
      <c r="IO3" s="3"/>
      <c r="IP3" s="2"/>
      <c r="IQ3" s="2"/>
      <c r="IS3" s="3"/>
      <c r="IT3" s="3"/>
      <c r="IU3" s="2"/>
      <c r="IV3" s="2"/>
      <c r="IX3" s="3"/>
      <c r="IY3" s="3"/>
      <c r="IZ3" s="2"/>
      <c r="JA3" s="2"/>
      <c r="JC3" s="3"/>
      <c r="JD3" s="3"/>
      <c r="JE3" s="2"/>
      <c r="JF3" s="2"/>
      <c r="JH3" s="3"/>
      <c r="JI3" s="3"/>
      <c r="JJ3" s="2"/>
      <c r="JK3" s="2"/>
      <c r="JM3" s="3"/>
      <c r="JN3" s="3"/>
      <c r="JO3" s="2"/>
      <c r="JP3" s="2"/>
      <c r="JR3" s="3"/>
      <c r="JS3" s="3"/>
      <c r="JT3" s="2"/>
      <c r="JU3" s="2"/>
      <c r="JW3" s="84"/>
      <c r="JX3" s="84"/>
      <c r="JY3" s="2"/>
      <c r="JZ3" s="2"/>
      <c r="KB3" s="84"/>
      <c r="KC3" s="84"/>
      <c r="KD3" s="2"/>
      <c r="KE3" s="2"/>
      <c r="KG3" s="84"/>
      <c r="KH3" s="84"/>
      <c r="KI3" s="2"/>
      <c r="KJ3" s="2"/>
      <c r="KL3" s="84"/>
      <c r="KM3" s="84"/>
      <c r="KN3" s="2"/>
      <c r="KO3" s="2"/>
    </row>
    <row r="4" spans="1:301" s="43" customFormat="1" ht="14.45" customHeight="1" x14ac:dyDescent="0.2">
      <c r="A4" s="1"/>
      <c r="B4" s="1"/>
      <c r="C4" s="1"/>
      <c r="D4" s="70">
        <f>G4+F4</f>
        <v>0</v>
      </c>
      <c r="E4" s="71"/>
      <c r="F4" s="64">
        <f>SUM(Tableau1[[#Totals],[DEBIT]],Tableau3[[#Totals],[DEBIT]],F7:F11)</f>
        <v>0</v>
      </c>
      <c r="G4" s="66">
        <f>SUM(Tableau1[[#Totals],[CREDIT]],Tableau3[[#Totals],[CREDIT]],G7:G11)</f>
        <v>0</v>
      </c>
      <c r="I4" s="76">
        <f>L4+K4</f>
        <v>0</v>
      </c>
      <c r="J4" s="77"/>
      <c r="K4" s="80">
        <f>SUM(Tableau16[[#Totals],[DEBIT]],Tableau33[[#Totals],[DEBIT]],K7:K11)</f>
        <v>0</v>
      </c>
      <c r="L4" s="82">
        <f>SUM(Tableau16[[#Totals],[CREDIT]],Tableau33[[#Totals],[CREDIT]],L7:L11)</f>
        <v>0</v>
      </c>
      <c r="N4" s="70">
        <f>Q4+P4</f>
        <v>0</v>
      </c>
      <c r="O4" s="71"/>
      <c r="P4" s="64">
        <f>SUM(Tableau1100[[#Totals],[DEBIT]],Tableau3102[[#Totals],[DEBIT]],P7:P11)</f>
        <v>0</v>
      </c>
      <c r="Q4" s="66">
        <f>SUM(Tableau1100[[#Totals],[CREDIT]],Tableau3102[[#Totals],[CREDIT]],Q7:Q11)</f>
        <v>0</v>
      </c>
      <c r="S4" s="76">
        <f>V4+U4</f>
        <v>0</v>
      </c>
      <c r="T4" s="77"/>
      <c r="U4" s="80">
        <f>SUM(Tableau16103[[#Totals],[DEBIT]],Tableau33104[[#Totals],[DEBIT]],U7:U11)</f>
        <v>0</v>
      </c>
      <c r="V4" s="82">
        <f>SUM(Tableau16103[[#Totals],[CREDIT]],Tableau33104[[#Totals],[CREDIT]],V7:V11)</f>
        <v>0</v>
      </c>
      <c r="X4" s="70">
        <f>AA4+Z4</f>
        <v>0</v>
      </c>
      <c r="Y4" s="71"/>
      <c r="Z4" s="64">
        <f>SUM(Tableau1105[[#Totals],[DEBIT]],Tableau3106[[#Totals],[DEBIT]],Z7:Z11)</f>
        <v>0</v>
      </c>
      <c r="AA4" s="66">
        <f>SUM(Tableau1105[[#Totals],[CREDIT]],Tableau3106[[#Totals],[CREDIT]],AA7:AA11)</f>
        <v>0</v>
      </c>
      <c r="AC4" s="76">
        <f>AF4+AE4</f>
        <v>0</v>
      </c>
      <c r="AD4" s="77"/>
      <c r="AE4" s="80">
        <f>SUM(Tableau16107[[#Totals],[DEBIT]],Tableau33108[[#Totals],[DEBIT]],AE7:AE11)</f>
        <v>0</v>
      </c>
      <c r="AF4" s="82">
        <f>SUM(Tableau16107[[#Totals],[CREDIT]],Tableau33108[[#Totals],[CREDIT]],AF7:AF11)</f>
        <v>0</v>
      </c>
      <c r="AH4" s="70">
        <f>AK4+AJ4</f>
        <v>0</v>
      </c>
      <c r="AI4" s="71"/>
      <c r="AJ4" s="64">
        <f>SUM(Tableau1100109[[#Totals],[DEBIT]],Tableau3102110[[#Totals],[DEBIT]],AJ7:AJ11)</f>
        <v>0</v>
      </c>
      <c r="AK4" s="66">
        <f>SUM(Tableau1100109[[#Totals],[CREDIT]],Tableau3102110[[#Totals],[CREDIT]],AK7:AK11)</f>
        <v>0</v>
      </c>
      <c r="AM4" s="76">
        <f>AP4+AO4</f>
        <v>0</v>
      </c>
      <c r="AN4" s="77"/>
      <c r="AO4" s="80">
        <f>SUM(Tableau16103111[[#Totals],[DEBIT]],Tableau33104112[[#Totals],[DEBIT]],AO7:AO11)</f>
        <v>0</v>
      </c>
      <c r="AP4" s="82">
        <f>SUM(Tableau16103111[[#Totals],[CREDIT]],Tableau33104112[[#Totals],[CREDIT]],AP7:AP11)</f>
        <v>0</v>
      </c>
      <c r="AR4" s="70">
        <f>AU4+AT4</f>
        <v>0</v>
      </c>
      <c r="AS4" s="71"/>
      <c r="AT4" s="64">
        <f>SUM(Tableau1113[[#Totals],[DEBIT]],Tableau3114[[#Totals],[DEBIT]],AT7:AT11)</f>
        <v>0</v>
      </c>
      <c r="AU4" s="66">
        <f>SUM(Tableau1113[[#Totals],[CREDIT]],Tableau3114[[#Totals],[CREDIT]],AU7:AU11)</f>
        <v>0</v>
      </c>
      <c r="AW4" s="76">
        <f>AZ4+AY4</f>
        <v>0</v>
      </c>
      <c r="AX4" s="77"/>
      <c r="AY4" s="80">
        <f>SUM(Tableau16115[[#Totals],[DEBIT]],Tableau33116[[#Totals],[DEBIT]],AY7:AY11)</f>
        <v>0</v>
      </c>
      <c r="AZ4" s="82">
        <f>SUM(Tableau16115[[#Totals],[CREDIT]],Tableau33116[[#Totals],[CREDIT]],AZ7:AZ11)</f>
        <v>0</v>
      </c>
      <c r="BB4" s="70">
        <f>BE4+BD4</f>
        <v>0</v>
      </c>
      <c r="BC4" s="71"/>
      <c r="BD4" s="64">
        <f>SUM(Tableau1100117[[#Totals],[DEBIT]],Tableau3102118[[#Totals],[DEBIT]],BD7:BD11)</f>
        <v>0</v>
      </c>
      <c r="BE4" s="66">
        <f>SUM(Tableau1100117[[#Totals],[CREDIT]],Tableau3102118[[#Totals],[CREDIT]],BE7:BE11)</f>
        <v>0</v>
      </c>
      <c r="BG4" s="76">
        <f>BJ4+BI4</f>
        <v>0</v>
      </c>
      <c r="BH4" s="77"/>
      <c r="BI4" s="80">
        <f>SUM(Tableau16103119[[#Totals],[DEBIT]],Tableau33104120[[#Totals],[DEBIT]],BI7:BI11)</f>
        <v>0</v>
      </c>
      <c r="BJ4" s="82">
        <f>SUM(Tableau16103119[[#Totals],[CREDIT]],Tableau33104120[[#Totals],[CREDIT]],BJ7:BJ11)</f>
        <v>0</v>
      </c>
      <c r="BL4" s="70">
        <f>BO4+BN4</f>
        <v>0</v>
      </c>
      <c r="BM4" s="71"/>
      <c r="BN4" s="64">
        <f>SUM(Tableau1105121[[#Totals],[DEBIT]],Tableau3106122[[#Totals],[DEBIT]],BN7:BN11)</f>
        <v>0</v>
      </c>
      <c r="BO4" s="66">
        <f>SUM(Tableau1105121[[#Totals],[CREDIT]],Tableau3106122[[#Totals],[CREDIT]],BO7:BO11)</f>
        <v>0</v>
      </c>
      <c r="BQ4" s="76">
        <f>BT4+BS4</f>
        <v>0</v>
      </c>
      <c r="BR4" s="77"/>
      <c r="BS4" s="80">
        <f>SUM(Tableau16107123[[#Totals],[DEBIT]],Tableau33108124[[#Totals],[DEBIT]],BS7:BS11)</f>
        <v>0</v>
      </c>
      <c r="BT4" s="82">
        <f>SUM(Tableau16107123[[#Totals],[CREDIT]],Tableau33108124[[#Totals],[CREDIT]],BT7:BT11)</f>
        <v>0</v>
      </c>
      <c r="BV4" s="70">
        <f>BY4+BX4</f>
        <v>0</v>
      </c>
      <c r="BW4" s="71"/>
      <c r="BX4" s="64">
        <f>SUM(Tableau1100109125[[#Totals],[DEBIT]],Tableau3102110126[[#Totals],[DEBIT]],BX7:BX11)</f>
        <v>0</v>
      </c>
      <c r="BY4" s="66">
        <f>SUM(Tableau1100109125[[#Totals],[CREDIT]],Tableau3102110126[[#Totals],[CREDIT]],BY7:BY11)</f>
        <v>0</v>
      </c>
      <c r="CA4" s="76">
        <f>CD4+CC4</f>
        <v>0</v>
      </c>
      <c r="CB4" s="77"/>
      <c r="CC4" s="80">
        <f>SUM(Tableau16103111127[[#Totals],[DEBIT]],Tableau33104112128[[#Totals],[DEBIT]],CC7:CC11)</f>
        <v>0</v>
      </c>
      <c r="CD4" s="82">
        <f>SUM(Tableau16103111127[[#Totals],[CREDIT]],Tableau33104112128[[#Totals],[CREDIT]],CD7:CD11)</f>
        <v>0</v>
      </c>
      <c r="CF4" s="70">
        <f>CI4+CH4</f>
        <v>0</v>
      </c>
      <c r="CG4" s="71"/>
      <c r="CH4" s="64">
        <f>SUM(Tableau1129[[#Totals],[DEBIT]],Tableau3130[[#Totals],[DEBIT]],CH7:CH11)</f>
        <v>0</v>
      </c>
      <c r="CI4" s="66">
        <f>SUM(Tableau1129[[#Totals],[CREDIT]],Tableau3130[[#Totals],[CREDIT]],CI7:CI11)</f>
        <v>0</v>
      </c>
      <c r="CK4" s="76">
        <f>CN4+CM4</f>
        <v>0</v>
      </c>
      <c r="CL4" s="77"/>
      <c r="CM4" s="80">
        <f>SUM(Tableau16131[[#Totals],[DEBIT]],Tableau33132[[#Totals],[DEBIT]],CM7:CM11)</f>
        <v>0</v>
      </c>
      <c r="CN4" s="82">
        <f>SUM(Tableau16131[[#Totals],[CREDIT]],Tableau33132[[#Totals],[CREDIT]],CN7:CN11)</f>
        <v>0</v>
      </c>
      <c r="CP4" s="70">
        <f>CS4+CR4</f>
        <v>0</v>
      </c>
      <c r="CQ4" s="71"/>
      <c r="CR4" s="64">
        <f>SUM(Tableau1100133[[#Totals],[DEBIT]],Tableau3102134[[#Totals],[DEBIT]],CR7:CR11)</f>
        <v>0</v>
      </c>
      <c r="CS4" s="66">
        <f>SUM(Tableau1100133[[#Totals],[CREDIT]],Tableau3102134[[#Totals],[CREDIT]],CS7:CS11)</f>
        <v>0</v>
      </c>
      <c r="CU4" s="76">
        <f>CX4+CW4</f>
        <v>0</v>
      </c>
      <c r="CV4" s="77"/>
      <c r="CW4" s="80">
        <f>SUM(Tableau16103135[[#Totals],[DEBIT]],Tableau33104136[[#Totals],[DEBIT]],CW7:CW11)</f>
        <v>0</v>
      </c>
      <c r="CX4" s="82">
        <f>SUM(Tableau16103135[[#Totals],[CREDIT]],Tableau33104136[[#Totals],[CREDIT]],CX7:CX11)</f>
        <v>0</v>
      </c>
      <c r="CZ4" s="70">
        <f>DC4+DB4</f>
        <v>0</v>
      </c>
      <c r="DA4" s="71"/>
      <c r="DB4" s="64">
        <f>SUM(Tableau1105137[[#Totals],[DEBIT]],Tableau3106138[[#Totals],[DEBIT]],DB7:DB11)</f>
        <v>0</v>
      </c>
      <c r="DC4" s="66">
        <f>SUM(Tableau1105137[[#Totals],[CREDIT]],Tableau3106138[[#Totals],[CREDIT]],DC7:DC11)</f>
        <v>0</v>
      </c>
      <c r="DE4" s="76">
        <f>DH4+DG4</f>
        <v>0</v>
      </c>
      <c r="DF4" s="77"/>
      <c r="DG4" s="80">
        <f>SUM(Tableau16107139[[#Totals],[DEBIT]],Tableau33108140[[#Totals],[DEBIT]],DG7:DG11)</f>
        <v>0</v>
      </c>
      <c r="DH4" s="82">
        <f>SUM(Tableau16107139[[#Totals],[CREDIT]],Tableau33108140[[#Totals],[CREDIT]],DH7:DH11)</f>
        <v>0</v>
      </c>
      <c r="DJ4" s="70">
        <f>DM4+DL4</f>
        <v>0</v>
      </c>
      <c r="DK4" s="71"/>
      <c r="DL4" s="64">
        <f>SUM(Tableau1100109141[[#Totals],[DEBIT]],Tableau3102110142[[#Totals],[DEBIT]],DL7:DL11)</f>
        <v>0</v>
      </c>
      <c r="DM4" s="66">
        <f>SUM(Tableau1100109141[[#Totals],[CREDIT]],Tableau3102110142[[#Totals],[CREDIT]],DM7:DM11)</f>
        <v>0</v>
      </c>
      <c r="DO4" s="76">
        <f>DR4+DQ4</f>
        <v>0</v>
      </c>
      <c r="DP4" s="77"/>
      <c r="DQ4" s="80">
        <f>SUM(Tableau16103111143[[#Totals],[DEBIT]],Tableau33104112144[[#Totals],[DEBIT]],DQ7:DQ11)</f>
        <v>0</v>
      </c>
      <c r="DR4" s="82">
        <f>SUM(Tableau16103111143[[#Totals],[CREDIT]],Tableau33104112144[[#Totals],[CREDIT]],DR7:DR11)</f>
        <v>0</v>
      </c>
      <c r="DT4" s="70">
        <f>DW4+DV4</f>
        <v>0</v>
      </c>
      <c r="DU4" s="71"/>
      <c r="DV4" s="64">
        <f>SUM(Tableau1145[[#Totals],[DEBIT]],Tableau3146[[#Totals],[DEBIT]],DV7:DV11)</f>
        <v>0</v>
      </c>
      <c r="DW4" s="66">
        <f>SUM(Tableau1145[[#Totals],[CREDIT]],Tableau3146[[#Totals],[CREDIT]],DW7:DW11)</f>
        <v>0</v>
      </c>
      <c r="DY4" s="76">
        <f>EB4+EA4</f>
        <v>0</v>
      </c>
      <c r="DZ4" s="77"/>
      <c r="EA4" s="80">
        <f>SUM(Tableau16147[[#Totals],[DEBIT]],Tableau33148[[#Totals],[DEBIT]],EA7:EA11)</f>
        <v>0</v>
      </c>
      <c r="EB4" s="82">
        <f>SUM(Tableau16147[[#Totals],[CREDIT]],Tableau33148[[#Totals],[CREDIT]],EB7:EB11)</f>
        <v>0</v>
      </c>
      <c r="ED4" s="70">
        <f>EG4+EF4</f>
        <v>0</v>
      </c>
      <c r="EE4" s="71"/>
      <c r="EF4" s="64">
        <f>SUM(Tableau1100149[[#Totals],[DEBIT]],Tableau3102150[[#Totals],[DEBIT]],EF7:EF11)</f>
        <v>0</v>
      </c>
      <c r="EG4" s="66">
        <f>SUM(Tableau1100149[[#Totals],[CREDIT]],Tableau3102150[[#Totals],[CREDIT]],EG7:EG11)</f>
        <v>0</v>
      </c>
      <c r="EI4" s="76">
        <f>EL4+EK4</f>
        <v>0</v>
      </c>
      <c r="EJ4" s="77"/>
      <c r="EK4" s="80">
        <f>SUM(Tableau16103151[[#Totals],[DEBIT]],Tableau33104152[[#Totals],[DEBIT]],EK7:EK11)</f>
        <v>0</v>
      </c>
      <c r="EL4" s="82">
        <f>SUM(Tableau16103151[[#Totals],[CREDIT]],Tableau33104152[[#Totals],[CREDIT]],EL7:EL11)</f>
        <v>0</v>
      </c>
      <c r="EN4" s="70">
        <f>EQ4+EP4</f>
        <v>0</v>
      </c>
      <c r="EO4" s="71"/>
      <c r="EP4" s="64">
        <f>SUM(Tableau1105153[[#Totals],[DEBIT]],Tableau3106154[[#Totals],[DEBIT]],EP7:EP11)</f>
        <v>0</v>
      </c>
      <c r="EQ4" s="66">
        <f>SUM(Tableau1105153[[#Totals],[CREDIT]],Tableau3106154[[#Totals],[CREDIT]],EQ7:EQ11)</f>
        <v>0</v>
      </c>
      <c r="ES4" s="76">
        <f>EV4+EU4</f>
        <v>0</v>
      </c>
      <c r="ET4" s="77"/>
      <c r="EU4" s="80">
        <f>SUM(Tableau16107155[[#Totals],[DEBIT]],Tableau33108156[[#Totals],[DEBIT]],EU7:EU11)</f>
        <v>0</v>
      </c>
      <c r="EV4" s="82">
        <f>SUM(Tableau16107155[[#Totals],[CREDIT]],Tableau33108156[[#Totals],[CREDIT]],EV7:EV11)</f>
        <v>0</v>
      </c>
      <c r="EX4" s="70">
        <f>FA4+EZ4</f>
        <v>0</v>
      </c>
      <c r="EY4" s="71"/>
      <c r="EZ4" s="64">
        <f>SUM(Tableau1100109157[[#Totals],[DEBIT]],Tableau3102110158[[#Totals],[DEBIT]],EZ7:EZ11)</f>
        <v>0</v>
      </c>
      <c r="FA4" s="66">
        <f>SUM(Tableau1100109157[[#Totals],[CREDIT]],Tableau3102110158[[#Totals],[CREDIT]],FA7:FA11)</f>
        <v>0</v>
      </c>
      <c r="FC4" s="76">
        <f>FF4+FE4</f>
        <v>0</v>
      </c>
      <c r="FD4" s="77"/>
      <c r="FE4" s="80">
        <f>SUM(Tableau16103111159[[#Totals],[DEBIT]],Tableau33104112160[[#Totals],[DEBIT]],FE7:FE11)</f>
        <v>0</v>
      </c>
      <c r="FF4" s="82">
        <f>SUM(Tableau16103111159[[#Totals],[CREDIT]],Tableau33104112160[[#Totals],[CREDIT]],FF7:FF11)</f>
        <v>0</v>
      </c>
      <c r="FH4" s="70">
        <f>FK4+FJ4</f>
        <v>0</v>
      </c>
      <c r="FI4" s="71"/>
      <c r="FJ4" s="64">
        <f>SUM(Tableau1161[[#Totals],[DEBIT]],Tableau3162[[#Totals],[DEBIT]],FJ7:FJ11)</f>
        <v>0</v>
      </c>
      <c r="FK4" s="66">
        <f>SUM(Tableau1161[[#Totals],[CREDIT]],Tableau3162[[#Totals],[CREDIT]],FK7:FK11)</f>
        <v>0</v>
      </c>
      <c r="FM4" s="76">
        <f>FP4+FO4</f>
        <v>0</v>
      </c>
      <c r="FN4" s="77"/>
      <c r="FO4" s="80">
        <f>SUM(Tableau16163[[#Totals],[DEBIT]],Tableau33164[[#Totals],[DEBIT]],FO7:FO11)</f>
        <v>0</v>
      </c>
      <c r="FP4" s="82">
        <f>SUM(Tableau16163[[#Totals],[CREDIT]],Tableau33164[[#Totals],[CREDIT]],FP7:FP11)</f>
        <v>0</v>
      </c>
      <c r="FR4" s="70">
        <f>FU4+FT4</f>
        <v>0</v>
      </c>
      <c r="FS4" s="71"/>
      <c r="FT4" s="64">
        <f>SUM(Tableau1100165[[#Totals],[DEBIT]],Tableau3102166[[#Totals],[DEBIT]],FT7:FT11)</f>
        <v>0</v>
      </c>
      <c r="FU4" s="66">
        <f>SUM(Tableau1100165[[#Totals],[CREDIT]],Tableau3102166[[#Totals],[CREDIT]],FU7:FU11)</f>
        <v>0</v>
      </c>
      <c r="FW4" s="76">
        <f>FZ4+FY4</f>
        <v>0</v>
      </c>
      <c r="FX4" s="77"/>
      <c r="FY4" s="80">
        <f>SUM(Tableau16103167[[#Totals],[DEBIT]],Tableau33104168[[#Totals],[DEBIT]],FY7:FY11)</f>
        <v>0</v>
      </c>
      <c r="FZ4" s="82">
        <f>SUM(Tableau16103167[[#Totals],[CREDIT]],Tableau33104168[[#Totals],[CREDIT]],FZ7:FZ11)</f>
        <v>0</v>
      </c>
      <c r="GB4" s="70">
        <f>GE4+GD4</f>
        <v>0</v>
      </c>
      <c r="GC4" s="71"/>
      <c r="GD4" s="64">
        <f>SUM(Tableau1105169[[#Totals],[DEBIT]],Tableau3106170[[#Totals],[DEBIT]],GD7:GD11)</f>
        <v>0</v>
      </c>
      <c r="GE4" s="66">
        <f>SUM(Tableau1105169[[#Totals],[CREDIT]],Tableau3106170[[#Totals],[CREDIT]],GE7:GE11)</f>
        <v>0</v>
      </c>
      <c r="GG4" s="76">
        <f>GJ4+GI4</f>
        <v>0</v>
      </c>
      <c r="GH4" s="77"/>
      <c r="GI4" s="80">
        <f>SUM(Tableau16107171[[#Totals],[DEBIT]],Tableau33108172[[#Totals],[DEBIT]],GI7:GI11)</f>
        <v>0</v>
      </c>
      <c r="GJ4" s="82">
        <f>SUM(Tableau16107171[[#Totals],[CREDIT]],Tableau33108172[[#Totals],[CREDIT]],GJ7:GJ11)</f>
        <v>0</v>
      </c>
      <c r="GL4" s="70">
        <f>GO4+GN4</f>
        <v>0</v>
      </c>
      <c r="GM4" s="71"/>
      <c r="GN4" s="64">
        <f>SUM(Tableau1100109173[[#Totals],[DEBIT]],Tableau3102110174[[#Totals],[DEBIT]],GN7:GN11)</f>
        <v>0</v>
      </c>
      <c r="GO4" s="66">
        <f>SUM(Tableau1100109173[[#Totals],[CREDIT]],Tableau3102110174[[#Totals],[CREDIT]],GO7:GO11)</f>
        <v>0</v>
      </c>
      <c r="GQ4" s="76">
        <f>GT4+GS4</f>
        <v>0</v>
      </c>
      <c r="GR4" s="77"/>
      <c r="GS4" s="80">
        <f>SUM(Tableau16103111175[[#Totals],[DEBIT]],Tableau33104112176[[#Totals],[DEBIT]],GS7:GS11)</f>
        <v>0</v>
      </c>
      <c r="GT4" s="82">
        <f>SUM(Tableau16103111175[[#Totals],[CREDIT]],Tableau33104112176[[#Totals],[CREDIT]],GT7:GT11)</f>
        <v>0</v>
      </c>
      <c r="GV4" s="70">
        <f>GY4+GX4</f>
        <v>0</v>
      </c>
      <c r="GW4" s="71"/>
      <c r="GX4" s="64">
        <f>SUM(Tableau1177[[#Totals],[DEBIT]],Tableau3178[[#Totals],[DEBIT]],GX7:GX11)</f>
        <v>0</v>
      </c>
      <c r="GY4" s="66">
        <f>SUM(Tableau1177[[#Totals],[CREDIT]],Tableau3178[[#Totals],[CREDIT]],GY7:GY11)</f>
        <v>0</v>
      </c>
      <c r="HA4" s="76">
        <f>HD4+HC4</f>
        <v>0</v>
      </c>
      <c r="HB4" s="77"/>
      <c r="HC4" s="80">
        <f>SUM(Tableau16179[[#Totals],[DEBIT]],Tableau33180[[#Totals],[DEBIT]],HC7:HC11)</f>
        <v>0</v>
      </c>
      <c r="HD4" s="82">
        <f>SUM(Tableau16179[[#Totals],[CREDIT]],Tableau33180[[#Totals],[CREDIT]],HD7:HD11)</f>
        <v>0</v>
      </c>
      <c r="HF4" s="70">
        <f>HI4+HH4</f>
        <v>0</v>
      </c>
      <c r="HG4" s="71"/>
      <c r="HH4" s="64">
        <f>SUM(Tableau1100181[[#Totals],[DEBIT]],Tableau3102182[[#Totals],[DEBIT]],HH7:HH11)</f>
        <v>0</v>
      </c>
      <c r="HI4" s="66">
        <f>SUM(Tableau1100181[[#Totals],[CREDIT]],Tableau3102182[[#Totals],[CREDIT]],HI7:HI11)</f>
        <v>0</v>
      </c>
      <c r="HK4" s="76">
        <f>HN4+HM4</f>
        <v>0</v>
      </c>
      <c r="HL4" s="77"/>
      <c r="HM4" s="80">
        <f>SUM(Tableau16103183[[#Totals],[DEBIT]],Tableau33104184[[#Totals],[DEBIT]],HM7:HM11)</f>
        <v>0</v>
      </c>
      <c r="HN4" s="82">
        <f>SUM(Tableau16103183[[#Totals],[CREDIT]],Tableau33104184[[#Totals],[CREDIT]],HN7:HN11)</f>
        <v>0</v>
      </c>
      <c r="HP4" s="70">
        <f>HS4+HR4</f>
        <v>0</v>
      </c>
      <c r="HQ4" s="71"/>
      <c r="HR4" s="64">
        <f>SUM(Tableau1105185[[#Totals],[DEBIT]],Tableau3106186[[#Totals],[DEBIT]],HR7:HR11)</f>
        <v>0</v>
      </c>
      <c r="HS4" s="66">
        <f>SUM(Tableau1105185[[#Totals],[CREDIT]],Tableau3106186[[#Totals],[CREDIT]],HS7:HS11)</f>
        <v>0</v>
      </c>
      <c r="HU4" s="76">
        <f>HX4+HW4</f>
        <v>0</v>
      </c>
      <c r="HV4" s="77"/>
      <c r="HW4" s="80">
        <f>SUM(Tableau16107187[[#Totals],[DEBIT]],Tableau33108188[[#Totals],[DEBIT]],HW7:HW11)</f>
        <v>0</v>
      </c>
      <c r="HX4" s="82">
        <f>SUM(Tableau16107187[[#Totals],[CREDIT]],Tableau33108188[[#Totals],[CREDIT]],HX7:HX11)</f>
        <v>0</v>
      </c>
      <c r="HZ4" s="70">
        <f>IC4+IB4</f>
        <v>0</v>
      </c>
      <c r="IA4" s="71"/>
      <c r="IB4" s="64">
        <f>SUM(Tableau1100109189[[#Totals],[DEBIT]],Tableau3102110190[[#Totals],[DEBIT]],IB7:IB11)</f>
        <v>0</v>
      </c>
      <c r="IC4" s="66">
        <f>SUM(Tableau1100109189[[#Totals],[CREDIT]],Tableau3102110190[[#Totals],[CREDIT]],IC7:IC11)</f>
        <v>0</v>
      </c>
      <c r="IE4" s="76">
        <f>IH4+IG4</f>
        <v>0</v>
      </c>
      <c r="IF4" s="77"/>
      <c r="IG4" s="80">
        <f>SUM(Tableau16103111191[[#Totals],[DEBIT]],Tableau33104112192[[#Totals],[DEBIT]],IG7:IG11)</f>
        <v>0</v>
      </c>
      <c r="IH4" s="82">
        <f>SUM(Tableau16103111191[[#Totals],[CREDIT]],Tableau33104112192[[#Totals],[CREDIT]],IH7:IH11)</f>
        <v>0</v>
      </c>
    </row>
    <row r="5" spans="1:301" ht="15" customHeight="1" thickBot="1" x14ac:dyDescent="0.3">
      <c r="A5" s="46"/>
      <c r="D5" s="72"/>
      <c r="E5" s="73"/>
      <c r="F5" s="65"/>
      <c r="G5" s="67"/>
      <c r="I5" s="78"/>
      <c r="J5" s="79"/>
      <c r="K5" s="81"/>
      <c r="L5" s="83"/>
      <c r="N5" s="72"/>
      <c r="O5" s="73"/>
      <c r="P5" s="65"/>
      <c r="Q5" s="67"/>
      <c r="S5" s="78"/>
      <c r="T5" s="79"/>
      <c r="U5" s="81"/>
      <c r="V5" s="83"/>
      <c r="X5" s="72"/>
      <c r="Y5" s="73"/>
      <c r="Z5" s="65"/>
      <c r="AA5" s="67"/>
      <c r="AC5" s="78"/>
      <c r="AD5" s="79"/>
      <c r="AE5" s="81"/>
      <c r="AF5" s="83"/>
      <c r="AH5" s="72"/>
      <c r="AI5" s="73"/>
      <c r="AJ5" s="65"/>
      <c r="AK5" s="67"/>
      <c r="AM5" s="78"/>
      <c r="AN5" s="79"/>
      <c r="AO5" s="81"/>
      <c r="AP5" s="83"/>
      <c r="AR5" s="72"/>
      <c r="AS5" s="73"/>
      <c r="AT5" s="65"/>
      <c r="AU5" s="67"/>
      <c r="AW5" s="78"/>
      <c r="AX5" s="79"/>
      <c r="AY5" s="81"/>
      <c r="AZ5" s="83"/>
      <c r="BB5" s="72"/>
      <c r="BC5" s="73"/>
      <c r="BD5" s="65"/>
      <c r="BE5" s="67"/>
      <c r="BG5" s="78"/>
      <c r="BH5" s="79"/>
      <c r="BI5" s="81"/>
      <c r="BJ5" s="83"/>
      <c r="BL5" s="72"/>
      <c r="BM5" s="73"/>
      <c r="BN5" s="65"/>
      <c r="BO5" s="67"/>
      <c r="BQ5" s="78"/>
      <c r="BR5" s="79"/>
      <c r="BS5" s="81"/>
      <c r="BT5" s="83"/>
      <c r="BV5" s="72"/>
      <c r="BW5" s="73"/>
      <c r="BX5" s="65"/>
      <c r="BY5" s="67"/>
      <c r="CA5" s="78"/>
      <c r="CB5" s="79"/>
      <c r="CC5" s="81"/>
      <c r="CD5" s="83"/>
      <c r="CF5" s="72"/>
      <c r="CG5" s="73"/>
      <c r="CH5" s="65"/>
      <c r="CI5" s="67"/>
      <c r="CK5" s="78"/>
      <c r="CL5" s="79"/>
      <c r="CM5" s="81"/>
      <c r="CN5" s="83"/>
      <c r="CP5" s="72"/>
      <c r="CQ5" s="73"/>
      <c r="CR5" s="65"/>
      <c r="CS5" s="67"/>
      <c r="CU5" s="78"/>
      <c r="CV5" s="79"/>
      <c r="CW5" s="81"/>
      <c r="CX5" s="83"/>
      <c r="CZ5" s="72"/>
      <c r="DA5" s="73"/>
      <c r="DB5" s="65"/>
      <c r="DC5" s="67"/>
      <c r="DE5" s="78"/>
      <c r="DF5" s="79"/>
      <c r="DG5" s="81"/>
      <c r="DH5" s="83"/>
      <c r="DJ5" s="72"/>
      <c r="DK5" s="73"/>
      <c r="DL5" s="65"/>
      <c r="DM5" s="67"/>
      <c r="DO5" s="78"/>
      <c r="DP5" s="79"/>
      <c r="DQ5" s="81"/>
      <c r="DR5" s="83"/>
      <c r="DT5" s="72"/>
      <c r="DU5" s="73"/>
      <c r="DV5" s="65"/>
      <c r="DW5" s="67"/>
      <c r="DY5" s="78"/>
      <c r="DZ5" s="79"/>
      <c r="EA5" s="81"/>
      <c r="EB5" s="83"/>
      <c r="ED5" s="72"/>
      <c r="EE5" s="73"/>
      <c r="EF5" s="65"/>
      <c r="EG5" s="67"/>
      <c r="EI5" s="78"/>
      <c r="EJ5" s="79"/>
      <c r="EK5" s="81"/>
      <c r="EL5" s="83"/>
      <c r="EN5" s="72"/>
      <c r="EO5" s="73"/>
      <c r="EP5" s="65"/>
      <c r="EQ5" s="67"/>
      <c r="ES5" s="78"/>
      <c r="ET5" s="79"/>
      <c r="EU5" s="81"/>
      <c r="EV5" s="83"/>
      <c r="EX5" s="72"/>
      <c r="EY5" s="73"/>
      <c r="EZ5" s="65"/>
      <c r="FA5" s="67"/>
      <c r="FC5" s="78"/>
      <c r="FD5" s="79"/>
      <c r="FE5" s="81"/>
      <c r="FF5" s="83"/>
      <c r="FH5" s="72"/>
      <c r="FI5" s="73"/>
      <c r="FJ5" s="65"/>
      <c r="FK5" s="67"/>
      <c r="FM5" s="78"/>
      <c r="FN5" s="79"/>
      <c r="FO5" s="81"/>
      <c r="FP5" s="83"/>
      <c r="FR5" s="72"/>
      <c r="FS5" s="73"/>
      <c r="FT5" s="65"/>
      <c r="FU5" s="67"/>
      <c r="FW5" s="78"/>
      <c r="FX5" s="79"/>
      <c r="FY5" s="81"/>
      <c r="FZ5" s="83"/>
      <c r="GB5" s="72"/>
      <c r="GC5" s="73"/>
      <c r="GD5" s="65"/>
      <c r="GE5" s="67"/>
      <c r="GG5" s="78"/>
      <c r="GH5" s="79"/>
      <c r="GI5" s="81"/>
      <c r="GJ5" s="83"/>
      <c r="GL5" s="72"/>
      <c r="GM5" s="73"/>
      <c r="GN5" s="65"/>
      <c r="GO5" s="67"/>
      <c r="GQ5" s="78"/>
      <c r="GR5" s="79"/>
      <c r="GS5" s="81"/>
      <c r="GT5" s="83"/>
      <c r="GV5" s="72"/>
      <c r="GW5" s="73"/>
      <c r="GX5" s="65"/>
      <c r="GY5" s="67"/>
      <c r="HA5" s="78"/>
      <c r="HB5" s="79"/>
      <c r="HC5" s="81"/>
      <c r="HD5" s="83"/>
      <c r="HF5" s="72"/>
      <c r="HG5" s="73"/>
      <c r="HH5" s="65"/>
      <c r="HI5" s="67"/>
      <c r="HK5" s="78"/>
      <c r="HL5" s="79"/>
      <c r="HM5" s="81"/>
      <c r="HN5" s="83"/>
      <c r="HP5" s="72"/>
      <c r="HQ5" s="73"/>
      <c r="HR5" s="65"/>
      <c r="HS5" s="67"/>
      <c r="HU5" s="78"/>
      <c r="HV5" s="79"/>
      <c r="HW5" s="81"/>
      <c r="HX5" s="83"/>
      <c r="HZ5" s="72"/>
      <c r="IA5" s="73"/>
      <c r="IB5" s="65"/>
      <c r="IC5" s="67"/>
      <c r="IE5" s="78"/>
      <c r="IF5" s="79"/>
      <c r="IG5" s="81"/>
      <c r="IH5" s="83"/>
    </row>
    <row r="6" spans="1:301" ht="15" thickTop="1" x14ac:dyDescent="0.2">
      <c r="A6" s="47"/>
      <c r="D6" s="16" t="s">
        <v>6</v>
      </c>
      <c r="E6" s="14"/>
      <c r="F6" s="14"/>
      <c r="G6" s="17"/>
      <c r="I6" s="27" t="s">
        <v>6</v>
      </c>
      <c r="J6" s="28"/>
      <c r="K6" s="28"/>
      <c r="L6" s="29"/>
      <c r="N6" s="16" t="s">
        <v>6</v>
      </c>
      <c r="O6" s="14"/>
      <c r="P6" s="14"/>
      <c r="Q6" s="17"/>
      <c r="S6" s="27" t="s">
        <v>6</v>
      </c>
      <c r="T6" s="28"/>
      <c r="U6" s="28"/>
      <c r="V6" s="29"/>
      <c r="X6" s="16" t="s">
        <v>6</v>
      </c>
      <c r="Y6" s="14"/>
      <c r="Z6" s="14"/>
      <c r="AA6" s="17"/>
      <c r="AC6" s="27" t="s">
        <v>6</v>
      </c>
      <c r="AD6" s="28"/>
      <c r="AE6" s="28"/>
      <c r="AF6" s="29"/>
      <c r="AH6" s="16" t="s">
        <v>6</v>
      </c>
      <c r="AI6" s="14"/>
      <c r="AJ6" s="14"/>
      <c r="AK6" s="17"/>
      <c r="AM6" s="27" t="s">
        <v>6</v>
      </c>
      <c r="AN6" s="28"/>
      <c r="AO6" s="28"/>
      <c r="AP6" s="29"/>
      <c r="AR6" s="16" t="s">
        <v>6</v>
      </c>
      <c r="AS6" s="14"/>
      <c r="AT6" s="14"/>
      <c r="AU6" s="17"/>
      <c r="AW6" s="27" t="s">
        <v>6</v>
      </c>
      <c r="AX6" s="28"/>
      <c r="AY6" s="28"/>
      <c r="AZ6" s="29"/>
      <c r="BB6" s="16" t="s">
        <v>6</v>
      </c>
      <c r="BC6" s="14"/>
      <c r="BD6" s="14"/>
      <c r="BE6" s="17"/>
      <c r="BG6" s="27" t="s">
        <v>6</v>
      </c>
      <c r="BH6" s="28"/>
      <c r="BI6" s="28"/>
      <c r="BJ6" s="29"/>
      <c r="BL6" s="16" t="s">
        <v>6</v>
      </c>
      <c r="BM6" s="14"/>
      <c r="BN6" s="14"/>
      <c r="BO6" s="17"/>
      <c r="BQ6" s="27" t="s">
        <v>6</v>
      </c>
      <c r="BR6" s="28"/>
      <c r="BS6" s="28"/>
      <c r="BT6" s="29"/>
      <c r="BV6" s="16" t="s">
        <v>6</v>
      </c>
      <c r="BW6" s="14"/>
      <c r="BX6" s="14"/>
      <c r="BY6" s="17"/>
      <c r="CA6" s="27" t="s">
        <v>6</v>
      </c>
      <c r="CB6" s="28"/>
      <c r="CC6" s="28"/>
      <c r="CD6" s="29"/>
      <c r="CF6" s="16" t="s">
        <v>6</v>
      </c>
      <c r="CG6" s="14"/>
      <c r="CH6" s="14"/>
      <c r="CI6" s="17"/>
      <c r="CK6" s="27" t="s">
        <v>6</v>
      </c>
      <c r="CL6" s="28"/>
      <c r="CM6" s="28"/>
      <c r="CN6" s="29"/>
      <c r="CP6" s="16" t="s">
        <v>6</v>
      </c>
      <c r="CQ6" s="14"/>
      <c r="CR6" s="14"/>
      <c r="CS6" s="17"/>
      <c r="CU6" s="27" t="s">
        <v>6</v>
      </c>
      <c r="CV6" s="28"/>
      <c r="CW6" s="28"/>
      <c r="CX6" s="29"/>
      <c r="CZ6" s="16" t="s">
        <v>6</v>
      </c>
      <c r="DA6" s="14"/>
      <c r="DB6" s="14"/>
      <c r="DC6" s="17"/>
      <c r="DE6" s="27" t="s">
        <v>6</v>
      </c>
      <c r="DF6" s="28"/>
      <c r="DG6" s="28"/>
      <c r="DH6" s="29"/>
      <c r="DJ6" s="16" t="s">
        <v>6</v>
      </c>
      <c r="DK6" s="14"/>
      <c r="DL6" s="14"/>
      <c r="DM6" s="17"/>
      <c r="DO6" s="27" t="s">
        <v>6</v>
      </c>
      <c r="DP6" s="28"/>
      <c r="DQ6" s="28"/>
      <c r="DR6" s="29"/>
      <c r="DT6" s="16" t="s">
        <v>6</v>
      </c>
      <c r="DU6" s="14"/>
      <c r="DV6" s="14"/>
      <c r="DW6" s="17"/>
      <c r="DY6" s="27" t="s">
        <v>6</v>
      </c>
      <c r="DZ6" s="28"/>
      <c r="EA6" s="28"/>
      <c r="EB6" s="29"/>
      <c r="ED6" s="16" t="s">
        <v>6</v>
      </c>
      <c r="EE6" s="14"/>
      <c r="EF6" s="14"/>
      <c r="EG6" s="17"/>
      <c r="EI6" s="27" t="s">
        <v>6</v>
      </c>
      <c r="EJ6" s="28"/>
      <c r="EK6" s="28"/>
      <c r="EL6" s="29"/>
      <c r="EN6" s="16" t="s">
        <v>6</v>
      </c>
      <c r="EO6" s="14"/>
      <c r="EP6" s="14"/>
      <c r="EQ6" s="17"/>
      <c r="ES6" s="27" t="s">
        <v>6</v>
      </c>
      <c r="ET6" s="28"/>
      <c r="EU6" s="28"/>
      <c r="EV6" s="29"/>
      <c r="EX6" s="16" t="s">
        <v>6</v>
      </c>
      <c r="EY6" s="14"/>
      <c r="EZ6" s="14"/>
      <c r="FA6" s="17"/>
      <c r="FC6" s="27" t="s">
        <v>6</v>
      </c>
      <c r="FD6" s="28"/>
      <c r="FE6" s="28"/>
      <c r="FF6" s="29"/>
      <c r="FH6" s="16" t="s">
        <v>6</v>
      </c>
      <c r="FI6" s="14"/>
      <c r="FJ6" s="14"/>
      <c r="FK6" s="17"/>
      <c r="FM6" s="27" t="s">
        <v>6</v>
      </c>
      <c r="FN6" s="28"/>
      <c r="FO6" s="28"/>
      <c r="FP6" s="29"/>
      <c r="FR6" s="16" t="s">
        <v>6</v>
      </c>
      <c r="FS6" s="14"/>
      <c r="FT6" s="14"/>
      <c r="FU6" s="17"/>
      <c r="FW6" s="27" t="s">
        <v>6</v>
      </c>
      <c r="FX6" s="28"/>
      <c r="FY6" s="28"/>
      <c r="FZ6" s="29"/>
      <c r="GB6" s="16" t="s">
        <v>6</v>
      </c>
      <c r="GC6" s="14"/>
      <c r="GD6" s="14"/>
      <c r="GE6" s="17"/>
      <c r="GG6" s="27" t="s">
        <v>6</v>
      </c>
      <c r="GH6" s="28"/>
      <c r="GI6" s="28"/>
      <c r="GJ6" s="29"/>
      <c r="GL6" s="16" t="s">
        <v>6</v>
      </c>
      <c r="GM6" s="14"/>
      <c r="GN6" s="14"/>
      <c r="GO6" s="17"/>
      <c r="GQ6" s="27" t="s">
        <v>6</v>
      </c>
      <c r="GR6" s="28"/>
      <c r="GS6" s="28"/>
      <c r="GT6" s="29"/>
      <c r="GV6" s="16" t="s">
        <v>6</v>
      </c>
      <c r="GW6" s="14"/>
      <c r="GX6" s="14"/>
      <c r="GY6" s="17"/>
      <c r="HA6" s="27" t="s">
        <v>6</v>
      </c>
      <c r="HB6" s="28"/>
      <c r="HC6" s="28"/>
      <c r="HD6" s="29"/>
      <c r="HF6" s="16" t="s">
        <v>6</v>
      </c>
      <c r="HG6" s="14"/>
      <c r="HH6" s="14"/>
      <c r="HI6" s="17"/>
      <c r="HK6" s="27" t="s">
        <v>6</v>
      </c>
      <c r="HL6" s="28"/>
      <c r="HM6" s="28"/>
      <c r="HN6" s="29"/>
      <c r="HP6" s="16" t="s">
        <v>6</v>
      </c>
      <c r="HQ6" s="14"/>
      <c r="HR6" s="14"/>
      <c r="HS6" s="17"/>
      <c r="HU6" s="27" t="s">
        <v>6</v>
      </c>
      <c r="HV6" s="28"/>
      <c r="HW6" s="28"/>
      <c r="HX6" s="29"/>
      <c r="HZ6" s="16" t="s">
        <v>6</v>
      </c>
      <c r="IA6" s="14"/>
      <c r="IB6" s="14"/>
      <c r="IC6" s="17"/>
      <c r="IE6" s="27" t="s">
        <v>6</v>
      </c>
      <c r="IF6" s="28"/>
      <c r="IG6" s="28"/>
      <c r="IH6" s="29"/>
    </row>
    <row r="7" spans="1:301" ht="15" x14ac:dyDescent="0.25">
      <c r="A7" s="46"/>
      <c r="D7" s="18"/>
      <c r="E7" s="10"/>
      <c r="F7" s="11"/>
      <c r="G7" s="39"/>
      <c r="I7" s="30"/>
      <c r="J7" s="31"/>
      <c r="K7" s="28"/>
      <c r="L7" s="40"/>
      <c r="N7" s="18"/>
      <c r="O7" s="10"/>
      <c r="P7" s="11"/>
      <c r="Q7" s="39"/>
      <c r="S7" s="30"/>
      <c r="T7" s="31"/>
      <c r="U7" s="28"/>
      <c r="V7" s="40"/>
      <c r="X7" s="18"/>
      <c r="Y7" s="10"/>
      <c r="Z7" s="11"/>
      <c r="AA7" s="39"/>
      <c r="AC7" s="30"/>
      <c r="AD7" s="31"/>
      <c r="AE7" s="28"/>
      <c r="AF7" s="40"/>
      <c r="AH7" s="18"/>
      <c r="AI7" s="10"/>
      <c r="AJ7" s="11"/>
      <c r="AK7" s="39"/>
      <c r="AM7" s="30"/>
      <c r="AN7" s="31"/>
      <c r="AO7" s="28"/>
      <c r="AP7" s="40"/>
      <c r="AR7" s="18"/>
      <c r="AS7" s="10"/>
      <c r="AT7" s="11"/>
      <c r="AU7" s="39"/>
      <c r="AW7" s="30"/>
      <c r="AX7" s="31"/>
      <c r="AY7" s="28"/>
      <c r="AZ7" s="40"/>
      <c r="BB7" s="18"/>
      <c r="BC7" s="10"/>
      <c r="BD7" s="11"/>
      <c r="BE7" s="39"/>
      <c r="BG7" s="30"/>
      <c r="BH7" s="31"/>
      <c r="BI7" s="28"/>
      <c r="BJ7" s="40"/>
      <c r="BL7" s="18"/>
      <c r="BM7" s="10"/>
      <c r="BN7" s="11"/>
      <c r="BO7" s="39"/>
      <c r="BQ7" s="30"/>
      <c r="BR7" s="31"/>
      <c r="BS7" s="28"/>
      <c r="BT7" s="40"/>
      <c r="BV7" s="18"/>
      <c r="BW7" s="10"/>
      <c r="BX7" s="11"/>
      <c r="BY7" s="39"/>
      <c r="CA7" s="30"/>
      <c r="CB7" s="31"/>
      <c r="CC7" s="28"/>
      <c r="CD7" s="40"/>
      <c r="CF7" s="18"/>
      <c r="CG7" s="10"/>
      <c r="CH7" s="11"/>
      <c r="CI7" s="39"/>
      <c r="CK7" s="30"/>
      <c r="CL7" s="31"/>
      <c r="CM7" s="28"/>
      <c r="CN7" s="40"/>
      <c r="CP7" s="18"/>
      <c r="CQ7" s="10"/>
      <c r="CR7" s="11"/>
      <c r="CS7" s="39"/>
      <c r="CU7" s="30"/>
      <c r="CV7" s="31"/>
      <c r="CW7" s="28"/>
      <c r="CX7" s="40"/>
      <c r="CZ7" s="18"/>
      <c r="DA7" s="10"/>
      <c r="DB7" s="11"/>
      <c r="DC7" s="39"/>
      <c r="DE7" s="30"/>
      <c r="DF7" s="31"/>
      <c r="DG7" s="28"/>
      <c r="DH7" s="40"/>
      <c r="DJ7" s="18"/>
      <c r="DK7" s="10"/>
      <c r="DL7" s="11"/>
      <c r="DM7" s="39"/>
      <c r="DO7" s="30"/>
      <c r="DP7" s="31"/>
      <c r="DQ7" s="28"/>
      <c r="DR7" s="40"/>
      <c r="DT7" s="18"/>
      <c r="DU7" s="10"/>
      <c r="DV7" s="11"/>
      <c r="DW7" s="39"/>
      <c r="DY7" s="30"/>
      <c r="DZ7" s="31"/>
      <c r="EA7" s="28"/>
      <c r="EB7" s="40"/>
      <c r="ED7" s="18"/>
      <c r="EE7" s="10"/>
      <c r="EF7" s="11"/>
      <c r="EG7" s="39"/>
      <c r="EI7" s="30"/>
      <c r="EJ7" s="31"/>
      <c r="EK7" s="28"/>
      <c r="EL7" s="40"/>
      <c r="EN7" s="18"/>
      <c r="EO7" s="10"/>
      <c r="EP7" s="11"/>
      <c r="EQ7" s="39"/>
      <c r="ES7" s="30"/>
      <c r="ET7" s="31"/>
      <c r="EU7" s="28"/>
      <c r="EV7" s="40"/>
      <c r="EX7" s="18"/>
      <c r="EY7" s="10"/>
      <c r="EZ7" s="11"/>
      <c r="FA7" s="39"/>
      <c r="FC7" s="30"/>
      <c r="FD7" s="31"/>
      <c r="FE7" s="28"/>
      <c r="FF7" s="40"/>
      <c r="FH7" s="18"/>
      <c r="FI7" s="10"/>
      <c r="FJ7" s="11"/>
      <c r="FK7" s="39"/>
      <c r="FM7" s="30"/>
      <c r="FN7" s="31"/>
      <c r="FO7" s="28"/>
      <c r="FP7" s="40"/>
      <c r="FR7" s="18"/>
      <c r="FS7" s="10"/>
      <c r="FT7" s="11"/>
      <c r="FU7" s="39"/>
      <c r="FW7" s="30"/>
      <c r="FX7" s="31"/>
      <c r="FY7" s="28"/>
      <c r="FZ7" s="40"/>
      <c r="GB7" s="18"/>
      <c r="GC7" s="10"/>
      <c r="GD7" s="11"/>
      <c r="GE7" s="39"/>
      <c r="GG7" s="30"/>
      <c r="GH7" s="31"/>
      <c r="GI7" s="28"/>
      <c r="GJ7" s="40"/>
      <c r="GL7" s="18"/>
      <c r="GM7" s="10"/>
      <c r="GN7" s="11"/>
      <c r="GO7" s="39"/>
      <c r="GQ7" s="30"/>
      <c r="GR7" s="31"/>
      <c r="GS7" s="28"/>
      <c r="GT7" s="40"/>
      <c r="GV7" s="18"/>
      <c r="GW7" s="10"/>
      <c r="GX7" s="11"/>
      <c r="GY7" s="39"/>
      <c r="HA7" s="30"/>
      <c r="HB7" s="31"/>
      <c r="HC7" s="28"/>
      <c r="HD7" s="40"/>
      <c r="HF7" s="18"/>
      <c r="HG7" s="10"/>
      <c r="HH7" s="11"/>
      <c r="HI7" s="39"/>
      <c r="HK7" s="30"/>
      <c r="HL7" s="31"/>
      <c r="HM7" s="28"/>
      <c r="HN7" s="40"/>
      <c r="HP7" s="18"/>
      <c r="HQ7" s="10"/>
      <c r="HR7" s="11"/>
      <c r="HS7" s="39"/>
      <c r="HU7" s="30"/>
      <c r="HV7" s="31"/>
      <c r="HW7" s="28"/>
      <c r="HX7" s="40"/>
      <c r="HZ7" s="18"/>
      <c r="IA7" s="10"/>
      <c r="IB7" s="11"/>
      <c r="IC7" s="39"/>
      <c r="IE7" s="30"/>
      <c r="IF7" s="31"/>
      <c r="IG7" s="28"/>
      <c r="IH7" s="40"/>
    </row>
    <row r="8" spans="1:301" x14ac:dyDescent="0.2">
      <c r="A8" s="48"/>
      <c r="D8" s="18"/>
      <c r="E8" s="10"/>
      <c r="F8" s="12"/>
      <c r="G8" s="19"/>
      <c r="I8" s="30"/>
      <c r="J8" s="31"/>
      <c r="K8" s="32"/>
      <c r="L8" s="33"/>
      <c r="N8" s="18"/>
      <c r="O8" s="10"/>
      <c r="P8" s="12"/>
      <c r="Q8" s="19"/>
      <c r="S8" s="30"/>
      <c r="T8" s="31"/>
      <c r="U8" s="32"/>
      <c r="V8" s="33"/>
      <c r="X8" s="18"/>
      <c r="Y8" s="10"/>
      <c r="Z8" s="12"/>
      <c r="AA8" s="19"/>
      <c r="AC8" s="30"/>
      <c r="AD8" s="31"/>
      <c r="AE8" s="32"/>
      <c r="AF8" s="33"/>
      <c r="AH8" s="18"/>
      <c r="AI8" s="10"/>
      <c r="AJ8" s="12"/>
      <c r="AK8" s="19"/>
      <c r="AM8" s="30"/>
      <c r="AN8" s="31"/>
      <c r="AO8" s="32"/>
      <c r="AP8" s="33"/>
      <c r="AR8" s="18"/>
      <c r="AS8" s="10"/>
      <c r="AT8" s="12"/>
      <c r="AU8" s="19"/>
      <c r="AW8" s="30"/>
      <c r="AX8" s="31"/>
      <c r="AY8" s="32"/>
      <c r="AZ8" s="33"/>
      <c r="BB8" s="18"/>
      <c r="BC8" s="10"/>
      <c r="BD8" s="12"/>
      <c r="BE8" s="19"/>
      <c r="BG8" s="30"/>
      <c r="BH8" s="31"/>
      <c r="BI8" s="32"/>
      <c r="BJ8" s="33"/>
      <c r="BL8" s="18"/>
      <c r="BM8" s="10"/>
      <c r="BN8" s="12"/>
      <c r="BO8" s="19"/>
      <c r="BQ8" s="30"/>
      <c r="BR8" s="31"/>
      <c r="BS8" s="32"/>
      <c r="BT8" s="33"/>
      <c r="BV8" s="18"/>
      <c r="BW8" s="10"/>
      <c r="BX8" s="12"/>
      <c r="BY8" s="19"/>
      <c r="CA8" s="30"/>
      <c r="CB8" s="31"/>
      <c r="CC8" s="32"/>
      <c r="CD8" s="33"/>
      <c r="CF8" s="18"/>
      <c r="CG8" s="10"/>
      <c r="CH8" s="12"/>
      <c r="CI8" s="19"/>
      <c r="CK8" s="30"/>
      <c r="CL8" s="31"/>
      <c r="CM8" s="32"/>
      <c r="CN8" s="33"/>
      <c r="CP8" s="18"/>
      <c r="CQ8" s="10"/>
      <c r="CR8" s="12"/>
      <c r="CS8" s="19"/>
      <c r="CU8" s="30"/>
      <c r="CV8" s="31"/>
      <c r="CW8" s="32"/>
      <c r="CX8" s="33"/>
      <c r="CZ8" s="18"/>
      <c r="DA8" s="10"/>
      <c r="DB8" s="12"/>
      <c r="DC8" s="19"/>
      <c r="DE8" s="30"/>
      <c r="DF8" s="31"/>
      <c r="DG8" s="32"/>
      <c r="DH8" s="33"/>
      <c r="DJ8" s="18"/>
      <c r="DK8" s="10"/>
      <c r="DL8" s="12"/>
      <c r="DM8" s="19"/>
      <c r="DO8" s="30"/>
      <c r="DP8" s="31"/>
      <c r="DQ8" s="32"/>
      <c r="DR8" s="33"/>
      <c r="DT8" s="18"/>
      <c r="DU8" s="10"/>
      <c r="DV8" s="12"/>
      <c r="DW8" s="19"/>
      <c r="DY8" s="30"/>
      <c r="DZ8" s="31"/>
      <c r="EA8" s="32"/>
      <c r="EB8" s="33"/>
      <c r="ED8" s="18"/>
      <c r="EE8" s="10"/>
      <c r="EF8" s="12"/>
      <c r="EG8" s="19"/>
      <c r="EI8" s="30"/>
      <c r="EJ8" s="31"/>
      <c r="EK8" s="32"/>
      <c r="EL8" s="33"/>
      <c r="EN8" s="18"/>
      <c r="EO8" s="10"/>
      <c r="EP8" s="12"/>
      <c r="EQ8" s="19"/>
      <c r="ES8" s="30"/>
      <c r="ET8" s="31"/>
      <c r="EU8" s="32"/>
      <c r="EV8" s="33"/>
      <c r="EX8" s="18"/>
      <c r="EY8" s="10"/>
      <c r="EZ8" s="12"/>
      <c r="FA8" s="19"/>
      <c r="FC8" s="30"/>
      <c r="FD8" s="31"/>
      <c r="FE8" s="32"/>
      <c r="FF8" s="33"/>
      <c r="FH8" s="18"/>
      <c r="FI8" s="10"/>
      <c r="FJ8" s="12"/>
      <c r="FK8" s="19"/>
      <c r="FM8" s="30"/>
      <c r="FN8" s="31"/>
      <c r="FO8" s="32"/>
      <c r="FP8" s="33"/>
      <c r="FR8" s="18"/>
      <c r="FS8" s="10"/>
      <c r="FT8" s="12"/>
      <c r="FU8" s="19"/>
      <c r="FW8" s="30"/>
      <c r="FX8" s="31"/>
      <c r="FY8" s="32"/>
      <c r="FZ8" s="33"/>
      <c r="GB8" s="18"/>
      <c r="GC8" s="10"/>
      <c r="GD8" s="12"/>
      <c r="GE8" s="19"/>
      <c r="GG8" s="30"/>
      <c r="GH8" s="31"/>
      <c r="GI8" s="32"/>
      <c r="GJ8" s="33"/>
      <c r="GL8" s="18"/>
      <c r="GM8" s="10"/>
      <c r="GN8" s="12"/>
      <c r="GO8" s="19"/>
      <c r="GQ8" s="30"/>
      <c r="GR8" s="31"/>
      <c r="GS8" s="32"/>
      <c r="GT8" s="33"/>
      <c r="GV8" s="18"/>
      <c r="GW8" s="10"/>
      <c r="GX8" s="12"/>
      <c r="GY8" s="19"/>
      <c r="HA8" s="30"/>
      <c r="HB8" s="31"/>
      <c r="HC8" s="32"/>
      <c r="HD8" s="33"/>
      <c r="HF8" s="18"/>
      <c r="HG8" s="10"/>
      <c r="HH8" s="12"/>
      <c r="HI8" s="19"/>
      <c r="HK8" s="30"/>
      <c r="HL8" s="31"/>
      <c r="HM8" s="32"/>
      <c r="HN8" s="33"/>
      <c r="HP8" s="18"/>
      <c r="HQ8" s="10"/>
      <c r="HR8" s="12"/>
      <c r="HS8" s="19"/>
      <c r="HU8" s="30"/>
      <c r="HV8" s="31"/>
      <c r="HW8" s="32"/>
      <c r="HX8" s="33"/>
      <c r="HZ8" s="18"/>
      <c r="IA8" s="10"/>
      <c r="IB8" s="12"/>
      <c r="IC8" s="19"/>
      <c r="IE8" s="30"/>
      <c r="IF8" s="31"/>
      <c r="IG8" s="32"/>
      <c r="IH8" s="33"/>
    </row>
    <row r="9" spans="1:301" x14ac:dyDescent="0.2">
      <c r="A9" s="49"/>
      <c r="D9" s="18"/>
      <c r="E9" s="10"/>
      <c r="F9" s="11"/>
      <c r="G9" s="19"/>
      <c r="I9" s="30"/>
      <c r="J9" s="34"/>
      <c r="K9" s="28"/>
      <c r="L9" s="33"/>
      <c r="N9" s="18"/>
      <c r="O9" s="10"/>
      <c r="P9" s="11"/>
      <c r="Q9" s="19"/>
      <c r="S9" s="30"/>
      <c r="T9" s="34"/>
      <c r="U9" s="28"/>
      <c r="V9" s="33"/>
      <c r="X9" s="18"/>
      <c r="Y9" s="10"/>
      <c r="Z9" s="11"/>
      <c r="AA9" s="19"/>
      <c r="AC9" s="30"/>
      <c r="AD9" s="34"/>
      <c r="AE9" s="28"/>
      <c r="AF9" s="33"/>
      <c r="AH9" s="18"/>
      <c r="AI9" s="10"/>
      <c r="AJ9" s="11"/>
      <c r="AK9" s="19"/>
      <c r="AM9" s="30"/>
      <c r="AN9" s="34"/>
      <c r="AO9" s="28"/>
      <c r="AP9" s="33"/>
      <c r="AR9" s="18"/>
      <c r="AS9" s="10"/>
      <c r="AT9" s="11"/>
      <c r="AU9" s="19"/>
      <c r="AW9" s="30"/>
      <c r="AX9" s="34"/>
      <c r="AY9" s="28"/>
      <c r="AZ9" s="33"/>
      <c r="BB9" s="18"/>
      <c r="BC9" s="10"/>
      <c r="BD9" s="11"/>
      <c r="BE9" s="19"/>
      <c r="BG9" s="30"/>
      <c r="BH9" s="34"/>
      <c r="BI9" s="28"/>
      <c r="BJ9" s="33"/>
      <c r="BL9" s="18"/>
      <c r="BM9" s="10"/>
      <c r="BN9" s="11"/>
      <c r="BO9" s="19"/>
      <c r="BQ9" s="30"/>
      <c r="BR9" s="34"/>
      <c r="BS9" s="28"/>
      <c r="BT9" s="33"/>
      <c r="BV9" s="18"/>
      <c r="BW9" s="10"/>
      <c r="BX9" s="11"/>
      <c r="BY9" s="19"/>
      <c r="CA9" s="30"/>
      <c r="CB9" s="34"/>
      <c r="CC9" s="28"/>
      <c r="CD9" s="33"/>
      <c r="CF9" s="18"/>
      <c r="CG9" s="10"/>
      <c r="CH9" s="11"/>
      <c r="CI9" s="19"/>
      <c r="CK9" s="30"/>
      <c r="CL9" s="34"/>
      <c r="CM9" s="28"/>
      <c r="CN9" s="33"/>
      <c r="CP9" s="18"/>
      <c r="CQ9" s="10"/>
      <c r="CR9" s="11"/>
      <c r="CS9" s="19"/>
      <c r="CU9" s="30"/>
      <c r="CV9" s="34"/>
      <c r="CW9" s="28"/>
      <c r="CX9" s="33"/>
      <c r="CZ9" s="18"/>
      <c r="DA9" s="10"/>
      <c r="DB9" s="11"/>
      <c r="DC9" s="19"/>
      <c r="DE9" s="30"/>
      <c r="DF9" s="34"/>
      <c r="DG9" s="28"/>
      <c r="DH9" s="33"/>
      <c r="DJ9" s="18"/>
      <c r="DK9" s="10"/>
      <c r="DL9" s="11"/>
      <c r="DM9" s="19"/>
      <c r="DO9" s="30"/>
      <c r="DP9" s="34"/>
      <c r="DQ9" s="28"/>
      <c r="DR9" s="33"/>
      <c r="DT9" s="18"/>
      <c r="DU9" s="10"/>
      <c r="DV9" s="11"/>
      <c r="DW9" s="19"/>
      <c r="DY9" s="30"/>
      <c r="DZ9" s="34"/>
      <c r="EA9" s="28"/>
      <c r="EB9" s="33"/>
      <c r="ED9" s="18"/>
      <c r="EE9" s="10"/>
      <c r="EF9" s="11"/>
      <c r="EG9" s="19"/>
      <c r="EI9" s="30"/>
      <c r="EJ9" s="34"/>
      <c r="EK9" s="28"/>
      <c r="EL9" s="33"/>
      <c r="EN9" s="18"/>
      <c r="EO9" s="10"/>
      <c r="EP9" s="11"/>
      <c r="EQ9" s="19"/>
      <c r="ES9" s="30"/>
      <c r="ET9" s="34"/>
      <c r="EU9" s="28"/>
      <c r="EV9" s="33"/>
      <c r="EX9" s="18"/>
      <c r="EY9" s="10"/>
      <c r="EZ9" s="11"/>
      <c r="FA9" s="19"/>
      <c r="FC9" s="30"/>
      <c r="FD9" s="34"/>
      <c r="FE9" s="28"/>
      <c r="FF9" s="33"/>
      <c r="FH9" s="18"/>
      <c r="FI9" s="10"/>
      <c r="FJ9" s="11"/>
      <c r="FK9" s="19"/>
      <c r="FM9" s="30"/>
      <c r="FN9" s="34"/>
      <c r="FO9" s="28"/>
      <c r="FP9" s="33"/>
      <c r="FR9" s="18"/>
      <c r="FS9" s="10"/>
      <c r="FT9" s="11"/>
      <c r="FU9" s="19"/>
      <c r="FW9" s="30"/>
      <c r="FX9" s="34"/>
      <c r="FY9" s="28"/>
      <c r="FZ9" s="33"/>
      <c r="GB9" s="18"/>
      <c r="GC9" s="10"/>
      <c r="GD9" s="11"/>
      <c r="GE9" s="19"/>
      <c r="GG9" s="30"/>
      <c r="GH9" s="34"/>
      <c r="GI9" s="28"/>
      <c r="GJ9" s="33"/>
      <c r="GL9" s="18"/>
      <c r="GM9" s="10"/>
      <c r="GN9" s="11"/>
      <c r="GO9" s="19"/>
      <c r="GQ9" s="30"/>
      <c r="GR9" s="34"/>
      <c r="GS9" s="28"/>
      <c r="GT9" s="33"/>
      <c r="GV9" s="18"/>
      <c r="GW9" s="10"/>
      <c r="GX9" s="11"/>
      <c r="GY9" s="19"/>
      <c r="HA9" s="30"/>
      <c r="HB9" s="34"/>
      <c r="HC9" s="28"/>
      <c r="HD9" s="33"/>
      <c r="HF9" s="18"/>
      <c r="HG9" s="10"/>
      <c r="HH9" s="11"/>
      <c r="HI9" s="19"/>
      <c r="HK9" s="30"/>
      <c r="HL9" s="34"/>
      <c r="HM9" s="28"/>
      <c r="HN9" s="33"/>
      <c r="HP9" s="18"/>
      <c r="HQ9" s="10"/>
      <c r="HR9" s="11"/>
      <c r="HS9" s="19"/>
      <c r="HU9" s="30"/>
      <c r="HV9" s="34"/>
      <c r="HW9" s="28"/>
      <c r="HX9" s="33"/>
      <c r="HZ9" s="18"/>
      <c r="IA9" s="10"/>
      <c r="IB9" s="11"/>
      <c r="IC9" s="19"/>
      <c r="IE9" s="30"/>
      <c r="IF9" s="34"/>
      <c r="IG9" s="28"/>
      <c r="IH9" s="33"/>
    </row>
    <row r="10" spans="1:301" x14ac:dyDescent="0.2">
      <c r="A10" s="48"/>
      <c r="D10" s="18"/>
      <c r="E10" s="10"/>
      <c r="F10" s="11"/>
      <c r="G10" s="19"/>
      <c r="I10" s="30"/>
      <c r="J10" s="31"/>
      <c r="K10" s="28"/>
      <c r="L10" s="33"/>
      <c r="N10" s="18"/>
      <c r="O10" s="10"/>
      <c r="P10" s="11"/>
      <c r="Q10" s="19"/>
      <c r="S10" s="30"/>
      <c r="T10" s="31"/>
      <c r="U10" s="28"/>
      <c r="V10" s="33"/>
      <c r="X10" s="18"/>
      <c r="Y10" s="10"/>
      <c r="Z10" s="11"/>
      <c r="AA10" s="19"/>
      <c r="AC10" s="30"/>
      <c r="AD10" s="31"/>
      <c r="AE10" s="28"/>
      <c r="AF10" s="33"/>
      <c r="AH10" s="18"/>
      <c r="AI10" s="10"/>
      <c r="AJ10" s="11"/>
      <c r="AK10" s="19"/>
      <c r="AM10" s="30"/>
      <c r="AN10" s="31"/>
      <c r="AO10" s="28"/>
      <c r="AP10" s="33"/>
      <c r="AR10" s="18"/>
      <c r="AS10" s="10"/>
      <c r="AT10" s="11"/>
      <c r="AU10" s="19"/>
      <c r="AW10" s="30"/>
      <c r="AX10" s="31"/>
      <c r="AY10" s="28"/>
      <c r="AZ10" s="33"/>
      <c r="BB10" s="18"/>
      <c r="BC10" s="10"/>
      <c r="BD10" s="11"/>
      <c r="BE10" s="19"/>
      <c r="BG10" s="30"/>
      <c r="BH10" s="31"/>
      <c r="BI10" s="28"/>
      <c r="BJ10" s="33"/>
      <c r="BL10" s="18"/>
      <c r="BM10" s="10"/>
      <c r="BN10" s="11"/>
      <c r="BO10" s="19"/>
      <c r="BQ10" s="30"/>
      <c r="BR10" s="31"/>
      <c r="BS10" s="28"/>
      <c r="BT10" s="33"/>
      <c r="BV10" s="18"/>
      <c r="BW10" s="10"/>
      <c r="BX10" s="11"/>
      <c r="BY10" s="19"/>
      <c r="CA10" s="30"/>
      <c r="CB10" s="31"/>
      <c r="CC10" s="28"/>
      <c r="CD10" s="33"/>
      <c r="CF10" s="18"/>
      <c r="CG10" s="10"/>
      <c r="CH10" s="11"/>
      <c r="CI10" s="19"/>
      <c r="CK10" s="30"/>
      <c r="CL10" s="31"/>
      <c r="CM10" s="28"/>
      <c r="CN10" s="33"/>
      <c r="CP10" s="18"/>
      <c r="CQ10" s="10"/>
      <c r="CR10" s="11"/>
      <c r="CS10" s="19"/>
      <c r="CU10" s="30"/>
      <c r="CV10" s="31"/>
      <c r="CW10" s="28"/>
      <c r="CX10" s="33"/>
      <c r="CZ10" s="18"/>
      <c r="DA10" s="10"/>
      <c r="DB10" s="11"/>
      <c r="DC10" s="19"/>
      <c r="DE10" s="30"/>
      <c r="DF10" s="31"/>
      <c r="DG10" s="28"/>
      <c r="DH10" s="33"/>
      <c r="DJ10" s="18"/>
      <c r="DK10" s="10"/>
      <c r="DL10" s="11"/>
      <c r="DM10" s="19"/>
      <c r="DO10" s="30"/>
      <c r="DP10" s="31"/>
      <c r="DQ10" s="28"/>
      <c r="DR10" s="33"/>
      <c r="DT10" s="18"/>
      <c r="DU10" s="10"/>
      <c r="DV10" s="11"/>
      <c r="DW10" s="19"/>
      <c r="DY10" s="30"/>
      <c r="DZ10" s="31"/>
      <c r="EA10" s="28"/>
      <c r="EB10" s="33"/>
      <c r="ED10" s="18"/>
      <c r="EE10" s="10"/>
      <c r="EF10" s="11"/>
      <c r="EG10" s="19"/>
      <c r="EI10" s="30"/>
      <c r="EJ10" s="31"/>
      <c r="EK10" s="28"/>
      <c r="EL10" s="33"/>
      <c r="EN10" s="18"/>
      <c r="EO10" s="10"/>
      <c r="EP10" s="11"/>
      <c r="EQ10" s="19"/>
      <c r="ES10" s="30"/>
      <c r="ET10" s="31"/>
      <c r="EU10" s="28"/>
      <c r="EV10" s="33"/>
      <c r="EX10" s="18"/>
      <c r="EY10" s="10"/>
      <c r="EZ10" s="11"/>
      <c r="FA10" s="19"/>
      <c r="FC10" s="30"/>
      <c r="FD10" s="31"/>
      <c r="FE10" s="28"/>
      <c r="FF10" s="33"/>
      <c r="FH10" s="18"/>
      <c r="FI10" s="10"/>
      <c r="FJ10" s="11"/>
      <c r="FK10" s="19"/>
      <c r="FM10" s="30"/>
      <c r="FN10" s="31"/>
      <c r="FO10" s="28"/>
      <c r="FP10" s="33"/>
      <c r="FR10" s="18"/>
      <c r="FS10" s="10"/>
      <c r="FT10" s="11"/>
      <c r="FU10" s="19"/>
      <c r="FW10" s="30"/>
      <c r="FX10" s="31"/>
      <c r="FY10" s="28"/>
      <c r="FZ10" s="33"/>
      <c r="GB10" s="18"/>
      <c r="GC10" s="10"/>
      <c r="GD10" s="11"/>
      <c r="GE10" s="19"/>
      <c r="GG10" s="30"/>
      <c r="GH10" s="31"/>
      <c r="GI10" s="28"/>
      <c r="GJ10" s="33"/>
      <c r="GL10" s="18"/>
      <c r="GM10" s="10"/>
      <c r="GN10" s="11"/>
      <c r="GO10" s="19"/>
      <c r="GQ10" s="30"/>
      <c r="GR10" s="31"/>
      <c r="GS10" s="28"/>
      <c r="GT10" s="33"/>
      <c r="GV10" s="18"/>
      <c r="GW10" s="10"/>
      <c r="GX10" s="11"/>
      <c r="GY10" s="19"/>
      <c r="HA10" s="30"/>
      <c r="HB10" s="31"/>
      <c r="HC10" s="28"/>
      <c r="HD10" s="33"/>
      <c r="HF10" s="18"/>
      <c r="HG10" s="10"/>
      <c r="HH10" s="11"/>
      <c r="HI10" s="19"/>
      <c r="HK10" s="30"/>
      <c r="HL10" s="31"/>
      <c r="HM10" s="28"/>
      <c r="HN10" s="33"/>
      <c r="HP10" s="18"/>
      <c r="HQ10" s="10"/>
      <c r="HR10" s="11"/>
      <c r="HS10" s="19"/>
      <c r="HU10" s="30"/>
      <c r="HV10" s="31"/>
      <c r="HW10" s="28"/>
      <c r="HX10" s="33"/>
      <c r="HZ10" s="18"/>
      <c r="IA10" s="10"/>
      <c r="IB10" s="11"/>
      <c r="IC10" s="19"/>
      <c r="IE10" s="30"/>
      <c r="IF10" s="31"/>
      <c r="IG10" s="28"/>
      <c r="IH10" s="33"/>
    </row>
    <row r="11" spans="1:301" ht="15" thickBot="1" x14ac:dyDescent="0.25">
      <c r="A11" s="49"/>
      <c r="C11" s="24"/>
      <c r="D11" s="20"/>
      <c r="E11" s="21"/>
      <c r="F11" s="22"/>
      <c r="G11" s="23"/>
      <c r="I11" s="35"/>
      <c r="J11" s="36"/>
      <c r="K11" s="37"/>
      <c r="L11" s="38"/>
      <c r="N11" s="20"/>
      <c r="O11" s="21"/>
      <c r="P11" s="22"/>
      <c r="Q11" s="23"/>
      <c r="S11" s="35"/>
      <c r="T11" s="36"/>
      <c r="U11" s="37"/>
      <c r="V11" s="38"/>
      <c r="X11" s="20"/>
      <c r="Y11" s="21"/>
      <c r="Z11" s="22"/>
      <c r="AA11" s="23"/>
      <c r="AC11" s="35"/>
      <c r="AD11" s="36"/>
      <c r="AE11" s="37"/>
      <c r="AF11" s="38"/>
      <c r="AH11" s="20"/>
      <c r="AI11" s="21"/>
      <c r="AJ11" s="22"/>
      <c r="AK11" s="23"/>
      <c r="AM11" s="35"/>
      <c r="AN11" s="36"/>
      <c r="AO11" s="37"/>
      <c r="AP11" s="38"/>
      <c r="AR11" s="20"/>
      <c r="AS11" s="21"/>
      <c r="AT11" s="22"/>
      <c r="AU11" s="23"/>
      <c r="AW11" s="35"/>
      <c r="AX11" s="36"/>
      <c r="AY11" s="37"/>
      <c r="AZ11" s="38"/>
      <c r="BB11" s="20"/>
      <c r="BC11" s="21"/>
      <c r="BD11" s="22"/>
      <c r="BE11" s="23"/>
      <c r="BG11" s="35"/>
      <c r="BH11" s="36"/>
      <c r="BI11" s="37"/>
      <c r="BJ11" s="38"/>
      <c r="BL11" s="20"/>
      <c r="BM11" s="21"/>
      <c r="BN11" s="22"/>
      <c r="BO11" s="23"/>
      <c r="BQ11" s="35"/>
      <c r="BR11" s="36"/>
      <c r="BS11" s="37"/>
      <c r="BT11" s="38"/>
      <c r="BV11" s="20"/>
      <c r="BW11" s="21"/>
      <c r="BX11" s="22"/>
      <c r="BY11" s="23"/>
      <c r="CA11" s="35"/>
      <c r="CB11" s="36"/>
      <c r="CC11" s="37"/>
      <c r="CD11" s="38"/>
      <c r="CF11" s="20"/>
      <c r="CG11" s="21"/>
      <c r="CH11" s="22"/>
      <c r="CI11" s="23"/>
      <c r="CK11" s="35"/>
      <c r="CL11" s="36"/>
      <c r="CM11" s="37"/>
      <c r="CN11" s="38"/>
      <c r="CP11" s="20"/>
      <c r="CQ11" s="21"/>
      <c r="CR11" s="22"/>
      <c r="CS11" s="23"/>
      <c r="CU11" s="35"/>
      <c r="CV11" s="36"/>
      <c r="CW11" s="37"/>
      <c r="CX11" s="38"/>
      <c r="CZ11" s="20"/>
      <c r="DA11" s="21"/>
      <c r="DB11" s="22"/>
      <c r="DC11" s="23"/>
      <c r="DE11" s="35"/>
      <c r="DF11" s="36"/>
      <c r="DG11" s="37"/>
      <c r="DH11" s="38"/>
      <c r="DJ11" s="20"/>
      <c r="DK11" s="21"/>
      <c r="DL11" s="22"/>
      <c r="DM11" s="23"/>
      <c r="DO11" s="35"/>
      <c r="DP11" s="36"/>
      <c r="DQ11" s="37"/>
      <c r="DR11" s="38"/>
      <c r="DT11" s="20"/>
      <c r="DU11" s="21"/>
      <c r="DV11" s="22"/>
      <c r="DW11" s="23"/>
      <c r="DY11" s="35"/>
      <c r="DZ11" s="36"/>
      <c r="EA11" s="37"/>
      <c r="EB11" s="38"/>
      <c r="ED11" s="20"/>
      <c r="EE11" s="21"/>
      <c r="EF11" s="22"/>
      <c r="EG11" s="23"/>
      <c r="EI11" s="35"/>
      <c r="EJ11" s="36"/>
      <c r="EK11" s="37"/>
      <c r="EL11" s="38"/>
      <c r="EN11" s="20"/>
      <c r="EO11" s="21"/>
      <c r="EP11" s="22"/>
      <c r="EQ11" s="23"/>
      <c r="ES11" s="35"/>
      <c r="ET11" s="36"/>
      <c r="EU11" s="37"/>
      <c r="EV11" s="38"/>
      <c r="EX11" s="20"/>
      <c r="EY11" s="21"/>
      <c r="EZ11" s="22"/>
      <c r="FA11" s="23"/>
      <c r="FC11" s="35"/>
      <c r="FD11" s="36"/>
      <c r="FE11" s="37"/>
      <c r="FF11" s="38"/>
      <c r="FH11" s="20"/>
      <c r="FI11" s="21"/>
      <c r="FJ11" s="22"/>
      <c r="FK11" s="23"/>
      <c r="FM11" s="35"/>
      <c r="FN11" s="36"/>
      <c r="FO11" s="37"/>
      <c r="FP11" s="38"/>
      <c r="FR11" s="20"/>
      <c r="FS11" s="21"/>
      <c r="FT11" s="22"/>
      <c r="FU11" s="23"/>
      <c r="FW11" s="35"/>
      <c r="FX11" s="36"/>
      <c r="FY11" s="37"/>
      <c r="FZ11" s="38"/>
      <c r="GB11" s="20"/>
      <c r="GC11" s="21"/>
      <c r="GD11" s="22"/>
      <c r="GE11" s="23"/>
      <c r="GG11" s="35"/>
      <c r="GH11" s="36"/>
      <c r="GI11" s="37"/>
      <c r="GJ11" s="38"/>
      <c r="GL11" s="20"/>
      <c r="GM11" s="21"/>
      <c r="GN11" s="22"/>
      <c r="GO11" s="23"/>
      <c r="GQ11" s="35"/>
      <c r="GR11" s="36"/>
      <c r="GS11" s="37"/>
      <c r="GT11" s="38"/>
      <c r="GV11" s="20"/>
      <c r="GW11" s="21"/>
      <c r="GX11" s="22"/>
      <c r="GY11" s="23"/>
      <c r="HA11" s="35"/>
      <c r="HB11" s="36"/>
      <c r="HC11" s="37"/>
      <c r="HD11" s="38"/>
      <c r="HF11" s="20"/>
      <c r="HG11" s="21"/>
      <c r="HH11" s="22"/>
      <c r="HI11" s="23"/>
      <c r="HK11" s="35"/>
      <c r="HL11" s="36"/>
      <c r="HM11" s="37"/>
      <c r="HN11" s="38"/>
      <c r="HP11" s="20"/>
      <c r="HQ11" s="21"/>
      <c r="HR11" s="22"/>
      <c r="HS11" s="23"/>
      <c r="HU11" s="35"/>
      <c r="HV11" s="36"/>
      <c r="HW11" s="37"/>
      <c r="HX11" s="38"/>
      <c r="HZ11" s="20"/>
      <c r="IA11" s="21"/>
      <c r="IB11" s="22"/>
      <c r="IC11" s="23"/>
      <c r="IE11" s="35"/>
      <c r="IF11" s="36"/>
      <c r="IG11" s="37"/>
      <c r="IH11" s="38"/>
    </row>
    <row r="12" spans="1:301" ht="15" thickTop="1" x14ac:dyDescent="0.2">
      <c r="A12" s="49"/>
    </row>
    <row r="13" spans="1:301" x14ac:dyDescent="0.2">
      <c r="A13" s="49"/>
    </row>
    <row r="14" spans="1:301" ht="15" x14ac:dyDescent="0.25">
      <c r="A14" s="46"/>
      <c r="D14" s="3" t="s">
        <v>18</v>
      </c>
      <c r="E14" s="3" t="s">
        <v>7</v>
      </c>
      <c r="F14" s="3" t="s">
        <v>8</v>
      </c>
      <c r="G14" s="3" t="s">
        <v>9</v>
      </c>
      <c r="H14" s="3"/>
      <c r="I14" s="3" t="s">
        <v>18</v>
      </c>
      <c r="J14" s="3" t="s">
        <v>7</v>
      </c>
      <c r="K14" s="3" t="s">
        <v>8</v>
      </c>
      <c r="L14" s="3" t="s">
        <v>9</v>
      </c>
      <c r="N14" s="3" t="s">
        <v>18</v>
      </c>
      <c r="O14" s="3" t="s">
        <v>7</v>
      </c>
      <c r="P14" s="3" t="s">
        <v>8</v>
      </c>
      <c r="Q14" s="3" t="s">
        <v>9</v>
      </c>
      <c r="R14" s="3"/>
      <c r="S14" s="3" t="s">
        <v>18</v>
      </c>
      <c r="T14" s="3" t="s">
        <v>7</v>
      </c>
      <c r="U14" s="3" t="s">
        <v>8</v>
      </c>
      <c r="V14" s="3" t="s">
        <v>9</v>
      </c>
      <c r="X14" s="3" t="s">
        <v>18</v>
      </c>
      <c r="Y14" s="3" t="s">
        <v>7</v>
      </c>
      <c r="Z14" s="3" t="s">
        <v>8</v>
      </c>
      <c r="AA14" s="3" t="s">
        <v>9</v>
      </c>
      <c r="AB14" s="3"/>
      <c r="AC14" s="3" t="s">
        <v>18</v>
      </c>
      <c r="AD14" s="3" t="s">
        <v>7</v>
      </c>
      <c r="AE14" s="3" t="s">
        <v>8</v>
      </c>
      <c r="AF14" s="3" t="s">
        <v>9</v>
      </c>
      <c r="AH14" s="3" t="s">
        <v>18</v>
      </c>
      <c r="AI14" s="3" t="s">
        <v>7</v>
      </c>
      <c r="AJ14" s="3" t="s">
        <v>8</v>
      </c>
      <c r="AK14" s="3" t="s">
        <v>9</v>
      </c>
      <c r="AL14" s="3"/>
      <c r="AM14" s="3" t="s">
        <v>18</v>
      </c>
      <c r="AN14" s="3" t="s">
        <v>7</v>
      </c>
      <c r="AO14" s="3" t="s">
        <v>8</v>
      </c>
      <c r="AP14" s="3" t="s">
        <v>9</v>
      </c>
      <c r="AR14" s="3" t="s">
        <v>18</v>
      </c>
      <c r="AS14" s="3" t="s">
        <v>7</v>
      </c>
      <c r="AT14" s="3" t="s">
        <v>8</v>
      </c>
      <c r="AU14" s="3" t="s">
        <v>9</v>
      </c>
      <c r="AV14" s="3"/>
      <c r="AW14" s="3" t="s">
        <v>18</v>
      </c>
      <c r="AX14" s="3" t="s">
        <v>7</v>
      </c>
      <c r="AY14" s="3" t="s">
        <v>8</v>
      </c>
      <c r="AZ14" s="3" t="s">
        <v>9</v>
      </c>
      <c r="BB14" s="3" t="s">
        <v>18</v>
      </c>
      <c r="BC14" s="3" t="s">
        <v>7</v>
      </c>
      <c r="BD14" s="3" t="s">
        <v>8</v>
      </c>
      <c r="BE14" s="3" t="s">
        <v>9</v>
      </c>
      <c r="BF14" s="3"/>
      <c r="BG14" s="3" t="s">
        <v>18</v>
      </c>
      <c r="BH14" s="3" t="s">
        <v>7</v>
      </c>
      <c r="BI14" s="3" t="s">
        <v>8</v>
      </c>
      <c r="BJ14" s="3" t="s">
        <v>9</v>
      </c>
      <c r="BL14" s="3" t="s">
        <v>18</v>
      </c>
      <c r="BM14" s="3" t="s">
        <v>7</v>
      </c>
      <c r="BN14" s="3" t="s">
        <v>8</v>
      </c>
      <c r="BO14" s="3" t="s">
        <v>9</v>
      </c>
      <c r="BP14" s="3"/>
      <c r="BQ14" s="3" t="s">
        <v>18</v>
      </c>
      <c r="BR14" s="3" t="s">
        <v>7</v>
      </c>
      <c r="BS14" s="3" t="s">
        <v>8</v>
      </c>
      <c r="BT14" s="3" t="s">
        <v>9</v>
      </c>
      <c r="BV14" s="3" t="s">
        <v>18</v>
      </c>
      <c r="BW14" s="3" t="s">
        <v>7</v>
      </c>
      <c r="BX14" s="3" t="s">
        <v>8</v>
      </c>
      <c r="BY14" s="3" t="s">
        <v>9</v>
      </c>
      <c r="BZ14" s="3"/>
      <c r="CA14" s="3" t="s">
        <v>18</v>
      </c>
      <c r="CB14" s="3" t="s">
        <v>7</v>
      </c>
      <c r="CC14" s="3" t="s">
        <v>8</v>
      </c>
      <c r="CD14" s="3" t="s">
        <v>9</v>
      </c>
      <c r="CF14" s="3" t="s">
        <v>18</v>
      </c>
      <c r="CG14" s="3" t="s">
        <v>7</v>
      </c>
      <c r="CH14" s="3" t="s">
        <v>8</v>
      </c>
      <c r="CI14" s="3" t="s">
        <v>9</v>
      </c>
      <c r="CJ14" s="3"/>
      <c r="CK14" s="3" t="s">
        <v>18</v>
      </c>
      <c r="CL14" s="3" t="s">
        <v>7</v>
      </c>
      <c r="CM14" s="3" t="s">
        <v>8</v>
      </c>
      <c r="CN14" s="3" t="s">
        <v>9</v>
      </c>
      <c r="CP14" s="3" t="s">
        <v>18</v>
      </c>
      <c r="CQ14" s="3" t="s">
        <v>7</v>
      </c>
      <c r="CR14" s="3" t="s">
        <v>8</v>
      </c>
      <c r="CS14" s="3" t="s">
        <v>9</v>
      </c>
      <c r="CT14" s="3"/>
      <c r="CU14" s="3" t="s">
        <v>18</v>
      </c>
      <c r="CV14" s="3" t="s">
        <v>7</v>
      </c>
      <c r="CW14" s="3" t="s">
        <v>8</v>
      </c>
      <c r="CX14" s="3" t="s">
        <v>9</v>
      </c>
      <c r="CZ14" s="3" t="s">
        <v>18</v>
      </c>
      <c r="DA14" s="3" t="s">
        <v>7</v>
      </c>
      <c r="DB14" s="3" t="s">
        <v>8</v>
      </c>
      <c r="DC14" s="3" t="s">
        <v>9</v>
      </c>
      <c r="DD14" s="3"/>
      <c r="DE14" s="3" t="s">
        <v>18</v>
      </c>
      <c r="DF14" s="3" t="s">
        <v>7</v>
      </c>
      <c r="DG14" s="3" t="s">
        <v>8</v>
      </c>
      <c r="DH14" s="3" t="s">
        <v>9</v>
      </c>
      <c r="DJ14" s="3" t="s">
        <v>18</v>
      </c>
      <c r="DK14" s="3" t="s">
        <v>7</v>
      </c>
      <c r="DL14" s="3" t="s">
        <v>8</v>
      </c>
      <c r="DM14" s="3" t="s">
        <v>9</v>
      </c>
      <c r="DN14" s="3"/>
      <c r="DO14" s="3" t="s">
        <v>18</v>
      </c>
      <c r="DP14" s="3" t="s">
        <v>7</v>
      </c>
      <c r="DQ14" s="3" t="s">
        <v>8</v>
      </c>
      <c r="DR14" s="3" t="s">
        <v>9</v>
      </c>
      <c r="DT14" s="3" t="s">
        <v>18</v>
      </c>
      <c r="DU14" s="3" t="s">
        <v>7</v>
      </c>
      <c r="DV14" s="3" t="s">
        <v>8</v>
      </c>
      <c r="DW14" s="3" t="s">
        <v>9</v>
      </c>
      <c r="DX14" s="3"/>
      <c r="DY14" s="3" t="s">
        <v>18</v>
      </c>
      <c r="DZ14" s="3" t="s">
        <v>7</v>
      </c>
      <c r="EA14" s="3" t="s">
        <v>8</v>
      </c>
      <c r="EB14" s="3" t="s">
        <v>9</v>
      </c>
      <c r="ED14" s="3" t="s">
        <v>18</v>
      </c>
      <c r="EE14" s="3" t="s">
        <v>7</v>
      </c>
      <c r="EF14" s="3" t="s">
        <v>8</v>
      </c>
      <c r="EG14" s="3" t="s">
        <v>9</v>
      </c>
      <c r="EH14" s="3"/>
      <c r="EI14" s="3" t="s">
        <v>18</v>
      </c>
      <c r="EJ14" s="3" t="s">
        <v>7</v>
      </c>
      <c r="EK14" s="3" t="s">
        <v>8</v>
      </c>
      <c r="EL14" s="3" t="s">
        <v>9</v>
      </c>
      <c r="EN14" s="3" t="s">
        <v>18</v>
      </c>
      <c r="EO14" s="3" t="s">
        <v>7</v>
      </c>
      <c r="EP14" s="3" t="s">
        <v>8</v>
      </c>
      <c r="EQ14" s="3" t="s">
        <v>9</v>
      </c>
      <c r="ER14" s="3"/>
      <c r="ES14" s="3" t="s">
        <v>18</v>
      </c>
      <c r="ET14" s="3" t="s">
        <v>7</v>
      </c>
      <c r="EU14" s="3" t="s">
        <v>8</v>
      </c>
      <c r="EV14" s="3" t="s">
        <v>9</v>
      </c>
      <c r="EX14" s="3" t="s">
        <v>18</v>
      </c>
      <c r="EY14" s="3" t="s">
        <v>7</v>
      </c>
      <c r="EZ14" s="3" t="s">
        <v>8</v>
      </c>
      <c r="FA14" s="3" t="s">
        <v>9</v>
      </c>
      <c r="FB14" s="3"/>
      <c r="FC14" s="3" t="s">
        <v>18</v>
      </c>
      <c r="FD14" s="3" t="s">
        <v>7</v>
      </c>
      <c r="FE14" s="3" t="s">
        <v>8</v>
      </c>
      <c r="FF14" s="3" t="s">
        <v>9</v>
      </c>
      <c r="FH14" s="3" t="s">
        <v>18</v>
      </c>
      <c r="FI14" s="3" t="s">
        <v>7</v>
      </c>
      <c r="FJ14" s="3" t="s">
        <v>8</v>
      </c>
      <c r="FK14" s="3" t="s">
        <v>9</v>
      </c>
      <c r="FL14" s="3"/>
      <c r="FM14" s="3" t="s">
        <v>18</v>
      </c>
      <c r="FN14" s="3" t="s">
        <v>7</v>
      </c>
      <c r="FO14" s="3" t="s">
        <v>8</v>
      </c>
      <c r="FP14" s="3" t="s">
        <v>9</v>
      </c>
      <c r="FR14" s="3" t="s">
        <v>18</v>
      </c>
      <c r="FS14" s="3" t="s">
        <v>7</v>
      </c>
      <c r="FT14" s="3" t="s">
        <v>8</v>
      </c>
      <c r="FU14" s="3" t="s">
        <v>9</v>
      </c>
      <c r="FV14" s="3"/>
      <c r="FW14" s="3" t="s">
        <v>18</v>
      </c>
      <c r="FX14" s="3" t="s">
        <v>7</v>
      </c>
      <c r="FY14" s="3" t="s">
        <v>8</v>
      </c>
      <c r="FZ14" s="3" t="s">
        <v>9</v>
      </c>
      <c r="GB14" s="3" t="s">
        <v>18</v>
      </c>
      <c r="GC14" s="3" t="s">
        <v>7</v>
      </c>
      <c r="GD14" s="3" t="s">
        <v>8</v>
      </c>
      <c r="GE14" s="3" t="s">
        <v>9</v>
      </c>
      <c r="GF14" s="3"/>
      <c r="GG14" s="3" t="s">
        <v>18</v>
      </c>
      <c r="GH14" s="3" t="s">
        <v>7</v>
      </c>
      <c r="GI14" s="3" t="s">
        <v>8</v>
      </c>
      <c r="GJ14" s="3" t="s">
        <v>9</v>
      </c>
      <c r="GL14" s="3" t="s">
        <v>18</v>
      </c>
      <c r="GM14" s="3" t="s">
        <v>7</v>
      </c>
      <c r="GN14" s="3" t="s">
        <v>8</v>
      </c>
      <c r="GO14" s="3" t="s">
        <v>9</v>
      </c>
      <c r="GP14" s="3"/>
      <c r="GQ14" s="3" t="s">
        <v>18</v>
      </c>
      <c r="GR14" s="3" t="s">
        <v>7</v>
      </c>
      <c r="GS14" s="3" t="s">
        <v>8</v>
      </c>
      <c r="GT14" s="3" t="s">
        <v>9</v>
      </c>
      <c r="GV14" s="3" t="s">
        <v>18</v>
      </c>
      <c r="GW14" s="3" t="s">
        <v>7</v>
      </c>
      <c r="GX14" s="3" t="s">
        <v>8</v>
      </c>
      <c r="GY14" s="3" t="s">
        <v>9</v>
      </c>
      <c r="GZ14" s="3"/>
      <c r="HA14" s="3" t="s">
        <v>18</v>
      </c>
      <c r="HB14" s="3" t="s">
        <v>7</v>
      </c>
      <c r="HC14" s="3" t="s">
        <v>8</v>
      </c>
      <c r="HD14" s="3" t="s">
        <v>9</v>
      </c>
      <c r="HF14" s="3" t="s">
        <v>18</v>
      </c>
      <c r="HG14" s="3" t="s">
        <v>7</v>
      </c>
      <c r="HH14" s="3" t="s">
        <v>8</v>
      </c>
      <c r="HI14" s="3" t="s">
        <v>9</v>
      </c>
      <c r="HJ14" s="3"/>
      <c r="HK14" s="3" t="s">
        <v>18</v>
      </c>
      <c r="HL14" s="3" t="s">
        <v>7</v>
      </c>
      <c r="HM14" s="3" t="s">
        <v>8</v>
      </c>
      <c r="HN14" s="3" t="s">
        <v>9</v>
      </c>
      <c r="HP14" s="3" t="s">
        <v>18</v>
      </c>
      <c r="HQ14" s="3" t="s">
        <v>7</v>
      </c>
      <c r="HR14" s="3" t="s">
        <v>8</v>
      </c>
      <c r="HS14" s="3" t="s">
        <v>9</v>
      </c>
      <c r="HT14" s="3"/>
      <c r="HU14" s="3" t="s">
        <v>18</v>
      </c>
      <c r="HV14" s="3" t="s">
        <v>7</v>
      </c>
      <c r="HW14" s="3" t="s">
        <v>8</v>
      </c>
      <c r="HX14" s="3" t="s">
        <v>9</v>
      </c>
      <c r="HZ14" s="3" t="s">
        <v>18</v>
      </c>
      <c r="IA14" s="3" t="s">
        <v>7</v>
      </c>
      <c r="IB14" s="3" t="s">
        <v>8</v>
      </c>
      <c r="IC14" s="3" t="s">
        <v>9</v>
      </c>
      <c r="ID14" s="3"/>
      <c r="IE14" s="3" t="s">
        <v>18</v>
      </c>
      <c r="IF14" s="3" t="s">
        <v>7</v>
      </c>
      <c r="IG14" s="3" t="s">
        <v>8</v>
      </c>
      <c r="IH14" s="3" t="s">
        <v>9</v>
      </c>
    </row>
    <row r="15" spans="1:301" x14ac:dyDescent="0.2">
      <c r="A15" s="48"/>
      <c r="E15" s="4"/>
      <c r="J15" s="4"/>
      <c r="O15" s="4"/>
      <c r="T15" s="4"/>
      <c r="Y15" s="4"/>
      <c r="AD15" s="4"/>
      <c r="AI15" s="4"/>
      <c r="AN15" s="4"/>
      <c r="AS15" s="4"/>
      <c r="AX15" s="4"/>
      <c r="BC15" s="4"/>
      <c r="BH15" s="4"/>
      <c r="BM15" s="4"/>
      <c r="BR15" s="4"/>
      <c r="BW15" s="4"/>
      <c r="CB15" s="4"/>
      <c r="CG15" s="4"/>
      <c r="CL15" s="4"/>
      <c r="CQ15" s="4"/>
      <c r="CV15" s="4"/>
      <c r="DA15" s="4"/>
      <c r="DF15" s="4"/>
      <c r="DK15" s="4"/>
      <c r="DP15" s="4"/>
      <c r="DU15" s="4"/>
      <c r="DZ15" s="4"/>
      <c r="EE15" s="4"/>
      <c r="EJ15" s="4"/>
      <c r="EO15" s="4"/>
      <c r="ET15" s="4"/>
      <c r="EY15" s="4"/>
      <c r="FD15" s="4"/>
      <c r="FI15" s="4"/>
      <c r="FN15" s="4"/>
      <c r="FS15" s="4"/>
      <c r="FX15" s="4"/>
      <c r="GC15" s="4"/>
      <c r="GH15" s="4"/>
      <c r="GM15" s="4"/>
      <c r="GR15" s="4"/>
      <c r="GW15" s="4"/>
      <c r="HB15" s="4"/>
      <c r="HG15" s="4"/>
      <c r="HL15" s="4"/>
      <c r="HQ15" s="4"/>
      <c r="HV15" s="4"/>
      <c r="IA15" s="4"/>
      <c r="IF15" s="4"/>
    </row>
    <row r="16" spans="1:301" ht="15.75" x14ac:dyDescent="0.25">
      <c r="A16" s="48"/>
      <c r="D16" s="1" t="s">
        <v>16</v>
      </c>
      <c r="E16" s="1">
        <f>SUM(Tableau1[DEBIT])</f>
        <v>0</v>
      </c>
      <c r="F16" s="1">
        <f>SUM(Tableau1[CREDIT])</f>
        <v>0</v>
      </c>
      <c r="G16" s="5">
        <f>SUM(Tableau1[[#Totals],[DEBIT]:[CREDIT]])</f>
        <v>0</v>
      </c>
      <c r="I16" s="1" t="s">
        <v>16</v>
      </c>
      <c r="J16" s="1">
        <f>SUM(Tableau16[DEBIT])</f>
        <v>0</v>
      </c>
      <c r="K16" s="1">
        <f>SUM(Tableau16[CREDIT])</f>
        <v>0</v>
      </c>
      <c r="L16" s="5">
        <f>SUM(Tableau16[[#Totals],[DEBIT]:[CREDIT]])</f>
        <v>0</v>
      </c>
      <c r="N16" s="1" t="s">
        <v>16</v>
      </c>
      <c r="O16" s="1">
        <f>SUM(Tableau1100[DEBIT])</f>
        <v>0</v>
      </c>
      <c r="P16" s="1">
        <f>SUM(Tableau1100[CREDIT])</f>
        <v>0</v>
      </c>
      <c r="Q16" s="5">
        <f>SUM(Tableau1100[[#Totals],[DEBIT]:[CREDIT]])</f>
        <v>0</v>
      </c>
      <c r="S16" s="1" t="s">
        <v>16</v>
      </c>
      <c r="T16" s="1">
        <f>SUM(Tableau16103[DEBIT])</f>
        <v>0</v>
      </c>
      <c r="U16" s="1">
        <f>SUM(Tableau16103[CREDIT])</f>
        <v>0</v>
      </c>
      <c r="V16" s="5">
        <f>SUM(Tableau16103[[#Totals],[DEBIT]:[CREDIT]])</f>
        <v>0</v>
      </c>
      <c r="X16" s="1" t="s">
        <v>16</v>
      </c>
      <c r="Y16" s="1">
        <f>SUM(Tableau1105[DEBIT])</f>
        <v>0</v>
      </c>
      <c r="Z16" s="1">
        <f>SUM(Tableau1105[CREDIT])</f>
        <v>0</v>
      </c>
      <c r="AA16" s="5">
        <f>SUM(Tableau1105[[#Totals],[DEBIT]:[CREDIT]])</f>
        <v>0</v>
      </c>
      <c r="AC16" s="1" t="s">
        <v>16</v>
      </c>
      <c r="AD16" s="1">
        <f>SUM(Tableau16107[DEBIT])</f>
        <v>0</v>
      </c>
      <c r="AE16" s="1">
        <f>SUM(Tableau16107[CREDIT])</f>
        <v>0</v>
      </c>
      <c r="AF16" s="5">
        <f>SUM(Tableau16107[[#Totals],[DEBIT]:[CREDIT]])</f>
        <v>0</v>
      </c>
      <c r="AH16" s="1" t="s">
        <v>16</v>
      </c>
      <c r="AI16" s="1">
        <f>SUM(Tableau1100109[DEBIT])</f>
        <v>0</v>
      </c>
      <c r="AJ16" s="1">
        <f>SUM(Tableau1100109[CREDIT])</f>
        <v>0</v>
      </c>
      <c r="AK16" s="5">
        <f>SUM(Tableau1100109[[#Totals],[DEBIT]:[CREDIT]])</f>
        <v>0</v>
      </c>
      <c r="AM16" s="1" t="s">
        <v>16</v>
      </c>
      <c r="AN16" s="1">
        <f>SUM(Tableau16103111[DEBIT])</f>
        <v>0</v>
      </c>
      <c r="AO16" s="1">
        <f>SUM(Tableau16103111[CREDIT])</f>
        <v>0</v>
      </c>
      <c r="AP16" s="5">
        <f>SUM(Tableau16103111[[#Totals],[DEBIT]:[CREDIT]])</f>
        <v>0</v>
      </c>
      <c r="AR16" s="1" t="s">
        <v>16</v>
      </c>
      <c r="AS16" s="1">
        <f>SUM(Tableau1113[DEBIT])</f>
        <v>0</v>
      </c>
      <c r="AT16" s="1">
        <f>SUM(Tableau1113[CREDIT])</f>
        <v>0</v>
      </c>
      <c r="AU16" s="5">
        <f>SUM(Tableau1113[[#Totals],[DEBIT]:[CREDIT]])</f>
        <v>0</v>
      </c>
      <c r="AW16" s="1" t="s">
        <v>16</v>
      </c>
      <c r="AX16" s="1">
        <f>SUM(Tableau16115[DEBIT])</f>
        <v>0</v>
      </c>
      <c r="AY16" s="1">
        <f>SUM(Tableau16115[CREDIT])</f>
        <v>0</v>
      </c>
      <c r="AZ16" s="5">
        <f>SUM(Tableau16115[[#Totals],[DEBIT]:[CREDIT]])</f>
        <v>0</v>
      </c>
      <c r="BB16" s="1" t="s">
        <v>16</v>
      </c>
      <c r="BC16" s="1">
        <f>SUM(Tableau1100117[DEBIT])</f>
        <v>0</v>
      </c>
      <c r="BD16" s="1">
        <f>SUM(Tableau1100117[CREDIT])</f>
        <v>0</v>
      </c>
      <c r="BE16" s="5">
        <f>SUM(Tableau1100117[[#Totals],[DEBIT]:[CREDIT]])</f>
        <v>0</v>
      </c>
      <c r="BG16" s="1" t="s">
        <v>16</v>
      </c>
      <c r="BH16" s="1">
        <f>SUM(Tableau16103119[DEBIT])</f>
        <v>0</v>
      </c>
      <c r="BI16" s="1">
        <f>SUM(Tableau16103119[CREDIT])</f>
        <v>0</v>
      </c>
      <c r="BJ16" s="5">
        <f>SUM(Tableau16103119[[#Totals],[DEBIT]:[CREDIT]])</f>
        <v>0</v>
      </c>
      <c r="BL16" s="1" t="s">
        <v>16</v>
      </c>
      <c r="BM16" s="1">
        <f>SUM(Tableau1105121[DEBIT])</f>
        <v>0</v>
      </c>
      <c r="BN16" s="1">
        <f>SUM(Tableau1105121[CREDIT])</f>
        <v>0</v>
      </c>
      <c r="BO16" s="5">
        <f>SUM(Tableau1105121[[#Totals],[DEBIT]:[CREDIT]])</f>
        <v>0</v>
      </c>
      <c r="BQ16" s="1" t="s">
        <v>16</v>
      </c>
      <c r="BR16" s="1">
        <f>SUM(Tableau16107123[DEBIT])</f>
        <v>0</v>
      </c>
      <c r="BS16" s="1">
        <f>SUM(Tableau16107123[CREDIT])</f>
        <v>0</v>
      </c>
      <c r="BT16" s="5">
        <f>SUM(Tableau16107123[[#Totals],[DEBIT]:[CREDIT]])</f>
        <v>0</v>
      </c>
      <c r="BV16" s="1" t="s">
        <v>16</v>
      </c>
      <c r="BW16" s="1">
        <f>SUM(Tableau1100109125[DEBIT])</f>
        <v>0</v>
      </c>
      <c r="BX16" s="1">
        <f>SUM(Tableau1100109125[CREDIT])</f>
        <v>0</v>
      </c>
      <c r="BY16" s="5">
        <f>SUM(Tableau1100109125[[#Totals],[DEBIT]:[CREDIT]])</f>
        <v>0</v>
      </c>
      <c r="CA16" s="1" t="s">
        <v>16</v>
      </c>
      <c r="CB16" s="1">
        <f>SUM(Tableau16103111127[DEBIT])</f>
        <v>0</v>
      </c>
      <c r="CC16" s="1">
        <f>SUM(Tableau16103111127[CREDIT])</f>
        <v>0</v>
      </c>
      <c r="CD16" s="5">
        <f>SUM(Tableau16103111127[[#Totals],[DEBIT]:[CREDIT]])</f>
        <v>0</v>
      </c>
      <c r="CF16" s="1" t="s">
        <v>16</v>
      </c>
      <c r="CG16" s="1">
        <f>SUM(Tableau1129[DEBIT])</f>
        <v>0</v>
      </c>
      <c r="CH16" s="1">
        <f>SUM(Tableau1129[CREDIT])</f>
        <v>0</v>
      </c>
      <c r="CI16" s="5">
        <f>SUM(Tableau1129[[#Totals],[DEBIT]:[CREDIT]])</f>
        <v>0</v>
      </c>
      <c r="CK16" s="1" t="s">
        <v>16</v>
      </c>
      <c r="CL16" s="1">
        <f>SUM(Tableau16131[DEBIT])</f>
        <v>0</v>
      </c>
      <c r="CM16" s="1">
        <f>SUM(Tableau16131[CREDIT])</f>
        <v>0</v>
      </c>
      <c r="CN16" s="5">
        <f>SUM(Tableau16131[[#Totals],[DEBIT]:[CREDIT]])</f>
        <v>0</v>
      </c>
      <c r="CP16" s="1" t="s">
        <v>16</v>
      </c>
      <c r="CQ16" s="1">
        <f>SUM(Tableau1100133[DEBIT])</f>
        <v>0</v>
      </c>
      <c r="CR16" s="1">
        <f>SUM(Tableau1100133[CREDIT])</f>
        <v>0</v>
      </c>
      <c r="CS16" s="5">
        <f>SUM(Tableau1100133[[#Totals],[DEBIT]:[CREDIT]])</f>
        <v>0</v>
      </c>
      <c r="CU16" s="1" t="s">
        <v>16</v>
      </c>
      <c r="CV16" s="1">
        <f>SUM(Tableau16103135[DEBIT])</f>
        <v>0</v>
      </c>
      <c r="CW16" s="1">
        <f>SUM(Tableau16103135[CREDIT])</f>
        <v>0</v>
      </c>
      <c r="CX16" s="5">
        <f>SUM(Tableau16103135[[#Totals],[DEBIT]:[CREDIT]])</f>
        <v>0</v>
      </c>
      <c r="CZ16" s="1" t="s">
        <v>16</v>
      </c>
      <c r="DA16" s="1">
        <f>SUM(Tableau1105137[DEBIT])</f>
        <v>0</v>
      </c>
      <c r="DB16" s="1">
        <f>SUM(Tableau1105137[CREDIT])</f>
        <v>0</v>
      </c>
      <c r="DC16" s="5">
        <f>SUM(Tableau1105137[[#Totals],[DEBIT]:[CREDIT]])</f>
        <v>0</v>
      </c>
      <c r="DE16" s="1" t="s">
        <v>16</v>
      </c>
      <c r="DF16" s="1">
        <f>SUM(Tableau16107139[DEBIT])</f>
        <v>0</v>
      </c>
      <c r="DG16" s="1">
        <f>SUM(Tableau16107139[CREDIT])</f>
        <v>0</v>
      </c>
      <c r="DH16" s="5">
        <f>SUM(Tableau16107139[[#Totals],[DEBIT]:[CREDIT]])</f>
        <v>0</v>
      </c>
      <c r="DJ16" s="1" t="s">
        <v>16</v>
      </c>
      <c r="DK16" s="1">
        <f>SUM(Tableau1100109141[DEBIT])</f>
        <v>0</v>
      </c>
      <c r="DL16" s="1">
        <f>SUM(Tableau1100109141[CREDIT])</f>
        <v>0</v>
      </c>
      <c r="DM16" s="5">
        <f>SUM(Tableau1100109141[[#Totals],[DEBIT]:[CREDIT]])</f>
        <v>0</v>
      </c>
      <c r="DO16" s="1" t="s">
        <v>16</v>
      </c>
      <c r="DP16" s="1">
        <f>SUM(Tableau16103111143[DEBIT])</f>
        <v>0</v>
      </c>
      <c r="DQ16" s="1">
        <f>SUM(Tableau16103111143[CREDIT])</f>
        <v>0</v>
      </c>
      <c r="DR16" s="5">
        <f>SUM(Tableau16103111143[[#Totals],[DEBIT]:[CREDIT]])</f>
        <v>0</v>
      </c>
      <c r="DT16" s="1" t="s">
        <v>16</v>
      </c>
      <c r="DU16" s="1">
        <f>SUM(Tableau1145[DEBIT])</f>
        <v>0</v>
      </c>
      <c r="DV16" s="1">
        <f>SUM(Tableau1145[CREDIT])</f>
        <v>0</v>
      </c>
      <c r="DW16" s="5">
        <f>SUM(Tableau1145[[#Totals],[DEBIT]:[CREDIT]])</f>
        <v>0</v>
      </c>
      <c r="DY16" s="1" t="s">
        <v>16</v>
      </c>
      <c r="DZ16" s="1">
        <f>SUM(Tableau16147[DEBIT])</f>
        <v>0</v>
      </c>
      <c r="EA16" s="1">
        <f>SUM(Tableau16147[CREDIT])</f>
        <v>0</v>
      </c>
      <c r="EB16" s="5">
        <f>SUM(Tableau16147[[#Totals],[DEBIT]:[CREDIT]])</f>
        <v>0</v>
      </c>
      <c r="ED16" s="1" t="s">
        <v>16</v>
      </c>
      <c r="EE16" s="1">
        <f>SUM(Tableau1100149[DEBIT])</f>
        <v>0</v>
      </c>
      <c r="EF16" s="1">
        <f>SUM(Tableau1100149[CREDIT])</f>
        <v>0</v>
      </c>
      <c r="EG16" s="5">
        <f>SUM(Tableau1100149[[#Totals],[DEBIT]:[CREDIT]])</f>
        <v>0</v>
      </c>
      <c r="EI16" s="1" t="s">
        <v>16</v>
      </c>
      <c r="EJ16" s="1">
        <f>SUM(Tableau16103151[DEBIT])</f>
        <v>0</v>
      </c>
      <c r="EK16" s="1">
        <f>SUM(Tableau16103151[CREDIT])</f>
        <v>0</v>
      </c>
      <c r="EL16" s="5">
        <f>SUM(Tableau16103151[[#Totals],[DEBIT]:[CREDIT]])</f>
        <v>0</v>
      </c>
      <c r="EN16" s="1" t="s">
        <v>16</v>
      </c>
      <c r="EO16" s="1">
        <f>SUM(Tableau1105153[DEBIT])</f>
        <v>0</v>
      </c>
      <c r="EP16" s="1">
        <f>SUM(Tableau1105153[CREDIT])</f>
        <v>0</v>
      </c>
      <c r="EQ16" s="5">
        <f>SUM(Tableau1105153[[#Totals],[DEBIT]:[CREDIT]])</f>
        <v>0</v>
      </c>
      <c r="ES16" s="1" t="s">
        <v>16</v>
      </c>
      <c r="ET16" s="1">
        <f>SUM(Tableau16107155[DEBIT])</f>
        <v>0</v>
      </c>
      <c r="EU16" s="1">
        <f>SUM(Tableau16107155[CREDIT])</f>
        <v>0</v>
      </c>
      <c r="EV16" s="5">
        <f>SUM(Tableau16107155[[#Totals],[DEBIT]:[CREDIT]])</f>
        <v>0</v>
      </c>
      <c r="EX16" s="1" t="s">
        <v>16</v>
      </c>
      <c r="EY16" s="1">
        <f>SUM(Tableau1100109157[DEBIT])</f>
        <v>0</v>
      </c>
      <c r="EZ16" s="1">
        <f>SUM(Tableau1100109157[CREDIT])</f>
        <v>0</v>
      </c>
      <c r="FA16" s="5">
        <f>SUM(Tableau1100109157[[#Totals],[DEBIT]:[CREDIT]])</f>
        <v>0</v>
      </c>
      <c r="FC16" s="1" t="s">
        <v>16</v>
      </c>
      <c r="FD16" s="1">
        <f>SUM(Tableau16103111159[DEBIT])</f>
        <v>0</v>
      </c>
      <c r="FE16" s="1">
        <f>SUM(Tableau16103111159[CREDIT])</f>
        <v>0</v>
      </c>
      <c r="FF16" s="5">
        <f>SUM(Tableau16103111159[[#Totals],[DEBIT]:[CREDIT]])</f>
        <v>0</v>
      </c>
      <c r="FH16" s="1" t="s">
        <v>16</v>
      </c>
      <c r="FI16" s="1">
        <f>SUM(Tableau1161[DEBIT])</f>
        <v>0</v>
      </c>
      <c r="FJ16" s="1">
        <f>SUM(Tableau1161[CREDIT])</f>
        <v>0</v>
      </c>
      <c r="FK16" s="5">
        <f>SUM(Tableau1161[[#Totals],[DEBIT]:[CREDIT]])</f>
        <v>0</v>
      </c>
      <c r="FM16" s="1" t="s">
        <v>16</v>
      </c>
      <c r="FN16" s="1">
        <f>SUM(Tableau16163[DEBIT])</f>
        <v>0</v>
      </c>
      <c r="FO16" s="1">
        <f>SUM(Tableau16163[CREDIT])</f>
        <v>0</v>
      </c>
      <c r="FP16" s="5">
        <f>SUM(Tableau16163[[#Totals],[DEBIT]:[CREDIT]])</f>
        <v>0</v>
      </c>
      <c r="FR16" s="1" t="s">
        <v>16</v>
      </c>
      <c r="FS16" s="1">
        <f>SUM(Tableau1100165[DEBIT])</f>
        <v>0</v>
      </c>
      <c r="FT16" s="1">
        <f>SUM(Tableau1100165[CREDIT])</f>
        <v>0</v>
      </c>
      <c r="FU16" s="5">
        <f>SUM(Tableau1100165[[#Totals],[DEBIT]:[CREDIT]])</f>
        <v>0</v>
      </c>
      <c r="FW16" s="1" t="s">
        <v>16</v>
      </c>
      <c r="FX16" s="1">
        <f>SUM(Tableau16103167[DEBIT])</f>
        <v>0</v>
      </c>
      <c r="FY16" s="1">
        <f>SUM(Tableau16103167[CREDIT])</f>
        <v>0</v>
      </c>
      <c r="FZ16" s="5">
        <f>SUM(Tableau16103167[[#Totals],[DEBIT]:[CREDIT]])</f>
        <v>0</v>
      </c>
      <c r="GB16" s="1" t="s">
        <v>16</v>
      </c>
      <c r="GC16" s="1">
        <f>SUM(Tableau1105169[DEBIT])</f>
        <v>0</v>
      </c>
      <c r="GD16" s="1">
        <f>SUM(Tableau1105169[CREDIT])</f>
        <v>0</v>
      </c>
      <c r="GE16" s="5">
        <f>SUM(Tableau1105169[[#Totals],[DEBIT]:[CREDIT]])</f>
        <v>0</v>
      </c>
      <c r="GG16" s="1" t="s">
        <v>16</v>
      </c>
      <c r="GH16" s="1">
        <f>SUM(Tableau16107171[DEBIT])</f>
        <v>0</v>
      </c>
      <c r="GI16" s="1">
        <f>SUM(Tableau16107171[CREDIT])</f>
        <v>0</v>
      </c>
      <c r="GJ16" s="5">
        <f>SUM(Tableau16107171[[#Totals],[DEBIT]:[CREDIT]])</f>
        <v>0</v>
      </c>
      <c r="GL16" s="1" t="s">
        <v>16</v>
      </c>
      <c r="GM16" s="1">
        <f>SUM(Tableau1100109173[DEBIT])</f>
        <v>0</v>
      </c>
      <c r="GN16" s="1">
        <f>SUM(Tableau1100109173[CREDIT])</f>
        <v>0</v>
      </c>
      <c r="GO16" s="5">
        <f>SUM(Tableau1100109173[[#Totals],[DEBIT]:[CREDIT]])</f>
        <v>0</v>
      </c>
      <c r="GQ16" s="1" t="s">
        <v>16</v>
      </c>
      <c r="GR16" s="1">
        <f>SUM(Tableau16103111175[DEBIT])</f>
        <v>0</v>
      </c>
      <c r="GS16" s="1">
        <f>SUM(Tableau16103111175[CREDIT])</f>
        <v>0</v>
      </c>
      <c r="GT16" s="5">
        <f>SUM(Tableau16103111175[[#Totals],[DEBIT]:[CREDIT]])</f>
        <v>0</v>
      </c>
      <c r="GV16" s="1" t="s">
        <v>16</v>
      </c>
      <c r="GW16" s="1">
        <f>SUM(Tableau1177[DEBIT])</f>
        <v>0</v>
      </c>
      <c r="GX16" s="1">
        <f>SUM(Tableau1177[CREDIT])</f>
        <v>0</v>
      </c>
      <c r="GY16" s="5">
        <f>SUM(Tableau1177[[#Totals],[DEBIT]:[CREDIT]])</f>
        <v>0</v>
      </c>
      <c r="HA16" s="1" t="s">
        <v>16</v>
      </c>
      <c r="HB16" s="1">
        <f>SUM(Tableau16179[DEBIT])</f>
        <v>0</v>
      </c>
      <c r="HC16" s="1">
        <f>SUM(Tableau16179[CREDIT])</f>
        <v>0</v>
      </c>
      <c r="HD16" s="5">
        <f>SUM(Tableau16179[[#Totals],[DEBIT]:[CREDIT]])</f>
        <v>0</v>
      </c>
      <c r="HF16" s="1" t="s">
        <v>16</v>
      </c>
      <c r="HG16" s="1">
        <f>SUM(Tableau1100181[DEBIT])</f>
        <v>0</v>
      </c>
      <c r="HH16" s="1">
        <f>SUM(Tableau1100181[CREDIT])</f>
        <v>0</v>
      </c>
      <c r="HI16" s="5">
        <f>SUM(Tableau1100181[[#Totals],[DEBIT]:[CREDIT]])</f>
        <v>0</v>
      </c>
      <c r="HK16" s="1" t="s">
        <v>16</v>
      </c>
      <c r="HL16" s="1">
        <f>SUM(Tableau16103183[DEBIT])</f>
        <v>0</v>
      </c>
      <c r="HM16" s="1">
        <f>SUM(Tableau16103183[CREDIT])</f>
        <v>0</v>
      </c>
      <c r="HN16" s="5">
        <f>SUM(Tableau16103183[[#Totals],[DEBIT]:[CREDIT]])</f>
        <v>0</v>
      </c>
      <c r="HP16" s="1" t="s">
        <v>16</v>
      </c>
      <c r="HQ16" s="1">
        <f>SUM(Tableau1105185[DEBIT])</f>
        <v>0</v>
      </c>
      <c r="HR16" s="1">
        <f>SUM(Tableau1105185[CREDIT])</f>
        <v>0</v>
      </c>
      <c r="HS16" s="5">
        <f>SUM(Tableau1105185[[#Totals],[DEBIT]:[CREDIT]])</f>
        <v>0</v>
      </c>
      <c r="HU16" s="1" t="s">
        <v>16</v>
      </c>
      <c r="HV16" s="1">
        <f>SUM(Tableau16107187[DEBIT])</f>
        <v>0</v>
      </c>
      <c r="HW16" s="1">
        <f>SUM(Tableau16107187[CREDIT])</f>
        <v>0</v>
      </c>
      <c r="HX16" s="5">
        <f>SUM(Tableau16107187[[#Totals],[DEBIT]:[CREDIT]])</f>
        <v>0</v>
      </c>
      <c r="HZ16" s="1" t="s">
        <v>16</v>
      </c>
      <c r="IA16" s="1">
        <f>SUM(Tableau1100109189[DEBIT])</f>
        <v>0</v>
      </c>
      <c r="IB16" s="1">
        <f>SUM(Tableau1100109189[CREDIT])</f>
        <v>0</v>
      </c>
      <c r="IC16" s="5">
        <f>SUM(Tableau1100109189[[#Totals],[DEBIT]:[CREDIT]])</f>
        <v>0</v>
      </c>
      <c r="IE16" s="1" t="s">
        <v>16</v>
      </c>
      <c r="IF16" s="1">
        <f>SUM(Tableau16103111191[DEBIT])</f>
        <v>0</v>
      </c>
      <c r="IG16" s="1">
        <f>SUM(Tableau16103111191[CREDIT])</f>
        <v>0</v>
      </c>
      <c r="IH16" s="5">
        <f>SUM(Tableau16103111191[[#Totals],[DEBIT]:[CREDIT]])</f>
        <v>0</v>
      </c>
    </row>
    <row r="17" spans="1:242" x14ac:dyDescent="0.2">
      <c r="A17" s="50"/>
    </row>
    <row r="18" spans="1:242" ht="15" x14ac:dyDescent="0.25">
      <c r="A18" s="50"/>
      <c r="D18" s="6" t="s">
        <v>17</v>
      </c>
      <c r="E18" s="6" t="s">
        <v>7</v>
      </c>
      <c r="F18" s="6" t="s">
        <v>8</v>
      </c>
      <c r="G18" s="6" t="s">
        <v>9</v>
      </c>
      <c r="I18" s="6" t="s">
        <v>17</v>
      </c>
      <c r="J18" s="6" t="s">
        <v>7</v>
      </c>
      <c r="K18" s="6" t="s">
        <v>8</v>
      </c>
      <c r="L18" s="6" t="s">
        <v>9</v>
      </c>
      <c r="N18" s="6" t="s">
        <v>17</v>
      </c>
      <c r="O18" s="6" t="s">
        <v>7</v>
      </c>
      <c r="P18" s="6" t="s">
        <v>8</v>
      </c>
      <c r="Q18" s="6" t="s">
        <v>9</v>
      </c>
      <c r="S18" s="6" t="s">
        <v>17</v>
      </c>
      <c r="T18" s="6" t="s">
        <v>7</v>
      </c>
      <c r="U18" s="6" t="s">
        <v>8</v>
      </c>
      <c r="V18" s="6" t="s">
        <v>9</v>
      </c>
      <c r="X18" s="6" t="s">
        <v>17</v>
      </c>
      <c r="Y18" s="6" t="s">
        <v>7</v>
      </c>
      <c r="Z18" s="6" t="s">
        <v>8</v>
      </c>
      <c r="AA18" s="6" t="s">
        <v>9</v>
      </c>
      <c r="AC18" s="6" t="s">
        <v>17</v>
      </c>
      <c r="AD18" s="6" t="s">
        <v>7</v>
      </c>
      <c r="AE18" s="6" t="s">
        <v>8</v>
      </c>
      <c r="AF18" s="6" t="s">
        <v>9</v>
      </c>
      <c r="AH18" s="6" t="s">
        <v>17</v>
      </c>
      <c r="AI18" s="6" t="s">
        <v>7</v>
      </c>
      <c r="AJ18" s="6" t="s">
        <v>8</v>
      </c>
      <c r="AK18" s="6" t="s">
        <v>9</v>
      </c>
      <c r="AM18" s="6" t="s">
        <v>17</v>
      </c>
      <c r="AN18" s="6" t="s">
        <v>7</v>
      </c>
      <c r="AO18" s="6" t="s">
        <v>8</v>
      </c>
      <c r="AP18" s="6" t="s">
        <v>9</v>
      </c>
      <c r="AR18" s="6" t="s">
        <v>17</v>
      </c>
      <c r="AS18" s="6" t="s">
        <v>7</v>
      </c>
      <c r="AT18" s="6" t="s">
        <v>8</v>
      </c>
      <c r="AU18" s="6" t="s">
        <v>9</v>
      </c>
      <c r="AW18" s="6" t="s">
        <v>17</v>
      </c>
      <c r="AX18" s="6" t="s">
        <v>7</v>
      </c>
      <c r="AY18" s="6" t="s">
        <v>8</v>
      </c>
      <c r="AZ18" s="6" t="s">
        <v>9</v>
      </c>
      <c r="BB18" s="6" t="s">
        <v>17</v>
      </c>
      <c r="BC18" s="6" t="s">
        <v>7</v>
      </c>
      <c r="BD18" s="6" t="s">
        <v>8</v>
      </c>
      <c r="BE18" s="6" t="s">
        <v>9</v>
      </c>
      <c r="BG18" s="6" t="s">
        <v>17</v>
      </c>
      <c r="BH18" s="6" t="s">
        <v>7</v>
      </c>
      <c r="BI18" s="6" t="s">
        <v>8</v>
      </c>
      <c r="BJ18" s="6" t="s">
        <v>9</v>
      </c>
      <c r="BL18" s="6" t="s">
        <v>17</v>
      </c>
      <c r="BM18" s="6" t="s">
        <v>7</v>
      </c>
      <c r="BN18" s="6" t="s">
        <v>8</v>
      </c>
      <c r="BO18" s="6" t="s">
        <v>9</v>
      </c>
      <c r="BQ18" s="6" t="s">
        <v>17</v>
      </c>
      <c r="BR18" s="6" t="s">
        <v>7</v>
      </c>
      <c r="BS18" s="6" t="s">
        <v>8</v>
      </c>
      <c r="BT18" s="6" t="s">
        <v>9</v>
      </c>
      <c r="BV18" s="6" t="s">
        <v>17</v>
      </c>
      <c r="BW18" s="6" t="s">
        <v>7</v>
      </c>
      <c r="BX18" s="6" t="s">
        <v>8</v>
      </c>
      <c r="BY18" s="6" t="s">
        <v>9</v>
      </c>
      <c r="CA18" s="6" t="s">
        <v>17</v>
      </c>
      <c r="CB18" s="6" t="s">
        <v>7</v>
      </c>
      <c r="CC18" s="6" t="s">
        <v>8</v>
      </c>
      <c r="CD18" s="6" t="s">
        <v>9</v>
      </c>
      <c r="CF18" s="6" t="s">
        <v>17</v>
      </c>
      <c r="CG18" s="6" t="s">
        <v>7</v>
      </c>
      <c r="CH18" s="6" t="s">
        <v>8</v>
      </c>
      <c r="CI18" s="6" t="s">
        <v>9</v>
      </c>
      <c r="CK18" s="6" t="s">
        <v>17</v>
      </c>
      <c r="CL18" s="6" t="s">
        <v>7</v>
      </c>
      <c r="CM18" s="6" t="s">
        <v>8</v>
      </c>
      <c r="CN18" s="6" t="s">
        <v>9</v>
      </c>
      <c r="CP18" s="6" t="s">
        <v>17</v>
      </c>
      <c r="CQ18" s="6" t="s">
        <v>7</v>
      </c>
      <c r="CR18" s="6" t="s">
        <v>8</v>
      </c>
      <c r="CS18" s="6" t="s">
        <v>9</v>
      </c>
      <c r="CU18" s="6" t="s">
        <v>17</v>
      </c>
      <c r="CV18" s="6" t="s">
        <v>7</v>
      </c>
      <c r="CW18" s="6" t="s">
        <v>8</v>
      </c>
      <c r="CX18" s="6" t="s">
        <v>9</v>
      </c>
      <c r="CZ18" s="6" t="s">
        <v>17</v>
      </c>
      <c r="DA18" s="6" t="s">
        <v>7</v>
      </c>
      <c r="DB18" s="6" t="s">
        <v>8</v>
      </c>
      <c r="DC18" s="6" t="s">
        <v>9</v>
      </c>
      <c r="DE18" s="6" t="s">
        <v>17</v>
      </c>
      <c r="DF18" s="6" t="s">
        <v>7</v>
      </c>
      <c r="DG18" s="6" t="s">
        <v>8</v>
      </c>
      <c r="DH18" s="6" t="s">
        <v>9</v>
      </c>
      <c r="DJ18" s="6" t="s">
        <v>17</v>
      </c>
      <c r="DK18" s="6" t="s">
        <v>7</v>
      </c>
      <c r="DL18" s="6" t="s">
        <v>8</v>
      </c>
      <c r="DM18" s="6" t="s">
        <v>9</v>
      </c>
      <c r="DO18" s="6" t="s">
        <v>17</v>
      </c>
      <c r="DP18" s="6" t="s">
        <v>7</v>
      </c>
      <c r="DQ18" s="6" t="s">
        <v>8</v>
      </c>
      <c r="DR18" s="6" t="s">
        <v>9</v>
      </c>
      <c r="DT18" s="6" t="s">
        <v>17</v>
      </c>
      <c r="DU18" s="6" t="s">
        <v>7</v>
      </c>
      <c r="DV18" s="6" t="s">
        <v>8</v>
      </c>
      <c r="DW18" s="6" t="s">
        <v>9</v>
      </c>
      <c r="DY18" s="6" t="s">
        <v>17</v>
      </c>
      <c r="DZ18" s="6" t="s">
        <v>7</v>
      </c>
      <c r="EA18" s="6" t="s">
        <v>8</v>
      </c>
      <c r="EB18" s="6" t="s">
        <v>9</v>
      </c>
      <c r="ED18" s="6" t="s">
        <v>17</v>
      </c>
      <c r="EE18" s="6" t="s">
        <v>7</v>
      </c>
      <c r="EF18" s="6" t="s">
        <v>8</v>
      </c>
      <c r="EG18" s="6" t="s">
        <v>9</v>
      </c>
      <c r="EI18" s="6" t="s">
        <v>17</v>
      </c>
      <c r="EJ18" s="6" t="s">
        <v>7</v>
      </c>
      <c r="EK18" s="6" t="s">
        <v>8</v>
      </c>
      <c r="EL18" s="6" t="s">
        <v>9</v>
      </c>
      <c r="EN18" s="6" t="s">
        <v>17</v>
      </c>
      <c r="EO18" s="6" t="s">
        <v>7</v>
      </c>
      <c r="EP18" s="6" t="s">
        <v>8</v>
      </c>
      <c r="EQ18" s="6" t="s">
        <v>9</v>
      </c>
      <c r="ES18" s="6" t="s">
        <v>17</v>
      </c>
      <c r="ET18" s="6" t="s">
        <v>7</v>
      </c>
      <c r="EU18" s="6" t="s">
        <v>8</v>
      </c>
      <c r="EV18" s="6" t="s">
        <v>9</v>
      </c>
      <c r="EX18" s="6" t="s">
        <v>17</v>
      </c>
      <c r="EY18" s="6" t="s">
        <v>7</v>
      </c>
      <c r="EZ18" s="6" t="s">
        <v>8</v>
      </c>
      <c r="FA18" s="6" t="s">
        <v>9</v>
      </c>
      <c r="FC18" s="6" t="s">
        <v>17</v>
      </c>
      <c r="FD18" s="6" t="s">
        <v>7</v>
      </c>
      <c r="FE18" s="6" t="s">
        <v>8</v>
      </c>
      <c r="FF18" s="6" t="s">
        <v>9</v>
      </c>
      <c r="FH18" s="6" t="s">
        <v>17</v>
      </c>
      <c r="FI18" s="6" t="s">
        <v>7</v>
      </c>
      <c r="FJ18" s="6" t="s">
        <v>8</v>
      </c>
      <c r="FK18" s="6" t="s">
        <v>9</v>
      </c>
      <c r="FM18" s="6" t="s">
        <v>17</v>
      </c>
      <c r="FN18" s="6" t="s">
        <v>7</v>
      </c>
      <c r="FO18" s="6" t="s">
        <v>8</v>
      </c>
      <c r="FP18" s="6" t="s">
        <v>9</v>
      </c>
      <c r="FR18" s="6" t="s">
        <v>17</v>
      </c>
      <c r="FS18" s="6" t="s">
        <v>7</v>
      </c>
      <c r="FT18" s="6" t="s">
        <v>8</v>
      </c>
      <c r="FU18" s="6" t="s">
        <v>9</v>
      </c>
      <c r="FW18" s="6" t="s">
        <v>17</v>
      </c>
      <c r="FX18" s="6" t="s">
        <v>7</v>
      </c>
      <c r="FY18" s="6" t="s">
        <v>8</v>
      </c>
      <c r="FZ18" s="6" t="s">
        <v>9</v>
      </c>
      <c r="GB18" s="6" t="s">
        <v>17</v>
      </c>
      <c r="GC18" s="6" t="s">
        <v>7</v>
      </c>
      <c r="GD18" s="6" t="s">
        <v>8</v>
      </c>
      <c r="GE18" s="6" t="s">
        <v>9</v>
      </c>
      <c r="GG18" s="6" t="s">
        <v>17</v>
      </c>
      <c r="GH18" s="6" t="s">
        <v>7</v>
      </c>
      <c r="GI18" s="6" t="s">
        <v>8</v>
      </c>
      <c r="GJ18" s="6" t="s">
        <v>9</v>
      </c>
      <c r="GL18" s="6" t="s">
        <v>17</v>
      </c>
      <c r="GM18" s="6" t="s">
        <v>7</v>
      </c>
      <c r="GN18" s="6" t="s">
        <v>8</v>
      </c>
      <c r="GO18" s="6" t="s">
        <v>9</v>
      </c>
      <c r="GQ18" s="6" t="s">
        <v>17</v>
      </c>
      <c r="GR18" s="6" t="s">
        <v>7</v>
      </c>
      <c r="GS18" s="6" t="s">
        <v>8</v>
      </c>
      <c r="GT18" s="6" t="s">
        <v>9</v>
      </c>
      <c r="GV18" s="6" t="s">
        <v>17</v>
      </c>
      <c r="GW18" s="6" t="s">
        <v>7</v>
      </c>
      <c r="GX18" s="6" t="s">
        <v>8</v>
      </c>
      <c r="GY18" s="6" t="s">
        <v>9</v>
      </c>
      <c r="HA18" s="6" t="s">
        <v>17</v>
      </c>
      <c r="HB18" s="6" t="s">
        <v>7</v>
      </c>
      <c r="HC18" s="6" t="s">
        <v>8</v>
      </c>
      <c r="HD18" s="6" t="s">
        <v>9</v>
      </c>
      <c r="HF18" s="6" t="s">
        <v>17</v>
      </c>
      <c r="HG18" s="6" t="s">
        <v>7</v>
      </c>
      <c r="HH18" s="6" t="s">
        <v>8</v>
      </c>
      <c r="HI18" s="6" t="s">
        <v>9</v>
      </c>
      <c r="HK18" s="6" t="s">
        <v>17</v>
      </c>
      <c r="HL18" s="6" t="s">
        <v>7</v>
      </c>
      <c r="HM18" s="6" t="s">
        <v>8</v>
      </c>
      <c r="HN18" s="6" t="s">
        <v>9</v>
      </c>
      <c r="HP18" s="6" t="s">
        <v>17</v>
      </c>
      <c r="HQ18" s="6" t="s">
        <v>7</v>
      </c>
      <c r="HR18" s="6" t="s">
        <v>8</v>
      </c>
      <c r="HS18" s="6" t="s">
        <v>9</v>
      </c>
      <c r="HU18" s="6" t="s">
        <v>17</v>
      </c>
      <c r="HV18" s="6" t="s">
        <v>7</v>
      </c>
      <c r="HW18" s="6" t="s">
        <v>8</v>
      </c>
      <c r="HX18" s="6" t="s">
        <v>9</v>
      </c>
      <c r="HZ18" s="6" t="s">
        <v>17</v>
      </c>
      <c r="IA18" s="6" t="s">
        <v>7</v>
      </c>
      <c r="IB18" s="6" t="s">
        <v>8</v>
      </c>
      <c r="IC18" s="6" t="s">
        <v>9</v>
      </c>
      <c r="IE18" s="6" t="s">
        <v>17</v>
      </c>
      <c r="IF18" s="6" t="s">
        <v>7</v>
      </c>
      <c r="IG18" s="6" t="s">
        <v>8</v>
      </c>
      <c r="IH18" s="6" t="s">
        <v>9</v>
      </c>
    </row>
    <row r="19" spans="1:242" x14ac:dyDescent="0.2">
      <c r="A19" s="50"/>
      <c r="D19" s="1" t="s">
        <v>31</v>
      </c>
    </row>
    <row r="20" spans="1:242" ht="15.75" x14ac:dyDescent="0.25">
      <c r="A20" s="50"/>
      <c r="D20" s="1" t="s">
        <v>32</v>
      </c>
      <c r="I20" s="1" t="s">
        <v>16</v>
      </c>
      <c r="J20" s="1">
        <f>SUM(Tableau33[DEBIT])</f>
        <v>0</v>
      </c>
      <c r="K20" s="1">
        <f>SUM(Tableau33[CREDIT])</f>
        <v>0</v>
      </c>
      <c r="L20" s="5">
        <f>SUM(Tableau33[[#Totals],[CREDIT]],Tableau33[[#Totals],[DEBIT]])</f>
        <v>0</v>
      </c>
      <c r="N20" s="1" t="s">
        <v>16</v>
      </c>
      <c r="O20" s="1">
        <f>SUM(Tableau3102[DEBIT])</f>
        <v>0</v>
      </c>
      <c r="P20" s="1">
        <f>SUM(Tableau3102[CREDIT])</f>
        <v>0</v>
      </c>
      <c r="Q20" s="5">
        <f>SUM(Tableau3102[[#Totals],[CREDIT]],Tableau3102[[#Totals],[DEBIT]])</f>
        <v>0</v>
      </c>
      <c r="S20" s="1" t="s">
        <v>16</v>
      </c>
      <c r="T20" s="1">
        <f>SUM(Tableau33104[DEBIT])</f>
        <v>0</v>
      </c>
      <c r="U20" s="1">
        <f>SUM(Tableau33104[CREDIT])</f>
        <v>0</v>
      </c>
      <c r="V20" s="5">
        <f>SUM(Tableau33104[[#Totals],[CREDIT]],Tableau33104[[#Totals],[DEBIT]])</f>
        <v>0</v>
      </c>
      <c r="X20" s="1" t="s">
        <v>16</v>
      </c>
      <c r="Y20" s="1">
        <f>SUM(Tableau3106[DEBIT])</f>
        <v>0</v>
      </c>
      <c r="Z20" s="1">
        <f>SUM(Tableau3106[CREDIT])</f>
        <v>0</v>
      </c>
      <c r="AA20" s="5">
        <f>SUM(Tableau3106[[#Totals],[CREDIT]],Tableau3106[[#Totals],[DEBIT]])</f>
        <v>0</v>
      </c>
      <c r="AC20" s="1" t="s">
        <v>16</v>
      </c>
      <c r="AD20" s="1">
        <f>SUM(Tableau33108[DEBIT])</f>
        <v>0</v>
      </c>
      <c r="AE20" s="1">
        <f>SUM(Tableau33108[CREDIT])</f>
        <v>0</v>
      </c>
      <c r="AF20" s="5">
        <f>SUM(Tableau33108[[#Totals],[CREDIT]],Tableau33108[[#Totals],[DEBIT]])</f>
        <v>0</v>
      </c>
      <c r="AH20" s="1" t="s">
        <v>16</v>
      </c>
      <c r="AI20" s="1">
        <f>SUM(Tableau3102110[DEBIT])</f>
        <v>0</v>
      </c>
      <c r="AJ20" s="1">
        <f>SUM(Tableau3102110[CREDIT])</f>
        <v>0</v>
      </c>
      <c r="AK20" s="5">
        <f>SUM(Tableau3102110[[#Totals],[CREDIT]],Tableau3102110[[#Totals],[DEBIT]])</f>
        <v>0</v>
      </c>
      <c r="AM20" s="1" t="s">
        <v>16</v>
      </c>
      <c r="AN20" s="1">
        <f>SUM(Tableau33104112[DEBIT])</f>
        <v>0</v>
      </c>
      <c r="AO20" s="1">
        <f>SUM(Tableau33104112[CREDIT])</f>
        <v>0</v>
      </c>
      <c r="AP20" s="5">
        <f>SUM(Tableau33104112[[#Totals],[CREDIT]],Tableau33104112[[#Totals],[DEBIT]])</f>
        <v>0</v>
      </c>
      <c r="AR20" s="1" t="s">
        <v>16</v>
      </c>
      <c r="AS20" s="1">
        <f>SUM(Tableau3114[DEBIT])</f>
        <v>0</v>
      </c>
      <c r="AT20" s="1">
        <f>SUM(Tableau3114[CREDIT])</f>
        <v>0</v>
      </c>
      <c r="AU20" s="5">
        <f>SUM(Tableau3114[[#Totals],[CREDIT]],Tableau3114[[#Totals],[DEBIT]])</f>
        <v>0</v>
      </c>
      <c r="AW20" s="1" t="s">
        <v>16</v>
      </c>
      <c r="AX20" s="1">
        <f>SUM(Tableau33116[DEBIT])</f>
        <v>0</v>
      </c>
      <c r="AY20" s="1">
        <f>SUM(Tableau33116[CREDIT])</f>
        <v>0</v>
      </c>
      <c r="AZ20" s="5">
        <f>SUM(Tableau33116[[#Totals],[CREDIT]],Tableau33116[[#Totals],[DEBIT]])</f>
        <v>0</v>
      </c>
      <c r="BB20" s="1" t="s">
        <v>16</v>
      </c>
      <c r="BC20" s="1">
        <f>SUM(Tableau3102118[DEBIT])</f>
        <v>0</v>
      </c>
      <c r="BD20" s="1">
        <f>SUM(Tableau3102118[CREDIT])</f>
        <v>0</v>
      </c>
      <c r="BE20" s="5">
        <f>SUM(Tableau3102118[[#Totals],[CREDIT]],Tableau3102118[[#Totals],[DEBIT]])</f>
        <v>0</v>
      </c>
      <c r="BG20" s="1" t="s">
        <v>16</v>
      </c>
      <c r="BH20" s="1">
        <f>SUM(Tableau33104120[DEBIT])</f>
        <v>0</v>
      </c>
      <c r="BI20" s="1">
        <f>SUM(Tableau33104120[CREDIT])</f>
        <v>0</v>
      </c>
      <c r="BJ20" s="5">
        <f>SUM(Tableau33104120[[#Totals],[CREDIT]],Tableau33104120[[#Totals],[DEBIT]])</f>
        <v>0</v>
      </c>
      <c r="BL20" s="1" t="s">
        <v>16</v>
      </c>
      <c r="BM20" s="1">
        <f>SUM(Tableau3106122[DEBIT])</f>
        <v>0</v>
      </c>
      <c r="BN20" s="1">
        <f>SUM(Tableau3106122[CREDIT])</f>
        <v>0</v>
      </c>
      <c r="BO20" s="5">
        <f>SUM(Tableau3106122[[#Totals],[CREDIT]],Tableau3106122[[#Totals],[DEBIT]])</f>
        <v>0</v>
      </c>
      <c r="BQ20" s="1" t="s">
        <v>16</v>
      </c>
      <c r="BR20" s="1">
        <f>SUM(Tableau33108124[DEBIT])</f>
        <v>0</v>
      </c>
      <c r="BS20" s="1">
        <f>SUM(Tableau33108124[CREDIT])</f>
        <v>0</v>
      </c>
      <c r="BT20" s="5">
        <f>SUM(Tableau33108124[[#Totals],[CREDIT]],Tableau33108124[[#Totals],[DEBIT]])</f>
        <v>0</v>
      </c>
      <c r="BV20" s="1" t="s">
        <v>16</v>
      </c>
      <c r="BW20" s="1">
        <f>SUM(Tableau3102110126[DEBIT])</f>
        <v>0</v>
      </c>
      <c r="BX20" s="1">
        <f>SUM(Tableau3102110126[CREDIT])</f>
        <v>0</v>
      </c>
      <c r="BY20" s="5">
        <f>SUM(Tableau3102110126[[#Totals],[CREDIT]],Tableau3102110126[[#Totals],[DEBIT]])</f>
        <v>0</v>
      </c>
      <c r="CA20" s="1" t="s">
        <v>16</v>
      </c>
      <c r="CB20" s="1">
        <f>SUM(Tableau33104112128[DEBIT])</f>
        <v>0</v>
      </c>
      <c r="CC20" s="1">
        <f>SUM(Tableau33104112128[CREDIT])</f>
        <v>0</v>
      </c>
      <c r="CD20" s="5">
        <f>SUM(Tableau33104112128[[#Totals],[CREDIT]],Tableau33104112128[[#Totals],[DEBIT]])</f>
        <v>0</v>
      </c>
      <c r="CF20" s="1" t="s">
        <v>16</v>
      </c>
      <c r="CG20" s="1">
        <f>SUM(Tableau3130[DEBIT])</f>
        <v>0</v>
      </c>
      <c r="CH20" s="1">
        <f>SUM(Tableau3130[CREDIT])</f>
        <v>0</v>
      </c>
      <c r="CI20" s="5">
        <f>SUM(Tableau3130[[#Totals],[CREDIT]],Tableau3130[[#Totals],[DEBIT]])</f>
        <v>0</v>
      </c>
      <c r="CK20" s="1" t="s">
        <v>16</v>
      </c>
      <c r="CL20" s="1">
        <f>SUM(Tableau33132[DEBIT])</f>
        <v>0</v>
      </c>
      <c r="CM20" s="1">
        <f>SUM(Tableau33132[CREDIT])</f>
        <v>0</v>
      </c>
      <c r="CN20" s="5">
        <f>SUM(Tableau33132[[#Totals],[CREDIT]],Tableau33132[[#Totals],[DEBIT]])</f>
        <v>0</v>
      </c>
      <c r="CP20" s="1" t="s">
        <v>16</v>
      </c>
      <c r="CQ20" s="1">
        <f>SUM(Tableau3102134[DEBIT])</f>
        <v>0</v>
      </c>
      <c r="CR20" s="1">
        <f>SUM(Tableau3102134[CREDIT])</f>
        <v>0</v>
      </c>
      <c r="CS20" s="5">
        <f>SUM(Tableau3102134[[#Totals],[CREDIT]],Tableau3102134[[#Totals],[DEBIT]])</f>
        <v>0</v>
      </c>
      <c r="CU20" s="1" t="s">
        <v>16</v>
      </c>
      <c r="CV20" s="1">
        <f>SUM(Tableau33104136[DEBIT])</f>
        <v>0</v>
      </c>
      <c r="CW20" s="1">
        <f>SUM(Tableau33104136[CREDIT])</f>
        <v>0</v>
      </c>
      <c r="CX20" s="5">
        <f>SUM(Tableau33104136[[#Totals],[CREDIT]],Tableau33104136[[#Totals],[DEBIT]])</f>
        <v>0</v>
      </c>
      <c r="CZ20" s="1" t="s">
        <v>16</v>
      </c>
      <c r="DA20" s="1">
        <f>SUM(Tableau3106138[DEBIT])</f>
        <v>0</v>
      </c>
      <c r="DB20" s="1">
        <f>SUM(Tableau3106138[CREDIT])</f>
        <v>0</v>
      </c>
      <c r="DC20" s="5">
        <f>SUM(Tableau3106138[[#Totals],[CREDIT]],Tableau3106138[[#Totals],[DEBIT]])</f>
        <v>0</v>
      </c>
      <c r="DE20" s="1" t="s">
        <v>16</v>
      </c>
      <c r="DF20" s="1">
        <f>SUM(Tableau33108140[DEBIT])</f>
        <v>0</v>
      </c>
      <c r="DG20" s="1">
        <f>SUM(Tableau33108140[CREDIT])</f>
        <v>0</v>
      </c>
      <c r="DH20" s="5">
        <f>SUM(Tableau33108140[[#Totals],[CREDIT]],Tableau33108140[[#Totals],[DEBIT]])</f>
        <v>0</v>
      </c>
      <c r="DJ20" s="1" t="s">
        <v>16</v>
      </c>
      <c r="DK20" s="1">
        <f>SUM(Tableau3102110142[DEBIT])</f>
        <v>0</v>
      </c>
      <c r="DL20" s="1">
        <f>SUM(Tableau3102110142[CREDIT])</f>
        <v>0</v>
      </c>
      <c r="DM20" s="5">
        <f>SUM(Tableau3102110142[[#Totals],[CREDIT]],Tableau3102110142[[#Totals],[DEBIT]])</f>
        <v>0</v>
      </c>
      <c r="DO20" s="1" t="s">
        <v>16</v>
      </c>
      <c r="DP20" s="1">
        <f>SUM(Tableau33104112144[DEBIT])</f>
        <v>0</v>
      </c>
      <c r="DQ20" s="1">
        <f>SUM(Tableau33104112144[CREDIT])</f>
        <v>0</v>
      </c>
      <c r="DR20" s="5">
        <f>SUM(Tableau33104112144[[#Totals],[CREDIT]],Tableau33104112144[[#Totals],[DEBIT]])</f>
        <v>0</v>
      </c>
      <c r="DT20" s="1" t="s">
        <v>16</v>
      </c>
      <c r="DU20" s="1">
        <f>SUM(Tableau3146[DEBIT])</f>
        <v>0</v>
      </c>
      <c r="DV20" s="1">
        <f>SUM(Tableau3146[CREDIT])</f>
        <v>0</v>
      </c>
      <c r="DW20" s="5">
        <f>SUM(Tableau3146[[#Totals],[CREDIT]],Tableau3146[[#Totals],[DEBIT]])</f>
        <v>0</v>
      </c>
      <c r="DY20" s="1" t="s">
        <v>16</v>
      </c>
      <c r="DZ20" s="1">
        <f>SUM(Tableau33148[DEBIT])</f>
        <v>0</v>
      </c>
      <c r="EA20" s="1">
        <f>SUM(Tableau33148[CREDIT])</f>
        <v>0</v>
      </c>
      <c r="EB20" s="5">
        <f>SUM(Tableau33148[[#Totals],[CREDIT]],Tableau33148[[#Totals],[DEBIT]])</f>
        <v>0</v>
      </c>
      <c r="ED20" s="1" t="s">
        <v>16</v>
      </c>
      <c r="EE20" s="1">
        <f>SUM(Tableau3102150[DEBIT])</f>
        <v>0</v>
      </c>
      <c r="EF20" s="1">
        <f>SUM(Tableau3102150[CREDIT])</f>
        <v>0</v>
      </c>
      <c r="EG20" s="5">
        <f>SUM(Tableau3102150[[#Totals],[CREDIT]],Tableau3102150[[#Totals],[DEBIT]])</f>
        <v>0</v>
      </c>
      <c r="EI20" s="1" t="s">
        <v>16</v>
      </c>
      <c r="EJ20" s="1">
        <f>SUM(Tableau33104152[DEBIT])</f>
        <v>0</v>
      </c>
      <c r="EK20" s="1">
        <f>SUM(Tableau33104152[CREDIT])</f>
        <v>0</v>
      </c>
      <c r="EL20" s="5">
        <f>SUM(Tableau33104152[[#Totals],[CREDIT]],Tableau33104152[[#Totals],[DEBIT]])</f>
        <v>0</v>
      </c>
      <c r="EN20" s="1" t="s">
        <v>16</v>
      </c>
      <c r="EO20" s="1">
        <f>SUM(Tableau3106154[DEBIT])</f>
        <v>0</v>
      </c>
      <c r="EP20" s="1">
        <f>SUM(Tableau3106154[CREDIT])</f>
        <v>0</v>
      </c>
      <c r="EQ20" s="5">
        <f>SUM(Tableau3106154[[#Totals],[CREDIT]],Tableau3106154[[#Totals],[DEBIT]])</f>
        <v>0</v>
      </c>
      <c r="ES20" s="1" t="s">
        <v>16</v>
      </c>
      <c r="ET20" s="1">
        <f>SUM(Tableau33108156[DEBIT])</f>
        <v>0</v>
      </c>
      <c r="EU20" s="1">
        <f>SUM(Tableau33108156[CREDIT])</f>
        <v>0</v>
      </c>
      <c r="EV20" s="5">
        <f>SUM(Tableau33108156[[#Totals],[CREDIT]],Tableau33108156[[#Totals],[DEBIT]])</f>
        <v>0</v>
      </c>
      <c r="EX20" s="1" t="s">
        <v>16</v>
      </c>
      <c r="EY20" s="1">
        <f>SUM(Tableau3102110158[DEBIT])</f>
        <v>0</v>
      </c>
      <c r="EZ20" s="1">
        <f>SUM(Tableau3102110158[CREDIT])</f>
        <v>0</v>
      </c>
      <c r="FA20" s="5">
        <f>SUM(Tableau3102110158[[#Totals],[CREDIT]],Tableau3102110158[[#Totals],[DEBIT]])</f>
        <v>0</v>
      </c>
      <c r="FC20" s="1" t="s">
        <v>16</v>
      </c>
      <c r="FD20" s="1">
        <f>SUM(Tableau33104112160[DEBIT])</f>
        <v>0</v>
      </c>
      <c r="FE20" s="1">
        <f>SUM(Tableau33104112160[CREDIT])</f>
        <v>0</v>
      </c>
      <c r="FF20" s="5">
        <f>SUM(Tableau33104112160[[#Totals],[CREDIT]],Tableau33104112160[[#Totals],[DEBIT]])</f>
        <v>0</v>
      </c>
      <c r="FH20" s="1" t="s">
        <v>16</v>
      </c>
      <c r="FI20" s="1">
        <f>SUM(Tableau3162[DEBIT])</f>
        <v>0</v>
      </c>
      <c r="FJ20" s="1">
        <f>SUM(Tableau3162[CREDIT])</f>
        <v>0</v>
      </c>
      <c r="FK20" s="5">
        <f>SUM(Tableau3162[[#Totals],[CREDIT]],Tableau3162[[#Totals],[DEBIT]])</f>
        <v>0</v>
      </c>
      <c r="FM20" s="1" t="s">
        <v>16</v>
      </c>
      <c r="FN20" s="1">
        <f>SUM(Tableau33164[DEBIT])</f>
        <v>0</v>
      </c>
      <c r="FO20" s="1">
        <f>SUM(Tableau33164[CREDIT])</f>
        <v>0</v>
      </c>
      <c r="FP20" s="5">
        <f>SUM(Tableau33164[[#Totals],[CREDIT]],Tableau33164[[#Totals],[DEBIT]])</f>
        <v>0</v>
      </c>
      <c r="FR20" s="1" t="s">
        <v>16</v>
      </c>
      <c r="FS20" s="1">
        <f>SUM(Tableau3102166[DEBIT])</f>
        <v>0</v>
      </c>
      <c r="FT20" s="1">
        <f>SUM(Tableau3102166[CREDIT])</f>
        <v>0</v>
      </c>
      <c r="FU20" s="5">
        <f>SUM(Tableau3102166[[#Totals],[CREDIT]],Tableau3102166[[#Totals],[DEBIT]])</f>
        <v>0</v>
      </c>
      <c r="FW20" s="1" t="s">
        <v>16</v>
      </c>
      <c r="FX20" s="1">
        <f>SUM(Tableau33104168[DEBIT])</f>
        <v>0</v>
      </c>
      <c r="FY20" s="1">
        <f>SUM(Tableau33104168[CREDIT])</f>
        <v>0</v>
      </c>
      <c r="FZ20" s="5">
        <f>SUM(Tableau33104168[[#Totals],[CREDIT]],Tableau33104168[[#Totals],[DEBIT]])</f>
        <v>0</v>
      </c>
      <c r="GB20" s="1" t="s">
        <v>16</v>
      </c>
      <c r="GC20" s="1">
        <f>SUM(Tableau3106170[DEBIT])</f>
        <v>0</v>
      </c>
      <c r="GD20" s="1">
        <f>SUM(Tableau3106170[CREDIT])</f>
        <v>0</v>
      </c>
      <c r="GE20" s="5">
        <f>SUM(Tableau3106170[[#Totals],[CREDIT]],Tableau3106170[[#Totals],[DEBIT]])</f>
        <v>0</v>
      </c>
      <c r="GG20" s="1" t="s">
        <v>16</v>
      </c>
      <c r="GH20" s="1">
        <f>SUM(Tableau33108172[DEBIT])</f>
        <v>0</v>
      </c>
      <c r="GI20" s="1">
        <f>SUM(Tableau33108172[CREDIT])</f>
        <v>0</v>
      </c>
      <c r="GJ20" s="5">
        <f>SUM(Tableau33108172[[#Totals],[CREDIT]],Tableau33108172[[#Totals],[DEBIT]])</f>
        <v>0</v>
      </c>
      <c r="GL20" s="1" t="s">
        <v>16</v>
      </c>
      <c r="GM20" s="1">
        <f>SUM(Tableau3102110174[DEBIT])</f>
        <v>0</v>
      </c>
      <c r="GN20" s="1">
        <f>SUM(Tableau3102110174[CREDIT])</f>
        <v>0</v>
      </c>
      <c r="GO20" s="5">
        <f>SUM(Tableau3102110174[[#Totals],[CREDIT]],Tableau3102110174[[#Totals],[DEBIT]])</f>
        <v>0</v>
      </c>
      <c r="GQ20" s="1" t="s">
        <v>16</v>
      </c>
      <c r="GR20" s="1">
        <f>SUM(Tableau33104112176[DEBIT])</f>
        <v>0</v>
      </c>
      <c r="GS20" s="1">
        <f>SUM(Tableau33104112176[CREDIT])</f>
        <v>0</v>
      </c>
      <c r="GT20" s="5">
        <f>SUM(Tableau33104112176[[#Totals],[CREDIT]],Tableau33104112176[[#Totals],[DEBIT]])</f>
        <v>0</v>
      </c>
      <c r="GV20" s="1" t="s">
        <v>16</v>
      </c>
      <c r="GW20" s="1">
        <f>SUM(Tableau3178[DEBIT])</f>
        <v>0</v>
      </c>
      <c r="GX20" s="1">
        <f>SUM(Tableau3178[CREDIT])</f>
        <v>0</v>
      </c>
      <c r="GY20" s="5">
        <f>SUM(Tableau3178[[#Totals],[CREDIT]],Tableau3178[[#Totals],[DEBIT]])</f>
        <v>0</v>
      </c>
      <c r="HA20" s="1" t="s">
        <v>16</v>
      </c>
      <c r="HB20" s="1">
        <f>SUM(Tableau33180[DEBIT])</f>
        <v>0</v>
      </c>
      <c r="HC20" s="1">
        <f>SUM(Tableau33180[CREDIT])</f>
        <v>0</v>
      </c>
      <c r="HD20" s="5">
        <f>SUM(Tableau33180[[#Totals],[CREDIT]],Tableau33180[[#Totals],[DEBIT]])</f>
        <v>0</v>
      </c>
      <c r="HF20" s="1" t="s">
        <v>16</v>
      </c>
      <c r="HG20" s="1">
        <f>SUM(Tableau3102182[DEBIT])</f>
        <v>0</v>
      </c>
      <c r="HH20" s="1">
        <f>SUM(Tableau3102182[CREDIT])</f>
        <v>0</v>
      </c>
      <c r="HI20" s="5">
        <f>SUM(Tableau3102182[[#Totals],[CREDIT]],Tableau3102182[[#Totals],[DEBIT]])</f>
        <v>0</v>
      </c>
      <c r="HK20" s="1" t="s">
        <v>16</v>
      </c>
      <c r="HL20" s="1">
        <f>SUM(Tableau33104184[DEBIT])</f>
        <v>0</v>
      </c>
      <c r="HM20" s="1">
        <f>SUM(Tableau33104184[CREDIT])</f>
        <v>0</v>
      </c>
      <c r="HN20" s="5">
        <f>SUM(Tableau33104184[[#Totals],[CREDIT]],Tableau33104184[[#Totals],[DEBIT]])</f>
        <v>0</v>
      </c>
      <c r="HP20" s="1" t="s">
        <v>16</v>
      </c>
      <c r="HQ20" s="1">
        <f>SUM(Tableau3106186[DEBIT])</f>
        <v>0</v>
      </c>
      <c r="HR20" s="1">
        <f>SUM(Tableau3106186[CREDIT])</f>
        <v>0</v>
      </c>
      <c r="HS20" s="5">
        <f>SUM(Tableau3106186[[#Totals],[CREDIT]],Tableau3106186[[#Totals],[DEBIT]])</f>
        <v>0</v>
      </c>
      <c r="HU20" s="1" t="s">
        <v>16</v>
      </c>
      <c r="HV20" s="1">
        <f>SUM(Tableau33108188[DEBIT])</f>
        <v>0</v>
      </c>
      <c r="HW20" s="1">
        <f>SUM(Tableau33108188[CREDIT])</f>
        <v>0</v>
      </c>
      <c r="HX20" s="5">
        <f>SUM(Tableau33108188[[#Totals],[CREDIT]],Tableau33108188[[#Totals],[DEBIT]])</f>
        <v>0</v>
      </c>
      <c r="HZ20" s="1" t="s">
        <v>16</v>
      </c>
      <c r="IA20" s="1">
        <f>SUM(Tableau3102110190[DEBIT])</f>
        <v>0</v>
      </c>
      <c r="IB20" s="1">
        <f>SUM(Tableau3102110190[CREDIT])</f>
        <v>0</v>
      </c>
      <c r="IC20" s="5">
        <f>SUM(Tableau3102110190[[#Totals],[CREDIT]],Tableau3102110190[[#Totals],[DEBIT]])</f>
        <v>0</v>
      </c>
      <c r="IE20" s="1" t="s">
        <v>16</v>
      </c>
      <c r="IF20" s="1">
        <f>SUM(Tableau33104112192[DEBIT])</f>
        <v>0</v>
      </c>
      <c r="IG20" s="1">
        <f>SUM(Tableau33104112192[CREDIT])</f>
        <v>0</v>
      </c>
      <c r="IH20" s="5">
        <f>SUM(Tableau33104112192[[#Totals],[CREDIT]],Tableau33104112192[[#Totals],[DEBIT]])</f>
        <v>0</v>
      </c>
    </row>
    <row r="21" spans="1:242" ht="15" x14ac:dyDescent="0.25">
      <c r="A21" s="46"/>
      <c r="D21" s="1" t="s">
        <v>33</v>
      </c>
    </row>
    <row r="22" spans="1:242" x14ac:dyDescent="0.2">
      <c r="A22" s="48"/>
      <c r="D22" s="1" t="s">
        <v>34</v>
      </c>
    </row>
    <row r="23" spans="1:242" x14ac:dyDescent="0.2">
      <c r="A23" s="48"/>
      <c r="D23" s="1" t="s">
        <v>35</v>
      </c>
    </row>
    <row r="24" spans="1:242" x14ac:dyDescent="0.2">
      <c r="A24" s="50"/>
      <c r="D24" s="1" t="s">
        <v>36</v>
      </c>
    </row>
    <row r="25" spans="1:242" ht="15.75" x14ac:dyDescent="0.25">
      <c r="A25" s="50"/>
      <c r="D25" s="1" t="s">
        <v>16</v>
      </c>
      <c r="E25" s="1">
        <f>SUM(Tableau3[DEBIT])</f>
        <v>0</v>
      </c>
      <c r="F25" s="1">
        <f>SUM(Tableau3[CREDIT])</f>
        <v>0</v>
      </c>
      <c r="G25" s="5">
        <f>SUM(Tableau3[[#Totals],[CREDIT]],Tableau3[[#Totals],[DEBIT]])</f>
        <v>0</v>
      </c>
    </row>
    <row r="26" spans="1:242" x14ac:dyDescent="0.2">
      <c r="A26" s="50"/>
    </row>
    <row r="27" spans="1:242" x14ac:dyDescent="0.2">
      <c r="A27" s="50"/>
    </row>
    <row r="28" spans="1:242" ht="15" x14ac:dyDescent="0.25">
      <c r="A28" s="46"/>
    </row>
    <row r="29" spans="1:242" x14ac:dyDescent="0.2">
      <c r="A29" s="48"/>
    </row>
    <row r="30" spans="1:242" x14ac:dyDescent="0.2">
      <c r="A30" s="50"/>
    </row>
    <row r="31" spans="1:242" x14ac:dyDescent="0.2">
      <c r="A31" s="50"/>
    </row>
    <row r="32" spans="1:242" x14ac:dyDescent="0.2">
      <c r="A32" s="50"/>
    </row>
    <row r="33" spans="1:1" x14ac:dyDescent="0.2">
      <c r="A33" s="50"/>
    </row>
    <row r="34" spans="1:1" x14ac:dyDescent="0.2">
      <c r="A34" s="50"/>
    </row>
    <row r="58" spans="8:12" ht="15" x14ac:dyDescent="0.25">
      <c r="H58" s="6"/>
    </row>
    <row r="59" spans="8:12" ht="15" x14ac:dyDescent="0.25">
      <c r="I59" s="6"/>
      <c r="J59" s="6"/>
      <c r="K59" s="6"/>
      <c r="L59" s="6"/>
    </row>
    <row r="60" spans="8:12" ht="15" x14ac:dyDescent="0.25">
      <c r="H60" s="6"/>
    </row>
    <row r="61" spans="8:12" ht="15" x14ac:dyDescent="0.25">
      <c r="I61" s="6"/>
      <c r="J61" s="6"/>
      <c r="K61" s="6"/>
      <c r="L61" s="6"/>
    </row>
    <row r="66" spans="4:7" ht="15" x14ac:dyDescent="0.25">
      <c r="D66" s="6"/>
      <c r="E66" s="6"/>
      <c r="F66" s="6"/>
      <c r="G66" s="6"/>
    </row>
  </sheetData>
  <mergeCells count="245">
    <mergeCell ref="IE4:IF5"/>
    <mergeCell ref="IG4:IG5"/>
    <mergeCell ref="IH4:IH5"/>
    <mergeCell ref="HF2:HI2"/>
    <mergeCell ref="HU2:HX2"/>
    <mergeCell ref="HZ2:IC2"/>
    <mergeCell ref="HP4:HQ5"/>
    <mergeCell ref="HR4:HR5"/>
    <mergeCell ref="HS4:HS5"/>
    <mergeCell ref="HU4:HV5"/>
    <mergeCell ref="HW4:HW5"/>
    <mergeCell ref="HX4:HX5"/>
    <mergeCell ref="HZ4:IA5"/>
    <mergeCell ref="IB4:IB5"/>
    <mergeCell ref="IC4:IC5"/>
    <mergeCell ref="HA4:HB5"/>
    <mergeCell ref="HC4:HC5"/>
    <mergeCell ref="HD4:HD5"/>
    <mergeCell ref="HF4:HG5"/>
    <mergeCell ref="HH4:HH5"/>
    <mergeCell ref="HI4:HI5"/>
    <mergeCell ref="HK4:HL5"/>
    <mergeCell ref="HM4:HM5"/>
    <mergeCell ref="HN4:HN5"/>
    <mergeCell ref="GL4:GM5"/>
    <mergeCell ref="GN4:GN5"/>
    <mergeCell ref="GO4:GO5"/>
    <mergeCell ref="GQ4:GR5"/>
    <mergeCell ref="GS4:GS5"/>
    <mergeCell ref="GT4:GT5"/>
    <mergeCell ref="GV4:GW5"/>
    <mergeCell ref="GX4:GX5"/>
    <mergeCell ref="GY4:GY5"/>
    <mergeCell ref="FW4:FX5"/>
    <mergeCell ref="FY4:FY5"/>
    <mergeCell ref="FZ4:FZ5"/>
    <mergeCell ref="GB4:GC5"/>
    <mergeCell ref="GD4:GD5"/>
    <mergeCell ref="GE4:GE5"/>
    <mergeCell ref="GG4:GH5"/>
    <mergeCell ref="GI4:GI5"/>
    <mergeCell ref="GJ4:GJ5"/>
    <mergeCell ref="FH4:FI5"/>
    <mergeCell ref="FJ4:FJ5"/>
    <mergeCell ref="FK4:FK5"/>
    <mergeCell ref="FM4:FN5"/>
    <mergeCell ref="FO4:FO5"/>
    <mergeCell ref="FP4:FP5"/>
    <mergeCell ref="FR4:FS5"/>
    <mergeCell ref="FT4:FT5"/>
    <mergeCell ref="FU4:FU5"/>
    <mergeCell ref="ES4:ET5"/>
    <mergeCell ref="EU4:EU5"/>
    <mergeCell ref="EV4:EV5"/>
    <mergeCell ref="EX4:EY5"/>
    <mergeCell ref="EZ4:EZ5"/>
    <mergeCell ref="FA4:FA5"/>
    <mergeCell ref="FC4:FD5"/>
    <mergeCell ref="FE4:FE5"/>
    <mergeCell ref="FF4:FF5"/>
    <mergeCell ref="ED4:EE5"/>
    <mergeCell ref="EF4:EF5"/>
    <mergeCell ref="EG4:EG5"/>
    <mergeCell ref="EI4:EJ5"/>
    <mergeCell ref="EK4:EK5"/>
    <mergeCell ref="EL4:EL5"/>
    <mergeCell ref="EN4:EO5"/>
    <mergeCell ref="EP4:EP5"/>
    <mergeCell ref="EQ4:EQ5"/>
    <mergeCell ref="DO4:DP5"/>
    <mergeCell ref="DQ4:DQ5"/>
    <mergeCell ref="DR4:DR5"/>
    <mergeCell ref="DT4:DU5"/>
    <mergeCell ref="DV4:DV5"/>
    <mergeCell ref="DW4:DW5"/>
    <mergeCell ref="DY4:DZ5"/>
    <mergeCell ref="EA4:EA5"/>
    <mergeCell ref="EB4:EB5"/>
    <mergeCell ref="CZ4:DA5"/>
    <mergeCell ref="DB4:DB5"/>
    <mergeCell ref="DC4:DC5"/>
    <mergeCell ref="DE4:DF5"/>
    <mergeCell ref="DG4:DG5"/>
    <mergeCell ref="DH4:DH5"/>
    <mergeCell ref="DJ4:DK5"/>
    <mergeCell ref="DL4:DL5"/>
    <mergeCell ref="DM4:DM5"/>
    <mergeCell ref="CK4:CL5"/>
    <mergeCell ref="CM4:CM5"/>
    <mergeCell ref="CN4:CN5"/>
    <mergeCell ref="CP4:CQ5"/>
    <mergeCell ref="CR4:CR5"/>
    <mergeCell ref="CS4:CS5"/>
    <mergeCell ref="CU4:CV5"/>
    <mergeCell ref="CW4:CW5"/>
    <mergeCell ref="CX4:CX5"/>
    <mergeCell ref="BV4:BW5"/>
    <mergeCell ref="BX4:BX5"/>
    <mergeCell ref="BY4:BY5"/>
    <mergeCell ref="CA4:CB5"/>
    <mergeCell ref="CC4:CC5"/>
    <mergeCell ref="CD4:CD5"/>
    <mergeCell ref="CF4:CG5"/>
    <mergeCell ref="CH4:CH5"/>
    <mergeCell ref="CI4:CI5"/>
    <mergeCell ref="BG4:BH5"/>
    <mergeCell ref="BI4:BI5"/>
    <mergeCell ref="BJ4:BJ5"/>
    <mergeCell ref="BL4:BM5"/>
    <mergeCell ref="BN4:BN5"/>
    <mergeCell ref="BO4:BO5"/>
    <mergeCell ref="BQ4:BR5"/>
    <mergeCell ref="BS4:BS5"/>
    <mergeCell ref="BT4:BT5"/>
    <mergeCell ref="AR4:AS5"/>
    <mergeCell ref="AT4:AT5"/>
    <mergeCell ref="AU4:AU5"/>
    <mergeCell ref="AW4:AX5"/>
    <mergeCell ref="AY4:AY5"/>
    <mergeCell ref="AZ4:AZ5"/>
    <mergeCell ref="BB4:BC5"/>
    <mergeCell ref="BD4:BD5"/>
    <mergeCell ref="BE4:BE5"/>
    <mergeCell ref="AC4:AD5"/>
    <mergeCell ref="AE4:AE5"/>
    <mergeCell ref="AF4:AF5"/>
    <mergeCell ref="AH4:AI5"/>
    <mergeCell ref="AJ4:AJ5"/>
    <mergeCell ref="AK4:AK5"/>
    <mergeCell ref="AM4:AN5"/>
    <mergeCell ref="AO4:AO5"/>
    <mergeCell ref="AP4:AP5"/>
    <mergeCell ref="N4:O5"/>
    <mergeCell ref="P4:P5"/>
    <mergeCell ref="Q4:Q5"/>
    <mergeCell ref="S4:T5"/>
    <mergeCell ref="U4:U5"/>
    <mergeCell ref="V4:V5"/>
    <mergeCell ref="X4:Y5"/>
    <mergeCell ref="Z4:Z5"/>
    <mergeCell ref="AA4:AA5"/>
    <mergeCell ref="AM2:AP2"/>
    <mergeCell ref="KL3:KM3"/>
    <mergeCell ref="GL3:GM3"/>
    <mergeCell ref="GQ3:GR3"/>
    <mergeCell ref="HF3:HG3"/>
    <mergeCell ref="HK3:HL3"/>
    <mergeCell ref="HP3:HQ3"/>
    <mergeCell ref="GV3:GW3"/>
    <mergeCell ref="FM3:FN3"/>
    <mergeCell ref="FR3:FS3"/>
    <mergeCell ref="FW3:FX3"/>
    <mergeCell ref="BG3:BH3"/>
    <mergeCell ref="BL3:BM3"/>
    <mergeCell ref="AW3:AX3"/>
    <mergeCell ref="BB3:BC3"/>
    <mergeCell ref="CA2:CD2"/>
    <mergeCell ref="CF2:CI2"/>
    <mergeCell ref="BG2:BJ2"/>
    <mergeCell ref="BL2:BO2"/>
    <mergeCell ref="BQ2:BT2"/>
    <mergeCell ref="BV2:BY2"/>
    <mergeCell ref="AW2:AZ2"/>
    <mergeCell ref="BB2:BE2"/>
    <mergeCell ref="HA2:HD2"/>
    <mergeCell ref="HA3:HB3"/>
    <mergeCell ref="JW3:JX3"/>
    <mergeCell ref="KB3:KC3"/>
    <mergeCell ref="KG3:KH3"/>
    <mergeCell ref="HU3:HV3"/>
    <mergeCell ref="HZ3:IA3"/>
    <mergeCell ref="HK2:HN2"/>
    <mergeCell ref="HP2:HS2"/>
    <mergeCell ref="IE2:IH2"/>
    <mergeCell ref="IE3:IF3"/>
    <mergeCell ref="BQ3:BR3"/>
    <mergeCell ref="BV3:BW3"/>
    <mergeCell ref="GV2:GY2"/>
    <mergeCell ref="GL2:GO2"/>
    <mergeCell ref="GQ2:GT2"/>
    <mergeCell ref="GB3:GC3"/>
    <mergeCell ref="GG3:GH3"/>
    <mergeCell ref="FH3:FI3"/>
    <mergeCell ref="ES3:ET3"/>
    <mergeCell ref="EX3:EY3"/>
    <mergeCell ref="FC3:FD3"/>
    <mergeCell ref="DT3:DU3"/>
    <mergeCell ref="DY3:DZ3"/>
    <mergeCell ref="ED3:EE3"/>
    <mergeCell ref="CA3:CB3"/>
    <mergeCell ref="CF3:CG3"/>
    <mergeCell ref="CK2:CN2"/>
    <mergeCell ref="CK3:CL3"/>
    <mergeCell ref="CP2:CS2"/>
    <mergeCell ref="CU2:CX2"/>
    <mergeCell ref="EI3:EJ3"/>
    <mergeCell ref="EN3:EO3"/>
    <mergeCell ref="CZ3:DA3"/>
    <mergeCell ref="DE3:DF3"/>
    <mergeCell ref="DJ3:DK3"/>
    <mergeCell ref="DO3:DP3"/>
    <mergeCell ref="CP3:CQ3"/>
    <mergeCell ref="CU3:CV3"/>
    <mergeCell ref="EI2:EL2"/>
    <mergeCell ref="EN2:EQ2"/>
    <mergeCell ref="DT2:DW2"/>
    <mergeCell ref="DY2:EB2"/>
    <mergeCell ref="ED2:EG2"/>
    <mergeCell ref="CZ2:DC2"/>
    <mergeCell ref="DE2:DH2"/>
    <mergeCell ref="DJ2:DM2"/>
    <mergeCell ref="DO2:DR2"/>
    <mergeCell ref="GB2:GE2"/>
    <mergeCell ref="GG2:GJ2"/>
    <mergeCell ref="FM2:FP2"/>
    <mergeCell ref="FR2:FU2"/>
    <mergeCell ref="FW2:FZ2"/>
    <mergeCell ref="FH2:FK2"/>
    <mergeCell ref="ES2:EV2"/>
    <mergeCell ref="EX2:FA2"/>
    <mergeCell ref="FC2:FF2"/>
    <mergeCell ref="AR2:AU2"/>
    <mergeCell ref="N2:Q2"/>
    <mergeCell ref="S2:V2"/>
    <mergeCell ref="X2:AA2"/>
    <mergeCell ref="AC2:AF2"/>
    <mergeCell ref="A1:A3"/>
    <mergeCell ref="D2:G2"/>
    <mergeCell ref="F4:F5"/>
    <mergeCell ref="G4:G5"/>
    <mergeCell ref="D3:E3"/>
    <mergeCell ref="D4:E5"/>
    <mergeCell ref="I2:L2"/>
    <mergeCell ref="I3:J3"/>
    <mergeCell ref="I4:J5"/>
    <mergeCell ref="K4:K5"/>
    <mergeCell ref="L4:L5"/>
    <mergeCell ref="N3:O3"/>
    <mergeCell ref="S3:T3"/>
    <mergeCell ref="X3:Y3"/>
    <mergeCell ref="AC3:AD3"/>
    <mergeCell ref="AH3:AI3"/>
    <mergeCell ref="AM3:AN3"/>
    <mergeCell ref="AR3:AS3"/>
    <mergeCell ref="AH2:AK2"/>
  </mergeCells>
  <phoneticPr fontId="3" type="noConversion"/>
  <conditionalFormatting sqref="D4:E5">
    <cfRule type="cellIs" dxfId="23" priority="25" operator="lessThan">
      <formula>0</formula>
    </cfRule>
  </conditionalFormatting>
  <conditionalFormatting sqref="N4:O5">
    <cfRule type="cellIs" dxfId="22" priority="23" operator="lessThan">
      <formula>0</formula>
    </cfRule>
  </conditionalFormatting>
  <conditionalFormatting sqref="X4:Y5">
    <cfRule type="cellIs" dxfId="21" priority="22" operator="lessThan">
      <formula>0</formula>
    </cfRule>
  </conditionalFormatting>
  <conditionalFormatting sqref="AH4:AI5">
    <cfRule type="cellIs" dxfId="20" priority="21" operator="lessThan">
      <formula>0</formula>
    </cfRule>
  </conditionalFormatting>
  <conditionalFormatting sqref="AR4:AS5">
    <cfRule type="cellIs" dxfId="19" priority="20" operator="lessThan">
      <formula>0</formula>
    </cfRule>
  </conditionalFormatting>
  <conditionalFormatting sqref="BB4:BC5">
    <cfRule type="cellIs" dxfId="18" priority="19" operator="lessThan">
      <formula>0</formula>
    </cfRule>
  </conditionalFormatting>
  <conditionalFormatting sqref="BL4:BM5">
    <cfRule type="cellIs" dxfId="17" priority="18" operator="lessThan">
      <formula>0</formula>
    </cfRule>
  </conditionalFormatting>
  <conditionalFormatting sqref="BV4:BW5">
    <cfRule type="cellIs" dxfId="16" priority="17" operator="lessThan">
      <formula>0</formula>
    </cfRule>
  </conditionalFormatting>
  <conditionalFormatting sqref="CF4:CG5">
    <cfRule type="cellIs" dxfId="15" priority="16" operator="lessThan">
      <formula>0</formula>
    </cfRule>
  </conditionalFormatting>
  <conditionalFormatting sqref="CP4:CQ5">
    <cfRule type="cellIs" dxfId="14" priority="15" operator="lessThan">
      <formula>0</formula>
    </cfRule>
  </conditionalFormatting>
  <conditionalFormatting sqref="CZ4:DA5">
    <cfRule type="cellIs" dxfId="13" priority="14" operator="lessThan">
      <formula>0</formula>
    </cfRule>
  </conditionalFormatting>
  <conditionalFormatting sqref="DJ4:DK5">
    <cfRule type="cellIs" dxfId="12" priority="13" operator="lessThan">
      <formula>0</formula>
    </cfRule>
  </conditionalFormatting>
  <conditionalFormatting sqref="DT4:DU5">
    <cfRule type="cellIs" dxfId="11" priority="12" operator="lessThan">
      <formula>0</formula>
    </cfRule>
  </conditionalFormatting>
  <conditionalFormatting sqref="ED4:EE5">
    <cfRule type="cellIs" dxfId="10" priority="11" operator="lessThan">
      <formula>0</formula>
    </cfRule>
  </conditionalFormatting>
  <conditionalFormatting sqref="EN4:EO5">
    <cfRule type="cellIs" dxfId="9" priority="10" operator="lessThan">
      <formula>0</formula>
    </cfRule>
  </conditionalFormatting>
  <conditionalFormatting sqref="EX4:EY5">
    <cfRule type="cellIs" dxfId="8" priority="9" operator="lessThan">
      <formula>0</formula>
    </cfRule>
  </conditionalFormatting>
  <conditionalFormatting sqref="FH4:FI5">
    <cfRule type="cellIs" dxfId="7" priority="8" operator="lessThan">
      <formula>0</formula>
    </cfRule>
  </conditionalFormatting>
  <conditionalFormatting sqref="FR4:FS5">
    <cfRule type="cellIs" dxfId="6" priority="7" operator="lessThan">
      <formula>0</formula>
    </cfRule>
  </conditionalFormatting>
  <conditionalFormatting sqref="GB4:GC5">
    <cfRule type="cellIs" dxfId="5" priority="6" operator="lessThan">
      <formula>0</formula>
    </cfRule>
  </conditionalFormatting>
  <conditionalFormatting sqref="GL4:GM5">
    <cfRule type="cellIs" dxfId="4" priority="5" operator="lessThan">
      <formula>0</formula>
    </cfRule>
  </conditionalFormatting>
  <conditionalFormatting sqref="GV4:GW5">
    <cfRule type="cellIs" dxfId="3" priority="4" operator="lessThan">
      <formula>0</formula>
    </cfRule>
  </conditionalFormatting>
  <conditionalFormatting sqref="HF4:HG5">
    <cfRule type="cellIs" dxfId="2" priority="3" operator="lessThan">
      <formula>0</formula>
    </cfRule>
  </conditionalFormatting>
  <conditionalFormatting sqref="HP4:HQ5">
    <cfRule type="cellIs" dxfId="1" priority="2" operator="lessThan">
      <formula>0</formula>
    </cfRule>
  </conditionalFormatting>
  <conditionalFormatting sqref="HZ4:IA5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  <tableParts count="9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source</vt:lpstr>
      <vt:lpstr>Blad1</vt:lpstr>
      <vt:lpstr>flux</vt:lpstr>
      <vt:lpstr>Categories</vt:lpstr>
      <vt:lpstr>Entête</vt:lpstr>
      <vt:lpstr>Mots_cles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BSA</cp:lastModifiedBy>
  <cp:lastPrinted>2023-03-22T08:57:35Z</cp:lastPrinted>
  <dcterms:created xsi:type="dcterms:W3CDTF">2023-03-16T14:17:17Z</dcterms:created>
  <dcterms:modified xsi:type="dcterms:W3CDTF">2023-07-29T13:12:06Z</dcterms:modified>
</cp:coreProperties>
</file>