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D22C8E9-C68E-48CB-9F79-CB054AB9FC04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Jours Fériés" sheetId="5" r:id="rId1"/>
    <sheet name="Brouillon 1" sheetId="3" r:id="rId2"/>
  </sheets>
  <definedNames>
    <definedName name="_xlcn.WorksheetConnection_matthieursupqtempsmachinev2.xlsxt_BDD1" hidden="1">t_BDD[]</definedName>
    <definedName name="_xlcn.WorksheetConnection_matthieursupqtempsmachinev2.xlsxTabel41" hidden="1">Tabel4[]</definedName>
    <definedName name="An">'Jours Fériés'!$B$1</definedName>
    <definedName name="Jours_Feries">'Jours Fériés'!$B$2:$J$22</definedName>
    <definedName name="Paques">'Jours Fériés'!$B$3</definedName>
  </definedNames>
  <calcPr calcId="191029"/>
  <pivotCaches>
    <pivotCache cacheId="230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BDD" name="t_BDD" connection="WorksheetConnection_matthieu-rsu-pq-temps-machine-v2.xlsx!t_BDD"/>
          <x15:modelTable id="Tabel4" name="Tabel4" connection="WorksheetConnection_matthieu-rsu-pq-temps-machine-v2.xlsx!Tabel4"/>
        </x15:modelTables>
        <x15:modelRelationships>
          <x15:modelRelationship fromTable="t_BDD" fromColumn="Date" toTable="Tabel4" toColumn="date"/>
        </x15:modelRelationships>
        <x15:extLst>
          <ext xmlns:x16="http://schemas.microsoft.com/office/spreadsheetml/2014/11/main" uri="{9835A34E-60A6-4A7C-AAB8-D5F71C897F49}">
            <x16:modelTimeGroupings>
              <x16:modelTimeGrouping tableName="Tabel4" columnName="date" columnId="date">
                <x16:calculatedTimeColumn columnName="date (Maandindex)" columnId="date (Maandindex)" contentType="monthsindex" isSelected="1"/>
                <x16:calculatedTimeColumn columnName="date (Maand)" columnId="date (Maand)" contentType="months" isSelected="1"/>
                <x16:calculatedTimeColumn columnName="date (Dagindex)" columnId="date (Dagindex)" contentType="daysindex" isSelected="1"/>
                <x16:calculatedTimeColumn columnName="date (Dag)" columnId="date (Dag)" contentType="day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1" i="3" l="1"/>
  <c r="N51" i="3"/>
  <c r="N52" i="3"/>
  <c r="N53" i="3"/>
  <c r="N54" i="3"/>
  <c r="N55" i="3"/>
  <c r="J49" i="3"/>
  <c r="N49" i="3"/>
  <c r="J50" i="3"/>
  <c r="N50" i="3"/>
  <c r="J7" i="3"/>
  <c r="J8" i="3" s="1"/>
  <c r="J9" i="3" s="1"/>
  <c r="J10" i="3" s="1"/>
  <c r="J11" i="3" s="1"/>
  <c r="J12" i="3" s="1"/>
  <c r="J13" i="3" s="1"/>
  <c r="J14" i="3" s="1"/>
  <c r="J15" i="3" s="1"/>
  <c r="J16" i="3" s="1"/>
  <c r="J17" i="3" s="1"/>
  <c r="J18" i="3" s="1"/>
  <c r="J19" i="3" s="1"/>
  <c r="J20" i="3" s="1"/>
  <c r="J21" i="3" s="1"/>
  <c r="J22" i="3" s="1"/>
  <c r="J23" i="3" s="1"/>
  <c r="J24" i="3" s="1"/>
  <c r="J25" i="3" s="1"/>
  <c r="J26" i="3" s="1"/>
  <c r="J27" i="3" s="1"/>
  <c r="J28" i="3" s="1"/>
  <c r="J29" i="3" s="1"/>
  <c r="J30" i="3" s="1"/>
  <c r="J31" i="3" s="1"/>
  <c r="J32" i="3" s="1"/>
  <c r="J33" i="3" s="1"/>
  <c r="J34" i="3" s="1"/>
  <c r="J35" i="3" s="1"/>
  <c r="J36" i="3" s="1"/>
  <c r="J37" i="3" s="1"/>
  <c r="J38" i="3" s="1"/>
  <c r="J39" i="3" s="1"/>
  <c r="J40" i="3" s="1"/>
  <c r="J41" i="3" s="1"/>
  <c r="J42" i="3" s="1"/>
  <c r="J43" i="3" s="1"/>
  <c r="J44" i="3" s="1"/>
  <c r="J45" i="3" s="1"/>
  <c r="J46" i="3" s="1"/>
  <c r="J47" i="3" s="1"/>
  <c r="J48" i="3" s="1"/>
  <c r="J1" i="5"/>
  <c r="J2" i="5" s="1"/>
  <c r="J5" i="5"/>
  <c r="J12" i="5"/>
  <c r="J13" i="5"/>
  <c r="D1" i="5"/>
  <c r="E1" i="5" s="1"/>
  <c r="C1" i="5"/>
  <c r="D15" i="5"/>
  <c r="C15" i="5"/>
  <c r="B15" i="5"/>
  <c r="D13" i="5"/>
  <c r="C13" i="5"/>
  <c r="B13" i="5"/>
  <c r="D12" i="5"/>
  <c r="C12" i="5"/>
  <c r="B12" i="5"/>
  <c r="D11" i="5"/>
  <c r="C11" i="5"/>
  <c r="B11" i="5"/>
  <c r="D10" i="5"/>
  <c r="C10" i="5"/>
  <c r="B10" i="5"/>
  <c r="D6" i="5"/>
  <c r="C6" i="5"/>
  <c r="B6" i="5"/>
  <c r="D5" i="5"/>
  <c r="C5" i="5"/>
  <c r="B5" i="5"/>
  <c r="D3" i="5"/>
  <c r="D14" i="5" s="1"/>
  <c r="C3" i="5"/>
  <c r="C14" i="5" s="1"/>
  <c r="B3" i="5"/>
  <c r="B14" i="5" s="1"/>
  <c r="D2" i="5"/>
  <c r="C2" i="5"/>
  <c r="B2" i="5"/>
  <c r="J52" i="3" l="1"/>
  <c r="J15" i="5"/>
  <c r="J11" i="5"/>
  <c r="J3" i="5"/>
  <c r="J10" i="5"/>
  <c r="J6" i="5"/>
  <c r="F1" i="5"/>
  <c r="E15" i="5"/>
  <c r="E13" i="5"/>
  <c r="E12" i="5"/>
  <c r="E11" i="5"/>
  <c r="E10" i="5"/>
  <c r="E6" i="5"/>
  <c r="E5" i="5"/>
  <c r="E3" i="5"/>
  <c r="E14" i="5" s="1"/>
  <c r="E2" i="5"/>
  <c r="B4" i="5"/>
  <c r="B7" i="5"/>
  <c r="B8" i="5"/>
  <c r="B9" i="5"/>
  <c r="C4" i="5"/>
  <c r="C7" i="5"/>
  <c r="C8" i="5"/>
  <c r="C9" i="5"/>
  <c r="D4" i="5"/>
  <c r="D7" i="5"/>
  <c r="D8" i="5"/>
  <c r="D9" i="5"/>
  <c r="E7" i="5"/>
  <c r="E9" i="5"/>
  <c r="J53" i="3" l="1"/>
  <c r="J14" i="5"/>
  <c r="J9" i="5"/>
  <c r="J7" i="5"/>
  <c r="J4" i="5"/>
  <c r="J8" i="5"/>
  <c r="E8" i="5"/>
  <c r="E4" i="5"/>
  <c r="F15" i="5"/>
  <c r="F13" i="5"/>
  <c r="F12" i="5"/>
  <c r="F11" i="5"/>
  <c r="F10" i="5"/>
  <c r="F6" i="5"/>
  <c r="F5" i="5"/>
  <c r="F3" i="5"/>
  <c r="F2" i="5"/>
  <c r="G1" i="5"/>
  <c r="L4" i="3" a="1"/>
  <c r="L4" i="3" s="1"/>
  <c r="L52" i="3" s="1" a="1"/>
  <c r="L52" i="3" s="1"/>
  <c r="K4" i="3" a="1"/>
  <c r="K4" i="3" s="1"/>
  <c r="K51" i="3" s="1" a="1"/>
  <c r="K51" i="3" s="1"/>
  <c r="N6" i="3"/>
  <c r="N37" i="3"/>
  <c r="L49" i="3" l="1" a="1"/>
  <c r="L49" i="3" s="1"/>
  <c r="L51" i="3" a="1"/>
  <c r="L51" i="3" s="1"/>
  <c r="M51" i="3" s="1"/>
  <c r="O51" i="3" s="1"/>
  <c r="L50" i="3" a="1"/>
  <c r="L50" i="3" s="1"/>
  <c r="K52" i="3" a="1"/>
  <c r="K52" i="3" s="1"/>
  <c r="M52" i="3" s="1"/>
  <c r="O52" i="3" s="1"/>
  <c r="K53" i="3" a="1"/>
  <c r="K53" i="3" s="1"/>
  <c r="L53" i="3" a="1"/>
  <c r="L53" i="3" s="1"/>
  <c r="M53" i="3" s="1"/>
  <c r="O53" i="3" s="1"/>
  <c r="J54" i="3"/>
  <c r="K6" i="3" a="1"/>
  <c r="K6" i="3" s="1"/>
  <c r="K50" i="3" a="1"/>
  <c r="K50" i="3" s="1"/>
  <c r="K49" i="3" a="1"/>
  <c r="K49" i="3" s="1"/>
  <c r="M49" i="3" s="1"/>
  <c r="O49" i="3" s="1"/>
  <c r="F14" i="5"/>
  <c r="F7" i="5"/>
  <c r="F9" i="5"/>
  <c r="F4" i="5"/>
  <c r="F8" i="5"/>
  <c r="H1" i="5"/>
  <c r="G15" i="5"/>
  <c r="G13" i="5"/>
  <c r="G12" i="5"/>
  <c r="G11" i="5"/>
  <c r="G10" i="5"/>
  <c r="G6" i="5"/>
  <c r="G5" i="5"/>
  <c r="G3" i="5"/>
  <c r="G2" i="5"/>
  <c r="L32" i="3" a="1"/>
  <c r="L32" i="3" s="1"/>
  <c r="L24" i="3" a="1"/>
  <c r="L24" i="3" s="1"/>
  <c r="L16" i="3" a="1"/>
  <c r="L16" i="3" s="1"/>
  <c r="L8" i="3" a="1"/>
  <c r="L8" i="3" s="1"/>
  <c r="K35" i="3" a="1"/>
  <c r="K35" i="3" s="1"/>
  <c r="K27" i="3" a="1"/>
  <c r="K27" i="3" s="1"/>
  <c r="K19" i="3" a="1"/>
  <c r="K19" i="3" s="1"/>
  <c r="K11" i="3" a="1"/>
  <c r="K11" i="3" s="1"/>
  <c r="L37" i="3" a="1"/>
  <c r="L37" i="3" s="1"/>
  <c r="L34" i="3" a="1"/>
  <c r="L34" i="3" s="1"/>
  <c r="L29" i="3" a="1"/>
  <c r="L29" i="3" s="1"/>
  <c r="L26" i="3" a="1"/>
  <c r="L26" i="3" s="1"/>
  <c r="L21" i="3" a="1"/>
  <c r="L21" i="3" s="1"/>
  <c r="L18" i="3" a="1"/>
  <c r="L18" i="3" s="1"/>
  <c r="M18" i="3" s="1"/>
  <c r="L13" i="3" a="1"/>
  <c r="L13" i="3" s="1"/>
  <c r="L10" i="3" a="1"/>
  <c r="L10" i="3" s="1"/>
  <c r="K37" i="3" a="1"/>
  <c r="K37" i="3" s="1"/>
  <c r="K34" i="3" a="1"/>
  <c r="K34" i="3" s="1"/>
  <c r="M34" i="3" s="1"/>
  <c r="K29" i="3" a="1"/>
  <c r="K29" i="3" s="1"/>
  <c r="K26" i="3" a="1"/>
  <c r="K26" i="3" s="1"/>
  <c r="K21" i="3" a="1"/>
  <c r="K21" i="3" s="1"/>
  <c r="K18" i="3" a="1"/>
  <c r="K18" i="3" s="1"/>
  <c r="K13" i="3" a="1"/>
  <c r="K13" i="3" s="1"/>
  <c r="K10" i="3" a="1"/>
  <c r="K10" i="3" s="1"/>
  <c r="L35" i="3" a="1"/>
  <c r="L35" i="3" s="1"/>
  <c r="M35" i="3" s="1"/>
  <c r="L27" i="3" a="1"/>
  <c r="L27" i="3" s="1"/>
  <c r="L19" i="3" a="1"/>
  <c r="L19" i="3" s="1"/>
  <c r="L11" i="3" a="1"/>
  <c r="L11" i="3" s="1"/>
  <c r="M11" i="3" s="1"/>
  <c r="K32" i="3" a="1"/>
  <c r="K32" i="3" s="1"/>
  <c r="K24" i="3" a="1"/>
  <c r="K24" i="3" s="1"/>
  <c r="K16" i="3" a="1"/>
  <c r="K16" i="3" s="1"/>
  <c r="M16" i="3" s="1"/>
  <c r="K8" i="3" a="1"/>
  <c r="K8" i="3" s="1"/>
  <c r="M8" i="3" s="1"/>
  <c r="L36" i="3" a="1"/>
  <c r="L36" i="3" s="1"/>
  <c r="L31" i="3" a="1"/>
  <c r="L31" i="3" s="1"/>
  <c r="L28" i="3" a="1"/>
  <c r="L28" i="3" s="1"/>
  <c r="L23" i="3" a="1"/>
  <c r="L23" i="3" s="1"/>
  <c r="L20" i="3" a="1"/>
  <c r="L20" i="3" s="1"/>
  <c r="L15" i="3" a="1"/>
  <c r="L15" i="3" s="1"/>
  <c r="L12" i="3" a="1"/>
  <c r="L12" i="3" s="1"/>
  <c r="L7" i="3" a="1"/>
  <c r="L7" i="3" s="1"/>
  <c r="K36" i="3" a="1"/>
  <c r="K36" i="3" s="1"/>
  <c r="K31" i="3" a="1"/>
  <c r="K31" i="3" s="1"/>
  <c r="M31" i="3" s="1"/>
  <c r="K28" i="3" a="1"/>
  <c r="K28" i="3" s="1"/>
  <c r="K23" i="3" a="1"/>
  <c r="K23" i="3" s="1"/>
  <c r="K20" i="3" a="1"/>
  <c r="K20" i="3" s="1"/>
  <c r="K15" i="3" a="1"/>
  <c r="K15" i="3" s="1"/>
  <c r="M15" i="3" s="1"/>
  <c r="K12" i="3" a="1"/>
  <c r="K12" i="3" s="1"/>
  <c r="M12" i="3" s="1"/>
  <c r="K7" i="3" a="1"/>
  <c r="K7" i="3" s="1"/>
  <c r="L33" i="3" a="1"/>
  <c r="L33" i="3" s="1"/>
  <c r="L30" i="3" a="1"/>
  <c r="L30" i="3" s="1"/>
  <c r="L25" i="3" a="1"/>
  <c r="L25" i="3" s="1"/>
  <c r="L22" i="3" a="1"/>
  <c r="L22" i="3" s="1"/>
  <c r="L17" i="3" a="1"/>
  <c r="L17" i="3" s="1"/>
  <c r="L14" i="3" a="1"/>
  <c r="L14" i="3" s="1"/>
  <c r="L9" i="3" a="1"/>
  <c r="L9" i="3" s="1"/>
  <c r="L6" i="3" a="1"/>
  <c r="L6" i="3" s="1"/>
  <c r="M6" i="3" s="1"/>
  <c r="O6" i="3" s="1"/>
  <c r="K33" i="3" a="1"/>
  <c r="K33" i="3" s="1"/>
  <c r="K30" i="3" a="1"/>
  <c r="K30" i="3" s="1"/>
  <c r="M30" i="3" s="1"/>
  <c r="K25" i="3" a="1"/>
  <c r="K25" i="3" s="1"/>
  <c r="K22" i="3" a="1"/>
  <c r="K22" i="3" s="1"/>
  <c r="K17" i="3" a="1"/>
  <c r="K17" i="3" s="1"/>
  <c r="M17" i="3" s="1"/>
  <c r="K14" i="3" a="1"/>
  <c r="K14" i="3" s="1"/>
  <c r="K9" i="3" a="1"/>
  <c r="K9" i="3" s="1"/>
  <c r="M29" i="3"/>
  <c r="M13" i="3"/>
  <c r="N36" i="3"/>
  <c r="N32" i="3"/>
  <c r="N28" i="3"/>
  <c r="N24" i="3"/>
  <c r="N20" i="3"/>
  <c r="N16" i="3"/>
  <c r="N12" i="3"/>
  <c r="N8" i="3"/>
  <c r="N33" i="3"/>
  <c r="N29" i="3"/>
  <c r="N25" i="3"/>
  <c r="N21" i="3"/>
  <c r="N17" i="3"/>
  <c r="N13" i="3"/>
  <c r="N9" i="3"/>
  <c r="N35" i="3"/>
  <c r="N31" i="3"/>
  <c r="N27" i="3"/>
  <c r="N23" i="3"/>
  <c r="N19" i="3"/>
  <c r="N15" i="3"/>
  <c r="N11" i="3"/>
  <c r="N7" i="3"/>
  <c r="N34" i="3"/>
  <c r="N30" i="3"/>
  <c r="N26" i="3"/>
  <c r="N22" i="3"/>
  <c r="N18" i="3"/>
  <c r="N14" i="3"/>
  <c r="N10" i="3"/>
  <c r="M19" i="3"/>
  <c r="L38" i="3" a="1"/>
  <c r="L38" i="3" s="1"/>
  <c r="M9" i="3"/>
  <c r="M50" i="3" l="1"/>
  <c r="O50" i="3" s="1"/>
  <c r="K54" i="3" a="1"/>
  <c r="K54" i="3" s="1"/>
  <c r="L54" i="3" a="1"/>
  <c r="L54" i="3" s="1"/>
  <c r="M54" i="3" s="1"/>
  <c r="O54" i="3" s="1"/>
  <c r="J55" i="3"/>
  <c r="M21" i="3"/>
  <c r="M20" i="3"/>
  <c r="M32" i="3"/>
  <c r="O32" i="3" s="1"/>
  <c r="O19" i="3"/>
  <c r="M36" i="3"/>
  <c r="O36" i="3" s="1"/>
  <c r="M7" i="3"/>
  <c r="M37" i="3"/>
  <c r="O37" i="3" s="1"/>
  <c r="M23" i="3"/>
  <c r="O23" i="3" s="1"/>
  <c r="M25" i="3"/>
  <c r="O25" i="3" s="1"/>
  <c r="O16" i="3"/>
  <c r="M14" i="3"/>
  <c r="O14" i="3" s="1"/>
  <c r="M33" i="3"/>
  <c r="O33" i="3" s="1"/>
  <c r="M28" i="3"/>
  <c r="O28" i="3" s="1"/>
  <c r="M26" i="3"/>
  <c r="O26" i="3" s="1"/>
  <c r="K38" i="3" a="1"/>
  <c r="K38" i="3" s="1"/>
  <c r="H15" i="5"/>
  <c r="H13" i="5"/>
  <c r="H12" i="5"/>
  <c r="H5" i="5"/>
  <c r="H3" i="5"/>
  <c r="H2" i="5"/>
  <c r="I1" i="5"/>
  <c r="H11" i="5"/>
  <c r="H10" i="5"/>
  <c r="H6" i="5"/>
  <c r="G14" i="5"/>
  <c r="G7" i="5"/>
  <c r="G9" i="5"/>
  <c r="G4" i="5"/>
  <c r="G8" i="5"/>
  <c r="O18" i="3"/>
  <c r="O35" i="3"/>
  <c r="O34" i="3"/>
  <c r="O8" i="3"/>
  <c r="M27" i="3"/>
  <c r="O27" i="3" s="1"/>
  <c r="M24" i="3"/>
  <c r="O24" i="3" s="1"/>
  <c r="M22" i="3"/>
  <c r="O22" i="3" s="1"/>
  <c r="O15" i="3"/>
  <c r="O31" i="3"/>
  <c r="M10" i="3"/>
  <c r="O10" i="3" s="1"/>
  <c r="O20" i="3"/>
  <c r="N38" i="3"/>
  <c r="O13" i="3"/>
  <c r="O17" i="3"/>
  <c r="O29" i="3"/>
  <c r="O11" i="3"/>
  <c r="O9" i="3"/>
  <c r="O12" i="3"/>
  <c r="O30" i="3"/>
  <c r="O7" i="3"/>
  <c r="O21" i="3"/>
  <c r="K55" i="3" l="1" a="1"/>
  <c r="K55" i="3" s="1"/>
  <c r="L55" i="3" a="1"/>
  <c r="L55" i="3" s="1"/>
  <c r="M55" i="3" s="1"/>
  <c r="O55" i="3" s="1"/>
  <c r="L39" i="3" a="1"/>
  <c r="L39" i="3" s="1"/>
  <c r="K39" i="3" a="1"/>
  <c r="K39" i="3" s="1"/>
  <c r="I15" i="5"/>
  <c r="I13" i="5"/>
  <c r="I12" i="5"/>
  <c r="I11" i="5"/>
  <c r="I10" i="5"/>
  <c r="I6" i="5"/>
  <c r="I5" i="5"/>
  <c r="I3" i="5"/>
  <c r="I2" i="5"/>
  <c r="H14" i="5"/>
  <c r="H7" i="5"/>
  <c r="H9" i="5"/>
  <c r="H4" i="5"/>
  <c r="H8" i="5"/>
  <c r="M38" i="3"/>
  <c r="O38" i="3" s="1"/>
  <c r="N39" i="3"/>
  <c r="K40" i="3" l="1" a="1"/>
  <c r="K40" i="3" s="1"/>
  <c r="L40" i="3" a="1"/>
  <c r="L40" i="3" s="1"/>
  <c r="I14" i="5"/>
  <c r="I7" i="5"/>
  <c r="I9" i="5"/>
  <c r="I4" i="5"/>
  <c r="I8" i="5"/>
  <c r="M39" i="3"/>
  <c r="O39" i="3" s="1"/>
  <c r="N40" i="3"/>
  <c r="N41" i="3" l="1"/>
  <c r="K41" i="3" a="1"/>
  <c r="K41" i="3" s="1"/>
  <c r="L41" i="3" a="1"/>
  <c r="L41" i="3" s="1"/>
  <c r="M40" i="3"/>
  <c r="O40" i="3" s="1"/>
  <c r="M41" i="3" l="1"/>
  <c r="O41" i="3" s="1"/>
  <c r="N42" i="3"/>
  <c r="L42" i="3" a="1"/>
  <c r="L42" i="3" s="1"/>
  <c r="K42" i="3" a="1"/>
  <c r="K42" i="3" s="1"/>
  <c r="N43" i="3" l="1"/>
  <c r="L43" i="3" a="1"/>
  <c r="L43" i="3" s="1"/>
  <c r="K43" i="3" a="1"/>
  <c r="K43" i="3" s="1"/>
  <c r="M42" i="3"/>
  <c r="O42" i="3" s="1"/>
  <c r="M43" i="3" l="1"/>
  <c r="O43" i="3" s="1"/>
  <c r="N44" i="3"/>
  <c r="L44" i="3" a="1"/>
  <c r="L44" i="3" s="1"/>
  <c r="K44" i="3" a="1"/>
  <c r="K44" i="3" s="1"/>
  <c r="M44" i="3" l="1"/>
  <c r="O44" i="3" s="1"/>
  <c r="N45" i="3"/>
  <c r="L45" i="3" a="1"/>
  <c r="L45" i="3" s="1"/>
  <c r="K45" i="3" a="1"/>
  <c r="K45" i="3" s="1"/>
  <c r="M45" i="3" l="1"/>
  <c r="O45" i="3" s="1"/>
  <c r="N46" i="3"/>
  <c r="K46" i="3" a="1"/>
  <c r="K46" i="3" s="1"/>
  <c r="L46" i="3" a="1"/>
  <c r="L46" i="3" s="1"/>
  <c r="M46" i="3" l="1"/>
  <c r="O46" i="3" s="1"/>
  <c r="N47" i="3"/>
  <c r="K47" i="3" a="1"/>
  <c r="K47" i="3" s="1"/>
  <c r="L47" i="3" a="1"/>
  <c r="L47" i="3" s="1"/>
  <c r="M47" i="3" l="1"/>
  <c r="O47" i="3" s="1"/>
  <c r="N48" i="3"/>
  <c r="K48" i="3" a="1"/>
  <c r="K48" i="3" s="1"/>
  <c r="L48" i="3" a="1"/>
  <c r="L48" i="3" s="1"/>
  <c r="M48" i="3" l="1"/>
  <c r="O48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CEC2AE3-804C-4FF9-A94D-C6CED9B026B1}" keepAlive="1" name="Requête - t_FinalRTCD" description="Connexion à la requête « t_FinalRTCD » dans le classeur." type="5" refreshedVersion="8" background="1">
    <dbPr connection="Provider=Microsoft.Mashup.OleDb.1;Data Source=$Workbook$;Location=t_FinalRTCD;Extended Properties=&quot;&quot;" command="SELECT * FROM [t_FinalRTCD]"/>
  </connection>
  <connection id="2" xr16:uid="{E8FD057C-DEEA-4CDE-A5B8-C2F10146F776}" keepAlive="1" name="Requête - t_MarchaArretOP" description="Connexion à la requête « t_MarchaArretOP » dans le classeur." type="5" refreshedVersion="0" background="1">
    <dbPr connection="Provider=Microsoft.Mashup.OleDb.1;Data Source=$Workbook$;Location=t_MarchaArretOP;Extended Properties=&quot;&quot;" command="SELECT * FROM [t_MarchaArretOP]"/>
  </connection>
  <connection id="3" xr16:uid="{15171472-0E1D-4B2D-833A-26FBDBAD3C8B}" keepAlive="1" name="ThisWorkbookDataModel" description="Gegevensmodel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4" xr16:uid="{E272DA30-FE60-4839-B93E-F4E0F9F02E15}" name="WorksheetConnection_matthieu-rsu-pq-temps-machine-v2.xlsx!t_BDD" type="102" refreshedVersion="8" minRefreshableVersion="5">
    <extLst>
      <ext xmlns:x15="http://schemas.microsoft.com/office/spreadsheetml/2010/11/main" uri="{DE250136-89BD-433C-8126-D09CA5730AF9}">
        <x15:connection id="t_BDD" autoDelete="1">
          <x15:rangePr sourceName="_xlcn.WorksheetConnection_matthieursupqtempsmachinev2.xlsxt_BDD1"/>
        </x15:connection>
      </ext>
    </extLst>
  </connection>
  <connection id="5" xr16:uid="{9F458204-A1B8-45EF-8E2F-3748016B9F7C}" name="WorksheetConnection_matthieu-rsu-pq-temps-machine-v2.xlsx!Tabel4" type="102" refreshedVersion="8" minRefreshableVersion="5">
    <extLst>
      <ext xmlns:x15="http://schemas.microsoft.com/office/spreadsheetml/2010/11/main" uri="{DE250136-89BD-433C-8126-D09CA5730AF9}">
        <x15:connection id="Tabel4">
          <x15:rangePr sourceName="_xlcn.WorksheetConnection_matthieursupqtempsmachinev2.xlsxTabel41"/>
        </x15:connection>
      </ext>
    </extLst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<sst xmlns="http://schemas.openxmlformats.org/spreadsheetml/2006/main" count="139" uniqueCount="97">
  <si>
    <t>OP</t>
  </si>
  <si>
    <t>Time</t>
  </si>
  <si>
    <t>Date</t>
  </si>
  <si>
    <t>33445</t>
  </si>
  <si>
    <t>33450</t>
  </si>
  <si>
    <t>Données</t>
  </si>
  <si>
    <t>Date arrêt</t>
  </si>
  <si>
    <t>Table Marche/Arrêt des OP :</t>
  </si>
  <si>
    <t>Eindtotaal</t>
  </si>
  <si>
    <t>Waarden</t>
  </si>
  <si>
    <t>jun</t>
  </si>
  <si>
    <t>Totaal jun</t>
  </si>
  <si>
    <t>jul</t>
  </si>
  <si>
    <t>Totaal jul</t>
  </si>
  <si>
    <t>date</t>
  </si>
  <si>
    <t>Time In</t>
  </si>
  <si>
    <t>Time Out</t>
  </si>
  <si>
    <t>Marche/arret OP</t>
  </si>
  <si>
    <t>Tous les jours ouvrables</t>
  </si>
  <si>
    <t>total</t>
  </si>
  <si>
    <t>Maanden</t>
  </si>
  <si>
    <t>1/jun</t>
  </si>
  <si>
    <t>2/jun</t>
  </si>
  <si>
    <t>3/jun</t>
  </si>
  <si>
    <t>7/jun</t>
  </si>
  <si>
    <t>8/jun</t>
  </si>
  <si>
    <t>9/jun</t>
  </si>
  <si>
    <t>10/jun</t>
  </si>
  <si>
    <t>13/jun</t>
  </si>
  <si>
    <t>14/jun</t>
  </si>
  <si>
    <t>15/jun</t>
  </si>
  <si>
    <t>16/jun</t>
  </si>
  <si>
    <t>17/jun</t>
  </si>
  <si>
    <t>20/jun</t>
  </si>
  <si>
    <t>21/jun</t>
  </si>
  <si>
    <t>22/jun</t>
  </si>
  <si>
    <t>23/jun</t>
  </si>
  <si>
    <t>24/jun</t>
  </si>
  <si>
    <t>27/jun</t>
  </si>
  <si>
    <t>28/jun</t>
  </si>
  <si>
    <t>29/jun</t>
  </si>
  <si>
    <t>30/jun</t>
  </si>
  <si>
    <t>1/jul</t>
  </si>
  <si>
    <t>4/jul</t>
  </si>
  <si>
    <t>5/jul</t>
  </si>
  <si>
    <t>6/jul</t>
  </si>
  <si>
    <t>7/jul</t>
  </si>
  <si>
    <t>8/jul</t>
  </si>
  <si>
    <t>11/jul</t>
  </si>
  <si>
    <t>12/jul</t>
  </si>
  <si>
    <t>13/jul</t>
  </si>
  <si>
    <t>15/jul</t>
  </si>
  <si>
    <t>18/jul</t>
  </si>
  <si>
    <t>19/jul</t>
  </si>
  <si>
    <t>TCD avec 2ième Tableau, Marche/arrêt OP</t>
  </si>
  <si>
    <t>Heures</t>
  </si>
  <si>
    <t>Time In_</t>
  </si>
  <si>
    <t>Time Out_</t>
  </si>
  <si>
    <t>date fin arret</t>
  </si>
  <si>
    <t>dernier date</t>
  </si>
  <si>
    <t>Année :</t>
  </si>
  <si>
    <t>Nouvel An</t>
  </si>
  <si>
    <t>Pâques</t>
  </si>
  <si>
    <t>L. Pâques</t>
  </si>
  <si>
    <t>F. Travail</t>
  </si>
  <si>
    <t>Vict. 1945</t>
  </si>
  <si>
    <t>Ascension</t>
  </si>
  <si>
    <t>Pentecôte</t>
  </si>
  <si>
    <t>L. Pentecôte</t>
  </si>
  <si>
    <t>F. Nationale</t>
  </si>
  <si>
    <t>Assomption</t>
  </si>
  <si>
    <t>Toussaint</t>
  </si>
  <si>
    <t>Armistice</t>
  </si>
  <si>
    <t>Rameaux</t>
  </si>
  <si>
    <t>Noël</t>
  </si>
  <si>
    <t>extra1</t>
  </si>
  <si>
    <t>extra2</t>
  </si>
  <si>
    <t>extra3</t>
  </si>
  <si>
    <t>extra4</t>
  </si>
  <si>
    <t>extra5</t>
  </si>
  <si>
    <t>extra6</t>
  </si>
  <si>
    <t>extra7</t>
  </si>
  <si>
    <t>20/jul</t>
  </si>
  <si>
    <t>21/jul</t>
  </si>
  <si>
    <t>22/jul</t>
  </si>
  <si>
    <t>aug</t>
  </si>
  <si>
    <t>1/aug</t>
  </si>
  <si>
    <t>2/aug</t>
  </si>
  <si>
    <t>3/aug</t>
  </si>
  <si>
    <t>4/aug</t>
  </si>
  <si>
    <t>5/aug</t>
  </si>
  <si>
    <t>8/aug</t>
  </si>
  <si>
    <t>9/aug</t>
  </si>
  <si>
    <t>10/aug</t>
  </si>
  <si>
    <t>11/aug</t>
  </si>
  <si>
    <t>Totaal aug</t>
  </si>
  <si>
    <t>éventuellement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</si>
</sst>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 dd/mmm/yy"/>
    <numFmt numFmtId="166" formatCode="d/mm/yy;@"/>
    <numFmt numFmtId="168" formatCode="ddd\ dd/mm/yy"/>
  </numFmts>
  <fonts count="11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/>
    <xf numFmtId="0" fontId="1" fillId="0" borderId="0"/>
    <xf numFmtId="0" fontId="9" fillId="0" borderId="0"/>
  </cellStyleXfs>
  <cellXfs count="37">
    <xf numFmtId="0" fontId="0" fillId="0" borderId="0" xfId="0"/>
    <xf numFmtId="0" fontId="0" fillId="2" borderId="0" xfId="0" applyFill="1"/>
    <xf numFmtId="0" fontId="3" fillId="0" borderId="0" xfId="1" applyFont="1" applyAlignment="1">
      <alignment horizontal="center"/>
    </xf>
    <xf numFmtId="15" fontId="2" fillId="0" borderId="0" xfId="1" applyNumberFormat="1" applyFont="1" applyAlignment="1">
      <alignment horizontal="right" wrapText="1"/>
    </xf>
    <xf numFmtId="0" fontId="2" fillId="0" borderId="0" xfId="1" applyFont="1" applyAlignment="1">
      <alignment horizontal="right" wrapText="1"/>
    </xf>
    <xf numFmtId="0" fontId="2" fillId="0" borderId="0" xfId="1" applyFont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pivotButton="1"/>
    <xf numFmtId="0" fontId="0" fillId="3" borderId="0" xfId="0" applyFill="1"/>
    <xf numFmtId="0" fontId="4" fillId="0" borderId="0" xfId="0" applyFont="1" applyAlignment="1">
      <alignment horizontal="center" vertical="center"/>
    </xf>
    <xf numFmtId="0" fontId="6" fillId="0" borderId="0" xfId="0" applyFont="1"/>
    <xf numFmtId="2" fontId="0" fillId="0" borderId="0" xfId="0" applyNumberFormat="1"/>
    <xf numFmtId="164" fontId="0" fillId="0" borderId="0" xfId="0" applyNumberFormat="1"/>
    <xf numFmtId="164" fontId="7" fillId="0" borderId="0" xfId="0" applyNumberFormat="1" applyFont="1"/>
    <xf numFmtId="0" fontId="4" fillId="0" borderId="0" xfId="0" applyFont="1" applyAlignment="1">
      <alignment horizontal="center" vertical="center"/>
    </xf>
    <xf numFmtId="14" fontId="2" fillId="0" borderId="0" xfId="1" applyNumberFormat="1" applyFont="1" applyAlignment="1">
      <alignment horizontal="center"/>
    </xf>
    <xf numFmtId="14" fontId="2" fillId="0" borderId="0" xfId="1" applyNumberFormat="1" applyFont="1" applyAlignment="1">
      <alignment horizontal="right" wrapText="1"/>
    </xf>
    <xf numFmtId="0" fontId="5" fillId="0" borderId="0" xfId="0" applyNumberFormat="1" applyFont="1" applyAlignment="1">
      <alignment vertical="top"/>
    </xf>
    <xf numFmtId="0" fontId="4" fillId="0" borderId="0" xfId="0" applyNumberFormat="1" applyFont="1" applyAlignment="1">
      <alignment horizontal="center" vertical="center"/>
    </xf>
    <xf numFmtId="0" fontId="0" fillId="0" borderId="0" xfId="0" applyNumberFormat="1"/>
    <xf numFmtId="0" fontId="2" fillId="0" borderId="0" xfId="1" applyNumberFormat="1" applyFont="1" applyAlignment="1">
      <alignment horizontal="right" wrapText="1"/>
    </xf>
    <xf numFmtId="164" fontId="0" fillId="4" borderId="0" xfId="0" applyNumberFormat="1" applyFont="1" applyFill="1"/>
    <xf numFmtId="166" fontId="0" fillId="4" borderId="0" xfId="0" applyNumberFormat="1" applyFont="1" applyFill="1"/>
    <xf numFmtId="164" fontId="0" fillId="5" borderId="0" xfId="0" applyNumberFormat="1" applyFill="1"/>
    <xf numFmtId="0" fontId="0" fillId="3" borderId="0" xfId="0" applyNumberFormat="1" applyFill="1"/>
    <xf numFmtId="0" fontId="0" fillId="2" borderId="0" xfId="0" applyNumberFormat="1" applyFill="1"/>
    <xf numFmtId="0" fontId="8" fillId="0" borderId="0" xfId="2" applyFont="1" applyBorder="1"/>
    <xf numFmtId="168" fontId="8" fillId="0" borderId="0" xfId="2" applyNumberFormat="1" applyFont="1" applyBorder="1" applyAlignment="1">
      <alignment horizontal="center"/>
    </xf>
    <xf numFmtId="168" fontId="8" fillId="0" borderId="5" xfId="2" applyNumberFormat="1" applyFont="1" applyBorder="1" applyAlignment="1">
      <alignment horizontal="center"/>
    </xf>
    <xf numFmtId="168" fontId="8" fillId="0" borderId="7" xfId="2" applyNumberFormat="1" applyFont="1" applyBorder="1" applyAlignment="1">
      <alignment horizontal="center"/>
    </xf>
    <xf numFmtId="168" fontId="8" fillId="0" borderId="8" xfId="2" applyNumberFormat="1" applyFont="1" applyBorder="1" applyAlignment="1">
      <alignment horizontal="center"/>
    </xf>
    <xf numFmtId="0" fontId="8" fillId="6" borderId="4" xfId="2" applyFont="1" applyFill="1" applyBorder="1"/>
    <xf numFmtId="0" fontId="8" fillId="6" borderId="6" xfId="2" applyFont="1" applyFill="1" applyBorder="1"/>
    <xf numFmtId="0" fontId="8" fillId="5" borderId="1" xfId="2" applyFont="1" applyFill="1" applyBorder="1" applyAlignment="1">
      <alignment horizontal="center"/>
    </xf>
    <xf numFmtId="0" fontId="8" fillId="5" borderId="2" xfId="2" applyFont="1" applyFill="1" applyBorder="1" applyAlignment="1">
      <alignment horizontal="center"/>
    </xf>
    <xf numFmtId="0" fontId="8" fillId="5" borderId="3" xfId="2" applyFont="1" applyFill="1" applyBorder="1" applyAlignment="1">
      <alignment horizontal="center"/>
    </xf>
    <xf numFmtId="168" fontId="8" fillId="4" borderId="0" xfId="2" applyNumberFormat="1" applyFont="1" applyFill="1" applyBorder="1" applyAlignment="1">
      <alignment horizontal="center"/>
    </xf>
  </cellXfs>
  <cellStyles count="3">
    <cellStyle name="Normal_Hoja1" xfId="1" xr:uid="{00000000-0005-0000-0000-000001000000}"/>
    <cellStyle name="Standaard" xfId="0" builtinId="0"/>
    <cellStyle name="Standaard 2" xfId="2" xr:uid="{D6D9E5B6-B53F-4408-9265-C463E48DBF56}"/>
  </cellStyles>
  <dxfs count="19">
    <dxf>
      <fill>
        <patternFill patternType="solid">
          <bgColor rgb="FFFFFF00"/>
        </patternFill>
      </fill>
    </dxf>
    <dxf>
      <fill>
        <patternFill patternType="solid">
          <bgColor theme="9" tint="0.39994506668294322"/>
        </patternFill>
      </fill>
    </dxf>
    <dxf>
      <fill>
        <patternFill>
          <bgColor rgb="FF92D050"/>
        </patternFill>
      </fill>
    </dxf>
    <dxf>
      <numFmt numFmtId="164" formatCode="ddd\ dd/mmm/yy"/>
    </dxf>
    <dxf>
      <numFmt numFmtId="0" formatCode="General"/>
    </dxf>
    <dxf>
      <numFmt numFmtId="0" formatCode="General"/>
    </dxf>
    <dxf>
      <fill>
        <patternFill>
          <bgColor theme="7" tint="0.39994506668294322"/>
        </patternFill>
      </fill>
    </dxf>
    <dxf>
      <numFmt numFmtId="0" formatCode="General"/>
    </dxf>
    <dxf>
      <numFmt numFmtId="19" formatCode="d/mm/yyyy"/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5" formatCode="dd\-mmm\-yy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>
          <bgColor rgb="FF92D050"/>
        </patternFill>
      </fill>
    </dxf>
    <dxf>
      <fill>
        <patternFill patternType="solid">
          <bgColor theme="9" tint="0.39994506668294322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1.xml"/><Relationship Id="rId5" Type="http://schemas.openxmlformats.org/officeDocument/2006/relationships/connections" Target="connections.xml"/><Relationship Id="rId10" Type="http://schemas.openxmlformats.org/officeDocument/2006/relationships/calcChain" Target="calcChain.xml"/><Relationship Id="rId4" Type="http://schemas.openxmlformats.org/officeDocument/2006/relationships/theme" Target="theme/theme1.xml"/><Relationship Id="rId9" Type="http://schemas.openxmlformats.org/officeDocument/2006/relationships/powerPivotData" Target="model/item.data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041.40989722222" createdVersion="8" refreshedVersion="8" minRefreshableVersion="3" recordCount="45" xr:uid="{D3924384-ABE2-4B12-91CA-CBD92911B165}">
  <cacheSource type="worksheet">
    <worksheetSource name="Tabel4"/>
  </cacheSource>
  <cacheFields count="7">
    <cacheField name="date" numFmtId="164">
      <sharedItems containsSemiMixedTypes="0" containsNonDate="0" containsDate="1" containsString="0" minDate="2022-06-01T00:00:00" maxDate="2022-08-12T00:00:00" count="45">
        <d v="2022-06-01T00:00:00"/>
        <d v="2022-06-02T00:00:00"/>
        <d v="2022-06-03T00:00:00"/>
        <d v="2022-06-07T00:00:00"/>
        <d v="2022-06-08T00:00:00"/>
        <d v="2022-06-09T00:00:00"/>
        <d v="2022-06-10T00:00:00"/>
        <d v="2022-06-13T00:00:00"/>
        <d v="2022-06-14T00:00:00"/>
        <d v="2022-06-15T00:00:00"/>
        <d v="2022-06-16T00:00:00"/>
        <d v="2022-06-17T00:00:00"/>
        <d v="2022-06-20T00:00:00"/>
        <d v="2022-06-21T00:00:00"/>
        <d v="2022-06-22T00:00:00"/>
        <d v="2022-06-23T00:00:00"/>
        <d v="2022-06-24T00:00:00"/>
        <d v="2022-06-27T00:00:00"/>
        <d v="2022-06-28T00:00:00"/>
        <d v="2022-06-29T00:00:00"/>
        <d v="2022-06-30T00:00:00"/>
        <d v="2022-07-01T00:00:00"/>
        <d v="2022-07-04T00:00:00"/>
        <d v="2022-07-05T00:00:00"/>
        <d v="2022-07-06T00:00:00"/>
        <d v="2022-07-07T00:00:00"/>
        <d v="2022-07-08T00:00:00"/>
        <d v="2022-07-11T00:00:00"/>
        <d v="2022-07-12T00:00:00"/>
        <d v="2022-07-13T00:00:00"/>
        <d v="2022-07-15T00:00:00"/>
        <d v="2022-07-18T00:00:00"/>
        <d v="2022-07-19T00:00:00"/>
        <d v="2022-07-20T00:00:00"/>
        <d v="2022-07-21T00:00:00"/>
        <d v="2022-07-22T00:00:00"/>
        <d v="2022-08-01T00:00:00"/>
        <d v="2022-08-02T00:00:00"/>
        <d v="2022-08-03T00:00:00"/>
        <d v="2022-08-04T00:00:00"/>
        <d v="2022-08-05T00:00:00"/>
        <d v="2022-08-08T00:00:00"/>
        <d v="2022-08-09T00:00:00"/>
        <d v="2022-08-10T00:00:00"/>
        <d v="2022-08-11T00:00:00"/>
      </sharedItems>
      <fieldGroup par="6" base="0">
        <rangePr groupBy="days" startDate="2022-06-01T00:00:00" endDate="2022-08-12T00:00:00"/>
        <groupItems count="368">
          <s v="&lt;1/06/2022"/>
          <s v="1/jan"/>
          <s v="2/jan"/>
          <s v="3/jan"/>
          <s v="4/jan"/>
          <s v="5/jan"/>
          <s v="6/jan"/>
          <s v="7/jan"/>
          <s v="8/jan"/>
          <s v="9/jan"/>
          <s v="10/jan"/>
          <s v="11/jan"/>
          <s v="12/jan"/>
          <s v="13/jan"/>
          <s v="14/jan"/>
          <s v="15/jan"/>
          <s v="16/jan"/>
          <s v="17/jan"/>
          <s v="18/jan"/>
          <s v="19/jan"/>
          <s v="20/jan"/>
          <s v="21/jan"/>
          <s v="22/jan"/>
          <s v="23/jan"/>
          <s v="24/jan"/>
          <s v="25/jan"/>
          <s v="26/jan"/>
          <s v="27/jan"/>
          <s v="28/jan"/>
          <s v="29/jan"/>
          <s v="30/jan"/>
          <s v="31/jan"/>
          <s v="1/feb"/>
          <s v="2/feb"/>
          <s v="3/feb"/>
          <s v="4/feb"/>
          <s v="5/feb"/>
          <s v="6/feb"/>
          <s v="7/feb"/>
          <s v="8/feb"/>
          <s v="9/feb"/>
          <s v="10/feb"/>
          <s v="11/feb"/>
          <s v="12/feb"/>
          <s v="13/feb"/>
          <s v="14/feb"/>
          <s v="15/feb"/>
          <s v="16/feb"/>
          <s v="17/feb"/>
          <s v="18/feb"/>
          <s v="19/feb"/>
          <s v="20/feb"/>
          <s v="21/feb"/>
          <s v="22/feb"/>
          <s v="23/feb"/>
          <s v="24/feb"/>
          <s v="25/feb"/>
          <s v="26/feb"/>
          <s v="27/feb"/>
          <s v="28/feb"/>
          <s v="29/feb"/>
          <s v="1/mrt"/>
          <s v="2/mrt"/>
          <s v="3/mrt"/>
          <s v="4/mrt"/>
          <s v="5/mrt"/>
          <s v="6/mrt"/>
          <s v="7/mrt"/>
          <s v="8/mrt"/>
          <s v="9/mrt"/>
          <s v="10/mrt"/>
          <s v="11/mrt"/>
          <s v="12/mrt"/>
          <s v="13/mrt"/>
          <s v="14/mrt"/>
          <s v="15/mrt"/>
          <s v="16/mrt"/>
          <s v="17/mrt"/>
          <s v="18/mrt"/>
          <s v="19/mrt"/>
          <s v="20/mrt"/>
          <s v="21/mrt"/>
          <s v="22/mrt"/>
          <s v="23/mrt"/>
          <s v="24/mrt"/>
          <s v="25/mrt"/>
          <s v="26/mrt"/>
          <s v="27/mrt"/>
          <s v="28/mrt"/>
          <s v="29/mrt"/>
          <s v="30/mrt"/>
          <s v="31/mrt"/>
          <s v="1/apr"/>
          <s v="2/apr"/>
          <s v="3/apr"/>
          <s v="4/apr"/>
          <s v="5/apr"/>
          <s v="6/apr"/>
          <s v="7/apr"/>
          <s v="8/apr"/>
          <s v="9/apr"/>
          <s v="10/apr"/>
          <s v="11/apr"/>
          <s v="12/apr"/>
          <s v="13/apr"/>
          <s v="14/apr"/>
          <s v="15/apr"/>
          <s v="16/apr"/>
          <s v="17/apr"/>
          <s v="18/apr"/>
          <s v="19/apr"/>
          <s v="20/apr"/>
          <s v="21/apr"/>
          <s v="22/apr"/>
          <s v="23/apr"/>
          <s v="24/apr"/>
          <s v="25/apr"/>
          <s v="26/apr"/>
          <s v="27/apr"/>
          <s v="28/apr"/>
          <s v="29/apr"/>
          <s v="30/apr"/>
          <s v="1/mei"/>
          <s v="2/mei"/>
          <s v="3/mei"/>
          <s v="4/mei"/>
          <s v="5/mei"/>
          <s v="6/mei"/>
          <s v="7/mei"/>
          <s v="8/mei"/>
          <s v="9/mei"/>
          <s v="10/mei"/>
          <s v="11/mei"/>
          <s v="12/mei"/>
          <s v="13/mei"/>
          <s v="14/mei"/>
          <s v="15/mei"/>
          <s v="16/mei"/>
          <s v="17/mei"/>
          <s v="18/mei"/>
          <s v="19/mei"/>
          <s v="20/mei"/>
          <s v="21/mei"/>
          <s v="22/mei"/>
          <s v="23/mei"/>
          <s v="24/mei"/>
          <s v="25/mei"/>
          <s v="26/mei"/>
          <s v="27/mei"/>
          <s v="28/mei"/>
          <s v="29/mei"/>
          <s v="30/mei"/>
          <s v="31/mei"/>
          <s v="1/jun"/>
          <s v="2/jun"/>
          <s v="3/jun"/>
          <s v="4/jun"/>
          <s v="5/jun"/>
          <s v="6/jun"/>
          <s v="7/jun"/>
          <s v="8/jun"/>
          <s v="9/jun"/>
          <s v="10/jun"/>
          <s v="11/jun"/>
          <s v="12/jun"/>
          <s v="13/jun"/>
          <s v="14/jun"/>
          <s v="15/jun"/>
          <s v="16/jun"/>
          <s v="17/jun"/>
          <s v="18/jun"/>
          <s v="19/jun"/>
          <s v="20/jun"/>
          <s v="21/jun"/>
          <s v="22/jun"/>
          <s v="23/jun"/>
          <s v="24/jun"/>
          <s v="25/jun"/>
          <s v="26/jun"/>
          <s v="27/jun"/>
          <s v="28/jun"/>
          <s v="29/jun"/>
          <s v="30/jun"/>
          <s v="1/jul"/>
          <s v="2/jul"/>
          <s v="3/jul"/>
          <s v="4/jul"/>
          <s v="5/jul"/>
          <s v="6/jul"/>
          <s v="7/jul"/>
          <s v="8/jul"/>
          <s v="9/jul"/>
          <s v="10/jul"/>
          <s v="11/jul"/>
          <s v="12/jul"/>
          <s v="13/jul"/>
          <s v="14/jul"/>
          <s v="15/jul"/>
          <s v="16/jul"/>
          <s v="17/jul"/>
          <s v="18/jul"/>
          <s v="19/jul"/>
          <s v="20/jul"/>
          <s v="21/jul"/>
          <s v="22/jul"/>
          <s v="23/jul"/>
          <s v="24/jul"/>
          <s v="25/jul"/>
          <s v="26/jul"/>
          <s v="27/jul"/>
          <s v="28/jul"/>
          <s v="29/jul"/>
          <s v="30/jul"/>
          <s v="31/jul"/>
          <s v="1/aug"/>
          <s v="2/aug"/>
          <s v="3/aug"/>
          <s v="4/aug"/>
          <s v="5/aug"/>
          <s v="6/aug"/>
          <s v="7/aug"/>
          <s v="8/aug"/>
          <s v="9/aug"/>
          <s v="10/aug"/>
          <s v="11/aug"/>
          <s v="12/aug"/>
          <s v="13/aug"/>
          <s v="14/aug"/>
          <s v="15/aug"/>
          <s v="16/aug"/>
          <s v="17/aug"/>
          <s v="18/aug"/>
          <s v="19/aug"/>
          <s v="20/aug"/>
          <s v="21/aug"/>
          <s v="22/aug"/>
          <s v="23/aug"/>
          <s v="24/aug"/>
          <s v="25/aug"/>
          <s v="26/aug"/>
          <s v="27/aug"/>
          <s v="28/aug"/>
          <s v="29/aug"/>
          <s v="30/aug"/>
          <s v="31/aug"/>
          <s v="1/sep"/>
          <s v="2/sep"/>
          <s v="3/sep"/>
          <s v="4/sep"/>
          <s v="5/sep"/>
          <s v="6/sep"/>
          <s v="7/sep"/>
          <s v="8/sep"/>
          <s v="9/sep"/>
          <s v="10/sep"/>
          <s v="11/sep"/>
          <s v="12/sep"/>
          <s v="13/sep"/>
          <s v="14/sep"/>
          <s v="15/sep"/>
          <s v="16/sep"/>
          <s v="17/sep"/>
          <s v="18/sep"/>
          <s v="19/sep"/>
          <s v="20/sep"/>
          <s v="21/sep"/>
          <s v="22/sep"/>
          <s v="23/sep"/>
          <s v="24/sep"/>
          <s v="25/sep"/>
          <s v="26/sep"/>
          <s v="27/sep"/>
          <s v="28/sep"/>
          <s v="29/sep"/>
          <s v="30/sep"/>
          <s v="1/okt"/>
          <s v="2/okt"/>
          <s v="3/okt"/>
          <s v="4/okt"/>
          <s v="5/okt"/>
          <s v="6/okt"/>
          <s v="7/okt"/>
          <s v="8/okt"/>
          <s v="9/okt"/>
          <s v="10/okt"/>
          <s v="11/okt"/>
          <s v="12/okt"/>
          <s v="13/okt"/>
          <s v="14/okt"/>
          <s v="15/okt"/>
          <s v="16/okt"/>
          <s v="17/okt"/>
          <s v="18/okt"/>
          <s v="19/okt"/>
          <s v="20/okt"/>
          <s v="21/okt"/>
          <s v="22/okt"/>
          <s v="23/okt"/>
          <s v="24/okt"/>
          <s v="25/okt"/>
          <s v="26/okt"/>
          <s v="27/okt"/>
          <s v="28/okt"/>
          <s v="29/okt"/>
          <s v="30/okt"/>
          <s v="31/okt"/>
          <s v="1/nov"/>
          <s v="2/nov"/>
          <s v="3/nov"/>
          <s v="4/nov"/>
          <s v="5/nov"/>
          <s v="6/nov"/>
          <s v="7/nov"/>
          <s v="8/nov"/>
          <s v="9/nov"/>
          <s v="10/nov"/>
          <s v="11/nov"/>
          <s v="12/nov"/>
          <s v="13/nov"/>
          <s v="14/nov"/>
          <s v="15/nov"/>
          <s v="16/nov"/>
          <s v="17/nov"/>
          <s v="18/nov"/>
          <s v="19/nov"/>
          <s v="20/nov"/>
          <s v="21/nov"/>
          <s v="22/nov"/>
          <s v="23/nov"/>
          <s v="24/nov"/>
          <s v="25/nov"/>
          <s v="26/nov"/>
          <s v="27/nov"/>
          <s v="28/nov"/>
          <s v="29/nov"/>
          <s v="30/nov"/>
          <s v="1/dec"/>
          <s v="2/dec"/>
          <s v="3/dec"/>
          <s v="4/dec"/>
          <s v="5/dec"/>
          <s v="6/dec"/>
          <s v="7/dec"/>
          <s v="8/dec"/>
          <s v="9/dec"/>
          <s v="10/dec"/>
          <s v="11/dec"/>
          <s v="12/dec"/>
          <s v="13/dec"/>
          <s v="14/dec"/>
          <s v="15/dec"/>
          <s v="16/dec"/>
          <s v="17/dec"/>
          <s v="18/dec"/>
          <s v="19/dec"/>
          <s v="20/dec"/>
          <s v="21/dec"/>
          <s v="22/dec"/>
          <s v="23/dec"/>
          <s v="24/dec"/>
          <s v="25/dec"/>
          <s v="26/dec"/>
          <s v="27/dec"/>
          <s v="28/dec"/>
          <s v="29/dec"/>
          <s v="30/dec"/>
          <s v="31/dec"/>
          <s v="&gt;12/08/2022"/>
        </groupItems>
      </fieldGroup>
    </cacheField>
    <cacheField name="33445" numFmtId="0">
      <sharedItems containsSemiMixedTypes="0" containsString="0" containsNumber="1" containsInteger="1" minValue="0" maxValue="8"/>
    </cacheField>
    <cacheField name="33450" numFmtId="0">
      <sharedItems containsSemiMixedTypes="0" containsString="0" containsNumber="1" containsInteger="1" minValue="0" maxValue="8"/>
    </cacheField>
    <cacheField name="total" numFmtId="0">
      <sharedItems containsSemiMixedTypes="0" containsString="0" containsNumber="1" containsInteger="1" minValue="0" maxValue="16"/>
    </cacheField>
    <cacheField name="Time In" numFmtId="2">
      <sharedItems containsSemiMixedTypes="0" containsString="0" containsNumber="1" minValue="0" maxValue="8"/>
    </cacheField>
    <cacheField name="Time Out" numFmtId="2">
      <sharedItems containsSemiMixedTypes="0" containsString="0" containsNumber="1" minValue="0" maxValue="16"/>
    </cacheField>
    <cacheField name="Maanden" numFmtId="0" databaseField="0">
      <fieldGroup base="0">
        <rangePr groupBy="months" startDate="2022-06-01T00:00:00" endDate="2022-08-12T00:00:00"/>
        <groupItems count="14">
          <s v="&lt;1/06/2022"/>
          <s v="jan"/>
          <s v="feb"/>
          <s v="mrt"/>
          <s v="apr"/>
          <s v="mei"/>
          <s v="jun"/>
          <s v="jul"/>
          <s v="aug"/>
          <s v="sep"/>
          <s v="okt"/>
          <s v="nov"/>
          <s v="dec"/>
          <s v="&gt;12/08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">
  <r>
    <x v="0"/>
    <n v="8"/>
    <n v="8"/>
    <n v="16"/>
    <n v="1"/>
    <n v="15"/>
  </r>
  <r>
    <x v="1"/>
    <n v="8"/>
    <n v="8"/>
    <n v="16"/>
    <n v="7"/>
    <n v="9"/>
  </r>
  <r>
    <x v="2"/>
    <n v="8"/>
    <n v="8"/>
    <n v="16"/>
    <n v="2.75"/>
    <n v="13.25"/>
  </r>
  <r>
    <x v="3"/>
    <n v="8"/>
    <n v="0"/>
    <n v="8"/>
    <n v="7.5"/>
    <n v="0.5"/>
  </r>
  <r>
    <x v="4"/>
    <n v="8"/>
    <n v="8"/>
    <n v="16"/>
    <n v="8"/>
    <n v="8"/>
  </r>
  <r>
    <x v="5"/>
    <n v="8"/>
    <n v="8"/>
    <n v="16"/>
    <n v="4"/>
    <n v="12"/>
  </r>
  <r>
    <x v="6"/>
    <n v="8"/>
    <n v="8"/>
    <n v="16"/>
    <n v="0"/>
    <n v="16"/>
  </r>
  <r>
    <x v="7"/>
    <n v="8"/>
    <n v="8"/>
    <n v="16"/>
    <n v="5.5"/>
    <n v="10.5"/>
  </r>
  <r>
    <x v="8"/>
    <n v="8"/>
    <n v="8"/>
    <n v="16"/>
    <n v="0"/>
    <n v="16"/>
  </r>
  <r>
    <x v="9"/>
    <n v="8"/>
    <n v="8"/>
    <n v="16"/>
    <n v="0"/>
    <n v="16"/>
  </r>
  <r>
    <x v="10"/>
    <n v="8"/>
    <n v="8"/>
    <n v="16"/>
    <n v="0"/>
    <n v="16"/>
  </r>
  <r>
    <x v="11"/>
    <n v="8"/>
    <n v="8"/>
    <n v="16"/>
    <n v="3"/>
    <n v="13"/>
  </r>
  <r>
    <x v="12"/>
    <n v="8"/>
    <n v="8"/>
    <n v="16"/>
    <n v="3"/>
    <n v="13"/>
  </r>
  <r>
    <x v="13"/>
    <n v="8"/>
    <n v="8"/>
    <n v="16"/>
    <n v="1"/>
    <n v="15"/>
  </r>
  <r>
    <x v="14"/>
    <n v="8"/>
    <n v="8"/>
    <n v="16"/>
    <n v="7"/>
    <n v="9"/>
  </r>
  <r>
    <x v="15"/>
    <n v="8"/>
    <n v="8"/>
    <n v="16"/>
    <n v="1.5"/>
    <n v="14.5"/>
  </r>
  <r>
    <x v="16"/>
    <n v="8"/>
    <n v="8"/>
    <n v="16"/>
    <n v="6"/>
    <n v="10"/>
  </r>
  <r>
    <x v="17"/>
    <n v="8"/>
    <n v="8"/>
    <n v="16"/>
    <n v="0"/>
    <n v="16"/>
  </r>
  <r>
    <x v="18"/>
    <n v="8"/>
    <n v="8"/>
    <n v="16"/>
    <n v="1.5"/>
    <n v="14.5"/>
  </r>
  <r>
    <x v="19"/>
    <n v="8"/>
    <n v="0"/>
    <n v="8"/>
    <n v="3"/>
    <n v="5"/>
  </r>
  <r>
    <x v="20"/>
    <n v="8"/>
    <n v="0"/>
    <n v="8"/>
    <n v="1.25"/>
    <n v="6.75"/>
  </r>
  <r>
    <x v="21"/>
    <n v="8"/>
    <n v="0"/>
    <n v="8"/>
    <n v="0"/>
    <n v="8"/>
  </r>
  <r>
    <x v="22"/>
    <n v="8"/>
    <n v="0"/>
    <n v="8"/>
    <n v="1"/>
    <n v="7"/>
  </r>
  <r>
    <x v="23"/>
    <n v="8"/>
    <n v="0"/>
    <n v="8"/>
    <n v="0"/>
    <n v="8"/>
  </r>
  <r>
    <x v="24"/>
    <n v="8"/>
    <n v="0"/>
    <n v="8"/>
    <n v="0"/>
    <n v="8"/>
  </r>
  <r>
    <x v="25"/>
    <n v="8"/>
    <n v="0"/>
    <n v="8"/>
    <n v="0"/>
    <n v="8"/>
  </r>
  <r>
    <x v="26"/>
    <n v="8"/>
    <n v="0"/>
    <n v="8"/>
    <n v="4"/>
    <n v="4"/>
  </r>
  <r>
    <x v="27"/>
    <n v="8"/>
    <n v="0"/>
    <n v="8"/>
    <n v="3"/>
    <n v="5"/>
  </r>
  <r>
    <x v="28"/>
    <n v="8"/>
    <n v="0"/>
    <n v="8"/>
    <n v="0"/>
    <n v="8"/>
  </r>
  <r>
    <x v="29"/>
    <n v="8"/>
    <n v="0"/>
    <n v="8"/>
    <n v="0"/>
    <n v="8"/>
  </r>
  <r>
    <x v="30"/>
    <n v="8"/>
    <n v="0"/>
    <n v="8"/>
    <n v="1"/>
    <n v="7"/>
  </r>
  <r>
    <x v="31"/>
    <n v="8"/>
    <n v="0"/>
    <n v="8"/>
    <n v="0"/>
    <n v="8"/>
  </r>
  <r>
    <x v="32"/>
    <n v="8"/>
    <n v="0"/>
    <n v="8"/>
    <n v="0.25"/>
    <n v="7.75"/>
  </r>
  <r>
    <x v="33"/>
    <n v="0"/>
    <n v="0"/>
    <n v="0"/>
    <n v="0"/>
    <n v="0"/>
  </r>
  <r>
    <x v="34"/>
    <n v="0"/>
    <n v="0"/>
    <n v="0"/>
    <n v="0"/>
    <n v="0"/>
  </r>
  <r>
    <x v="35"/>
    <n v="0"/>
    <n v="0"/>
    <n v="0"/>
    <n v="0"/>
    <n v="0"/>
  </r>
  <r>
    <x v="36"/>
    <n v="0"/>
    <n v="0"/>
    <n v="0"/>
    <n v="0"/>
    <n v="0"/>
  </r>
  <r>
    <x v="37"/>
    <n v="0"/>
    <n v="0"/>
    <n v="0"/>
    <n v="0"/>
    <n v="0"/>
  </r>
  <r>
    <x v="38"/>
    <n v="0"/>
    <n v="0"/>
    <n v="0"/>
    <n v="0"/>
    <n v="0"/>
  </r>
  <r>
    <x v="39"/>
    <n v="0"/>
    <n v="0"/>
    <n v="0"/>
    <n v="0"/>
    <n v="0"/>
  </r>
  <r>
    <x v="40"/>
    <n v="0"/>
    <n v="0"/>
    <n v="0"/>
    <n v="0"/>
    <n v="0"/>
  </r>
  <r>
    <x v="41"/>
    <n v="0"/>
    <n v="0"/>
    <n v="0"/>
    <n v="0"/>
    <n v="0"/>
  </r>
  <r>
    <x v="42"/>
    <n v="0"/>
    <n v="0"/>
    <n v="0"/>
    <n v="0"/>
    <n v="0"/>
  </r>
  <r>
    <x v="43"/>
    <n v="0"/>
    <n v="0"/>
    <n v="0"/>
    <n v="0"/>
    <n v="0"/>
  </r>
  <r>
    <x v="44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C13409E-2EF3-4B35-98EE-1D0AA0A368B6}" name="Draaitabel5" cacheId="230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Q5:U58" firstHeaderRow="1" firstDataRow="2" firstDataCol="2"/>
  <pivotFields count="7">
    <pivotField axis="axisRow" compact="0" numFmtId="164" outline="0" subtotalTop="0" showAll="0" insertBlankRow="1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2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2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6"/>
    <field x="0"/>
  </rowFields>
  <rowItems count="52">
    <i>
      <x v="6"/>
      <x v="153"/>
    </i>
    <i r="1">
      <x v="154"/>
    </i>
    <i r="1">
      <x v="155"/>
    </i>
    <i r="1">
      <x v="159"/>
    </i>
    <i r="1">
      <x v="160"/>
    </i>
    <i r="1">
      <x v="161"/>
    </i>
    <i r="1">
      <x v="162"/>
    </i>
    <i r="1">
      <x v="165"/>
    </i>
    <i r="1">
      <x v="166"/>
    </i>
    <i r="1">
      <x v="167"/>
    </i>
    <i r="1">
      <x v="168"/>
    </i>
    <i r="1">
      <x v="169"/>
    </i>
    <i r="1">
      <x v="172"/>
    </i>
    <i r="1">
      <x v="173"/>
    </i>
    <i r="1">
      <x v="174"/>
    </i>
    <i r="1">
      <x v="175"/>
    </i>
    <i r="1">
      <x v="176"/>
    </i>
    <i r="1">
      <x v="179"/>
    </i>
    <i r="1">
      <x v="180"/>
    </i>
    <i r="1">
      <x v="181"/>
    </i>
    <i r="1">
      <x v="182"/>
    </i>
    <i t="default">
      <x v="6"/>
    </i>
    <i t="blank">
      <x v="6"/>
    </i>
    <i>
      <x v="7"/>
      <x v="183"/>
    </i>
    <i r="1">
      <x v="186"/>
    </i>
    <i r="1">
      <x v="187"/>
    </i>
    <i r="1">
      <x v="188"/>
    </i>
    <i r="1">
      <x v="189"/>
    </i>
    <i r="1">
      <x v="190"/>
    </i>
    <i r="1">
      <x v="193"/>
    </i>
    <i r="1">
      <x v="194"/>
    </i>
    <i r="1">
      <x v="195"/>
    </i>
    <i r="1">
      <x v="197"/>
    </i>
    <i r="1">
      <x v="200"/>
    </i>
    <i r="1">
      <x v="201"/>
    </i>
    <i r="1">
      <x v="202"/>
    </i>
    <i r="1">
      <x v="203"/>
    </i>
    <i r="1">
      <x v="204"/>
    </i>
    <i t="default">
      <x v="7"/>
    </i>
    <i t="blank">
      <x v="7"/>
    </i>
    <i>
      <x v="8"/>
      <x v="214"/>
    </i>
    <i r="1">
      <x v="215"/>
    </i>
    <i r="1">
      <x v="216"/>
    </i>
    <i r="1">
      <x v="217"/>
    </i>
    <i r="1">
      <x v="218"/>
    </i>
    <i r="1">
      <x v="221"/>
    </i>
    <i r="1">
      <x v="222"/>
    </i>
    <i r="1">
      <x v="223"/>
    </i>
    <i r="1">
      <x v="224"/>
    </i>
    <i t="default">
      <x v="8"/>
    </i>
    <i t="blank"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Heures" fld="3" baseField="0" baseItem="0"/>
    <dataField name="Time In_" fld="4" baseField="0" baseItem="0"/>
    <dataField name="Time Out_" fld="5" baseField="0" baseItem="0"/>
  </dataFields>
  <formats count="3">
    <format dxfId="18">
      <pivotArea dataOnly="0" outline="0" fieldPosition="0">
        <references count="1">
          <reference field="6" count="0" defaultSubtotal="1"/>
        </references>
      </pivotArea>
    </format>
    <format dxfId="17">
      <pivotArea dataOnly="0" labelOnly="1" grandRow="1" outline="0" offset="A256" fieldPosition="0"/>
    </format>
    <format dxfId="16">
      <pivotArea dataOnly="0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BDD" displayName="t_BDD" ref="B5:D45" totalsRowShown="0" headerRowDxfId="15" headerRowCellStyle="Normal_Hoja1">
  <autoFilter ref="B5:D45" xr:uid="{00000000-0009-0000-0100-000003000000}"/>
  <sortState xmlns:xlrd2="http://schemas.microsoft.com/office/spreadsheetml/2017/richdata2" ref="B6:D45">
    <sortCondition ref="B5:B45"/>
  </sortState>
  <tableColumns count="3">
    <tableColumn id="1" xr3:uid="{00000000-0010-0000-0000-000001000000}" name="Date" dataDxfId="14" dataCellStyle="Normal_Hoja1"/>
    <tableColumn id="2" xr3:uid="{00000000-0010-0000-0000-000002000000}" name="OP" dataDxfId="13" dataCellStyle="Normal_Hoja1"/>
    <tableColumn id="3" xr3:uid="{00000000-0010-0000-0000-000003000000}" name="Time" dataDxfId="12" dataCellStyle="Normal_Hoja1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35D15A-7D46-4FF1-B513-4BD819B4B750}" name="t_MarchaArretOP" displayName="t_MarchaArretOP" ref="F5:H7" totalsRowShown="0">
  <autoFilter ref="F5:H7" xr:uid="{2335D15A-7D46-4FF1-B513-4BD819B4B750}"/>
  <tableColumns count="3">
    <tableColumn id="1" xr3:uid="{143584B6-FF63-43B4-8B98-6CB1180C66C7}" name="OP" dataDxfId="7"/>
    <tableColumn id="2" xr3:uid="{30DE2455-6BB8-49F5-86BA-E393C0313A4E}" name="Date arrêt"/>
    <tableColumn id="3" xr3:uid="{608BB576-64AD-4C4E-A032-ABE1A998E5E2}" name="date fin arret" dataDxfId="8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4BA5203-1380-4498-8E4A-09A5D5BB6445}" name="Tabel4" displayName="Tabel4" ref="J5:O55" totalsRowShown="0">
  <tableColumns count="6">
    <tableColumn id="1" xr3:uid="{835292DC-ABA6-496C-8EA6-2BCF617A2470}" name="date" dataDxfId="3">
      <calculatedColumnFormula>WORKDAY.INTL(J5,1,,Jours_Feries)</calculatedColumnFormula>
    </tableColumn>
    <tableColumn id="2" xr3:uid="{EED5D705-70F2-4EE5-9F28-E6722906C3E6}" name="33445" dataDxfId="4">
      <calculatedColumnFormula array="1">IF(SUMPRODUCT((t_MarchaArretOP[OP]=--Tabel4[[#Headers],[33445]])
*(t_MarchaArretOP[Date arrêt]&lt;=$J6)
*(($J6&lt;=t_MarchaArretOP[date fin arret])+(t_MarchaArretOP[date fin arret]=0)))+($J6&gt;$K$4),0,8)</calculatedColumnFormula>
    </tableColumn>
    <tableColumn id="3" xr3:uid="{85395C82-C642-480A-BD99-BF2FAF12F764}" name="33450" dataDxfId="5">
      <calculatedColumnFormula array="1">IF(SUMPRODUCT((t_MarchaArretOP[OP]=--Tabel4[[#Headers],[33450]])
*(t_MarchaArretOP[Date arrêt]&lt;=$J6)
*(($J6&lt;=t_MarchaArretOP[date fin arret])+(t_MarchaArretOP[date fin arret]=0)))+($J6&gt;$L$4),0,8)</calculatedColumnFormula>
    </tableColumn>
    <tableColumn id="4" xr3:uid="{2B7A126A-8DBD-4D9A-B34B-B85376D017E7}" name="total" dataDxfId="11">
      <calculatedColumnFormula>+Tabel4[[#This Row],[33450]]+Tabel4[[#This Row],[33445]]</calculatedColumnFormula>
    </tableColumn>
    <tableColumn id="6" xr3:uid="{4BE984FD-4C75-455F-9A7B-BE2395076C99}" name="Time In" dataDxfId="10">
      <calculatedColumnFormula>SUMIFS(t_BDD[Time],t_BDD[Date],Tabel4[[#This Row],[date]])</calculatedColumnFormula>
    </tableColumn>
    <tableColumn id="7" xr3:uid="{EF2B2A53-3EA9-4167-B4C3-5C66C06F70F1}" name="Time Out" dataDxfId="9">
      <calculatedColumnFormula>+Tabel4[[#This Row],[total]]-Tabel4[[#This Row],[Time In]]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1F9E95-17C7-4185-884F-20E07E563FC7}">
  <sheetPr codeName="Feuil2"/>
  <dimension ref="A1:J23"/>
  <sheetViews>
    <sheetView workbookViewId="0">
      <selection activeCell="D28" sqref="D28"/>
    </sheetView>
  </sheetViews>
  <sheetFormatPr defaultColWidth="11.42578125" defaultRowHeight="15" x14ac:dyDescent="0.25"/>
  <cols>
    <col min="1" max="1" width="12" style="26" bestFit="1" customWidth="1"/>
    <col min="2" max="10" width="11.85546875" style="26" bestFit="1" customWidth="1"/>
    <col min="11" max="16384" width="11.42578125" style="26"/>
  </cols>
  <sheetData>
    <row r="1" spans="1:10" ht="15.75" thickTop="1" x14ac:dyDescent="0.25">
      <c r="A1" s="33" t="s">
        <v>60</v>
      </c>
      <c r="B1" s="34">
        <v>2022</v>
      </c>
      <c r="C1" s="34">
        <f>+B1+1</f>
        <v>2023</v>
      </c>
      <c r="D1" s="34">
        <f t="shared" ref="D1:I1" si="0">+C1+1</f>
        <v>2024</v>
      </c>
      <c r="E1" s="34">
        <f t="shared" si="0"/>
        <v>2025</v>
      </c>
      <c r="F1" s="34">
        <f t="shared" si="0"/>
        <v>2026</v>
      </c>
      <c r="G1" s="34">
        <f t="shared" si="0"/>
        <v>2027</v>
      </c>
      <c r="H1" s="34">
        <f t="shared" si="0"/>
        <v>2028</v>
      </c>
      <c r="I1" s="34">
        <f t="shared" si="0"/>
        <v>2029</v>
      </c>
      <c r="J1" s="35">
        <f t="shared" ref="J1" si="1">+I1+1</f>
        <v>2030</v>
      </c>
    </row>
    <row r="2" spans="1:10" x14ac:dyDescent="0.25">
      <c r="A2" s="31" t="s">
        <v>61</v>
      </c>
      <c r="B2" s="27">
        <f>DATE(B$1,1,1)</f>
        <v>44562</v>
      </c>
      <c r="C2" s="27">
        <f t="shared" ref="C2:J2" si="2">DATE(C$1,1,1)</f>
        <v>44927</v>
      </c>
      <c r="D2" s="27">
        <f t="shared" si="2"/>
        <v>45292</v>
      </c>
      <c r="E2" s="27">
        <f t="shared" si="2"/>
        <v>45658</v>
      </c>
      <c r="F2" s="27">
        <f t="shared" si="2"/>
        <v>46023</v>
      </c>
      <c r="G2" s="27">
        <f t="shared" si="2"/>
        <v>46388</v>
      </c>
      <c r="H2" s="27">
        <f t="shared" si="2"/>
        <v>46753</v>
      </c>
      <c r="I2" s="27">
        <f t="shared" si="2"/>
        <v>47119</v>
      </c>
      <c r="J2" s="28">
        <f t="shared" si="2"/>
        <v>47484</v>
      </c>
    </row>
    <row r="3" spans="1:10" x14ac:dyDescent="0.25">
      <c r="A3" s="31" t="s">
        <v>62</v>
      </c>
      <c r="B3" s="27">
        <f>IF(MOD(19*MOD(B$1,19)+24,30)+MOD(2*MOD(B$1,4)+4*MOD(B$1,7)+6*
MOD(19*MOD(B$1,19)+24,30)+5,7)-9&lt;=0,DATE(B$1,3,22+MOD(19*MOD(B$1,
19)+24,30)+MOD(2*MOD(B$1,4)+4*MOD(B$1,7)+6*MOD(19*MOD(B$1,19)+24,
30)+5,7)),DATE(B$1,4,MOD(19*MOD(B$1,19)+24,30)+MOD(2*MOD(B$1,4)+4*
MOD(B$1,7)+6*MOD(19*MOD(B$1,19)+24,30)+5,7)-9))</f>
        <v>44668</v>
      </c>
      <c r="C3" s="27">
        <f t="shared" ref="C3:J3" si="3">IF(MOD(19*MOD(C$1,19)+24,30)+MOD(2*MOD(C$1,4)+4*MOD(C$1,7)+6*
MOD(19*MOD(C$1,19)+24,30)+5,7)-9&lt;=0,DATE(C$1,3,22+MOD(19*MOD(C$1,
19)+24,30)+MOD(2*MOD(C$1,4)+4*MOD(C$1,7)+6*MOD(19*MOD(C$1,19)+24,
30)+5,7)),DATE(C$1,4,MOD(19*MOD(C$1,19)+24,30)+MOD(2*MOD(C$1,4)+4*
MOD(C$1,7)+6*MOD(19*MOD(C$1,19)+24,30)+5,7)-9))</f>
        <v>45025</v>
      </c>
      <c r="D3" s="27">
        <f t="shared" si="3"/>
        <v>45382</v>
      </c>
      <c r="E3" s="27">
        <f t="shared" si="3"/>
        <v>45767</v>
      </c>
      <c r="F3" s="27">
        <f t="shared" si="3"/>
        <v>46117</v>
      </c>
      <c r="G3" s="27">
        <f t="shared" si="3"/>
        <v>46474</v>
      </c>
      <c r="H3" s="27">
        <f t="shared" si="3"/>
        <v>46859</v>
      </c>
      <c r="I3" s="27">
        <f t="shared" si="3"/>
        <v>47209</v>
      </c>
      <c r="J3" s="28">
        <f t="shared" si="3"/>
        <v>47594</v>
      </c>
    </row>
    <row r="4" spans="1:10" x14ac:dyDescent="0.25">
      <c r="A4" s="31" t="s">
        <v>63</v>
      </c>
      <c r="B4" s="27">
        <f>B$3+1</f>
        <v>44669</v>
      </c>
      <c r="C4" s="27">
        <f t="shared" ref="C4:J4" si="4">C$3+1</f>
        <v>45026</v>
      </c>
      <c r="D4" s="27">
        <f t="shared" si="4"/>
        <v>45383</v>
      </c>
      <c r="E4" s="27">
        <f t="shared" si="4"/>
        <v>45768</v>
      </c>
      <c r="F4" s="27">
        <f t="shared" si="4"/>
        <v>46118</v>
      </c>
      <c r="G4" s="27">
        <f t="shared" si="4"/>
        <v>46475</v>
      </c>
      <c r="H4" s="27">
        <f t="shared" si="4"/>
        <v>46860</v>
      </c>
      <c r="I4" s="27">
        <f t="shared" si="4"/>
        <v>47210</v>
      </c>
      <c r="J4" s="28">
        <f t="shared" si="4"/>
        <v>47595</v>
      </c>
    </row>
    <row r="5" spans="1:10" x14ac:dyDescent="0.25">
      <c r="A5" s="31" t="s">
        <v>64</v>
      </c>
      <c r="B5" s="27">
        <f>DATE(B$1,5,1)</f>
        <v>44682</v>
      </c>
      <c r="C5" s="27">
        <f t="shared" ref="C5:J5" si="5">DATE(C$1,5,1)</f>
        <v>45047</v>
      </c>
      <c r="D5" s="27">
        <f t="shared" si="5"/>
        <v>45413</v>
      </c>
      <c r="E5" s="27">
        <f t="shared" si="5"/>
        <v>45778</v>
      </c>
      <c r="F5" s="27">
        <f t="shared" si="5"/>
        <v>46143</v>
      </c>
      <c r="G5" s="27">
        <f t="shared" si="5"/>
        <v>46508</v>
      </c>
      <c r="H5" s="27">
        <f t="shared" si="5"/>
        <v>46874</v>
      </c>
      <c r="I5" s="27">
        <f t="shared" si="5"/>
        <v>47239</v>
      </c>
      <c r="J5" s="28">
        <f t="shared" si="5"/>
        <v>47604</v>
      </c>
    </row>
    <row r="6" spans="1:10" x14ac:dyDescent="0.25">
      <c r="A6" s="31" t="s">
        <v>65</v>
      </c>
      <c r="B6" s="27">
        <f>DATE(B$1,5,8)</f>
        <v>44689</v>
      </c>
      <c r="C6" s="27">
        <f t="shared" ref="C6:J6" si="6">DATE(C$1,5,8)</f>
        <v>45054</v>
      </c>
      <c r="D6" s="27">
        <f t="shared" si="6"/>
        <v>45420</v>
      </c>
      <c r="E6" s="27">
        <f t="shared" si="6"/>
        <v>45785</v>
      </c>
      <c r="F6" s="27">
        <f t="shared" si="6"/>
        <v>46150</v>
      </c>
      <c r="G6" s="27">
        <f t="shared" si="6"/>
        <v>46515</v>
      </c>
      <c r="H6" s="27">
        <f t="shared" si="6"/>
        <v>46881</v>
      </c>
      <c r="I6" s="27">
        <f t="shared" si="6"/>
        <v>47246</v>
      </c>
      <c r="J6" s="28">
        <f t="shared" si="6"/>
        <v>47611</v>
      </c>
    </row>
    <row r="7" spans="1:10" x14ac:dyDescent="0.25">
      <c r="A7" s="31" t="s">
        <v>66</v>
      </c>
      <c r="B7" s="27">
        <f>B$3+39</f>
        <v>44707</v>
      </c>
      <c r="C7" s="27">
        <f t="shared" ref="C7:J7" si="7">C$3+39</f>
        <v>45064</v>
      </c>
      <c r="D7" s="27">
        <f t="shared" si="7"/>
        <v>45421</v>
      </c>
      <c r="E7" s="27">
        <f t="shared" si="7"/>
        <v>45806</v>
      </c>
      <c r="F7" s="27">
        <f t="shared" si="7"/>
        <v>46156</v>
      </c>
      <c r="G7" s="27">
        <f t="shared" si="7"/>
        <v>46513</v>
      </c>
      <c r="H7" s="27">
        <f t="shared" si="7"/>
        <v>46898</v>
      </c>
      <c r="I7" s="27">
        <f t="shared" si="7"/>
        <v>47248</v>
      </c>
      <c r="J7" s="28">
        <f t="shared" si="7"/>
        <v>47633</v>
      </c>
    </row>
    <row r="8" spans="1:10" x14ac:dyDescent="0.25">
      <c r="A8" s="31" t="s">
        <v>67</v>
      </c>
      <c r="B8" s="27">
        <f>B$3+49</f>
        <v>44717</v>
      </c>
      <c r="C8" s="27">
        <f t="shared" ref="C8:J8" si="8">C$3+49</f>
        <v>45074</v>
      </c>
      <c r="D8" s="27">
        <f t="shared" si="8"/>
        <v>45431</v>
      </c>
      <c r="E8" s="27">
        <f t="shared" si="8"/>
        <v>45816</v>
      </c>
      <c r="F8" s="27">
        <f t="shared" si="8"/>
        <v>46166</v>
      </c>
      <c r="G8" s="27">
        <f t="shared" si="8"/>
        <v>46523</v>
      </c>
      <c r="H8" s="27">
        <f t="shared" si="8"/>
        <v>46908</v>
      </c>
      <c r="I8" s="27">
        <f t="shared" si="8"/>
        <v>47258</v>
      </c>
      <c r="J8" s="28">
        <f t="shared" si="8"/>
        <v>47643</v>
      </c>
    </row>
    <row r="9" spans="1:10" x14ac:dyDescent="0.25">
      <c r="A9" s="31" t="s">
        <v>68</v>
      </c>
      <c r="B9" s="36">
        <f>B$3+50</f>
        <v>44718</v>
      </c>
      <c r="C9" s="27">
        <f t="shared" ref="C9:J9" si="9">C$3+50</f>
        <v>45075</v>
      </c>
      <c r="D9" s="27">
        <f t="shared" si="9"/>
        <v>45432</v>
      </c>
      <c r="E9" s="27">
        <f t="shared" si="9"/>
        <v>45817</v>
      </c>
      <c r="F9" s="27">
        <f t="shared" si="9"/>
        <v>46167</v>
      </c>
      <c r="G9" s="27">
        <f t="shared" si="9"/>
        <v>46524</v>
      </c>
      <c r="H9" s="27">
        <f t="shared" si="9"/>
        <v>46909</v>
      </c>
      <c r="I9" s="27">
        <f t="shared" si="9"/>
        <v>47259</v>
      </c>
      <c r="J9" s="28">
        <f t="shared" si="9"/>
        <v>47644</v>
      </c>
    </row>
    <row r="10" spans="1:10" x14ac:dyDescent="0.25">
      <c r="A10" s="31" t="s">
        <v>69</v>
      </c>
      <c r="B10" s="36">
        <f>DATE(B$1,7,14)</f>
        <v>44756</v>
      </c>
      <c r="C10" s="27">
        <f t="shared" ref="C10:J10" si="10">DATE(C$1,7,14)</f>
        <v>45121</v>
      </c>
      <c r="D10" s="27">
        <f t="shared" si="10"/>
        <v>45487</v>
      </c>
      <c r="E10" s="27">
        <f t="shared" si="10"/>
        <v>45852</v>
      </c>
      <c r="F10" s="27">
        <f t="shared" si="10"/>
        <v>46217</v>
      </c>
      <c r="G10" s="27">
        <f t="shared" si="10"/>
        <v>46582</v>
      </c>
      <c r="H10" s="27">
        <f t="shared" si="10"/>
        <v>46948</v>
      </c>
      <c r="I10" s="27">
        <f t="shared" si="10"/>
        <v>47313</v>
      </c>
      <c r="J10" s="28">
        <f t="shared" si="10"/>
        <v>47678</v>
      </c>
    </row>
    <row r="11" spans="1:10" x14ac:dyDescent="0.25">
      <c r="A11" s="31" t="s">
        <v>70</v>
      </c>
      <c r="B11" s="27">
        <f>DATE(B$1,8,15)</f>
        <v>44788</v>
      </c>
      <c r="C11" s="27">
        <f t="shared" ref="C11:J11" si="11">DATE(C$1,8,15)</f>
        <v>45153</v>
      </c>
      <c r="D11" s="27">
        <f t="shared" si="11"/>
        <v>45519</v>
      </c>
      <c r="E11" s="27">
        <f t="shared" si="11"/>
        <v>45884</v>
      </c>
      <c r="F11" s="27">
        <f t="shared" si="11"/>
        <v>46249</v>
      </c>
      <c r="G11" s="27">
        <f t="shared" si="11"/>
        <v>46614</v>
      </c>
      <c r="H11" s="27">
        <f t="shared" si="11"/>
        <v>46980</v>
      </c>
      <c r="I11" s="27">
        <f t="shared" si="11"/>
        <v>47345</v>
      </c>
      <c r="J11" s="28">
        <f t="shared" si="11"/>
        <v>47710</v>
      </c>
    </row>
    <row r="12" spans="1:10" x14ac:dyDescent="0.25">
      <c r="A12" s="31" t="s">
        <v>71</v>
      </c>
      <c r="B12" s="27">
        <f>DATE(B$1,11,1)</f>
        <v>44866</v>
      </c>
      <c r="C12" s="27">
        <f t="shared" ref="C12:J12" si="12">DATE(C$1,11,1)</f>
        <v>45231</v>
      </c>
      <c r="D12" s="27">
        <f t="shared" si="12"/>
        <v>45597</v>
      </c>
      <c r="E12" s="27">
        <f t="shared" si="12"/>
        <v>45962</v>
      </c>
      <c r="F12" s="27">
        <f t="shared" si="12"/>
        <v>46327</v>
      </c>
      <c r="G12" s="27">
        <f t="shared" si="12"/>
        <v>46692</v>
      </c>
      <c r="H12" s="27">
        <f t="shared" si="12"/>
        <v>47058</v>
      </c>
      <c r="I12" s="27">
        <f t="shared" si="12"/>
        <v>47423</v>
      </c>
      <c r="J12" s="28">
        <f t="shared" si="12"/>
        <v>47788</v>
      </c>
    </row>
    <row r="13" spans="1:10" x14ac:dyDescent="0.25">
      <c r="A13" s="31" t="s">
        <v>72</v>
      </c>
      <c r="B13" s="27">
        <f>DATE(B$1,11,11)</f>
        <v>44876</v>
      </c>
      <c r="C13" s="27">
        <f t="shared" ref="C13:J13" si="13">DATE(C$1,11,11)</f>
        <v>45241</v>
      </c>
      <c r="D13" s="27">
        <f t="shared" si="13"/>
        <v>45607</v>
      </c>
      <c r="E13" s="27">
        <f t="shared" si="13"/>
        <v>45972</v>
      </c>
      <c r="F13" s="27">
        <f t="shared" si="13"/>
        <v>46337</v>
      </c>
      <c r="G13" s="27">
        <f t="shared" si="13"/>
        <v>46702</v>
      </c>
      <c r="H13" s="27">
        <f t="shared" si="13"/>
        <v>47068</v>
      </c>
      <c r="I13" s="27">
        <f t="shared" si="13"/>
        <v>47433</v>
      </c>
      <c r="J13" s="28">
        <f t="shared" si="13"/>
        <v>47798</v>
      </c>
    </row>
    <row r="14" spans="1:10" x14ac:dyDescent="0.25">
      <c r="A14" s="31" t="s">
        <v>73</v>
      </c>
      <c r="B14" s="27">
        <f>B3-7</f>
        <v>44661</v>
      </c>
      <c r="C14" s="27">
        <f t="shared" ref="C14:I14" si="14">C3-7</f>
        <v>45018</v>
      </c>
      <c r="D14" s="27">
        <f t="shared" si="14"/>
        <v>45375</v>
      </c>
      <c r="E14" s="27">
        <f t="shared" si="14"/>
        <v>45760</v>
      </c>
      <c r="F14" s="27">
        <f t="shared" si="14"/>
        <v>46110</v>
      </c>
      <c r="G14" s="27">
        <f t="shared" si="14"/>
        <v>46467</v>
      </c>
      <c r="H14" s="27">
        <f t="shared" si="14"/>
        <v>46852</v>
      </c>
      <c r="I14" s="27">
        <f t="shared" si="14"/>
        <v>47202</v>
      </c>
      <c r="J14" s="28">
        <f t="shared" ref="J14" si="15">J3-7</f>
        <v>47587</v>
      </c>
    </row>
    <row r="15" spans="1:10" x14ac:dyDescent="0.25">
      <c r="A15" s="31" t="s">
        <v>74</v>
      </c>
      <c r="B15" s="27">
        <f>DATE(B$1,12,25)</f>
        <v>44920</v>
      </c>
      <c r="C15" s="27">
        <f t="shared" ref="C15:J15" si="16">DATE(C$1,12,25)</f>
        <v>45285</v>
      </c>
      <c r="D15" s="27">
        <f t="shared" si="16"/>
        <v>45651</v>
      </c>
      <c r="E15" s="27">
        <f t="shared" si="16"/>
        <v>46016</v>
      </c>
      <c r="F15" s="27">
        <f t="shared" si="16"/>
        <v>46381</v>
      </c>
      <c r="G15" s="27">
        <f t="shared" si="16"/>
        <v>46746</v>
      </c>
      <c r="H15" s="27">
        <f t="shared" si="16"/>
        <v>47112</v>
      </c>
      <c r="I15" s="27">
        <f t="shared" si="16"/>
        <v>47477</v>
      </c>
      <c r="J15" s="28">
        <f t="shared" si="16"/>
        <v>47842</v>
      </c>
    </row>
    <row r="16" spans="1:10" x14ac:dyDescent="0.25">
      <c r="A16" s="31" t="s">
        <v>75</v>
      </c>
      <c r="B16" s="36">
        <v>44767</v>
      </c>
      <c r="C16" s="27"/>
      <c r="D16" s="27"/>
      <c r="E16" s="27"/>
      <c r="F16" s="27"/>
      <c r="G16" s="27"/>
      <c r="H16" s="27"/>
      <c r="I16" s="27"/>
      <c r="J16" s="28"/>
    </row>
    <row r="17" spans="1:10" x14ac:dyDescent="0.25">
      <c r="A17" s="31" t="s">
        <v>76</v>
      </c>
      <c r="B17" s="36">
        <v>44768</v>
      </c>
      <c r="C17" s="27"/>
      <c r="D17" s="27"/>
      <c r="E17" s="27"/>
      <c r="F17" s="27"/>
      <c r="G17" s="27"/>
      <c r="H17" s="27"/>
      <c r="I17" s="27"/>
      <c r="J17" s="28"/>
    </row>
    <row r="18" spans="1:10" x14ac:dyDescent="0.25">
      <c r="A18" s="31" t="s">
        <v>77</v>
      </c>
      <c r="B18" s="36">
        <v>44769</v>
      </c>
      <c r="C18" s="27"/>
      <c r="D18" s="27"/>
      <c r="E18" s="27"/>
      <c r="F18" s="27"/>
      <c r="G18" s="27"/>
      <c r="H18" s="27"/>
      <c r="I18" s="27"/>
      <c r="J18" s="28"/>
    </row>
    <row r="19" spans="1:10" x14ac:dyDescent="0.25">
      <c r="A19" s="31" t="s">
        <v>78</v>
      </c>
      <c r="B19" s="36">
        <v>44770</v>
      </c>
      <c r="C19" s="27"/>
      <c r="D19" s="27"/>
      <c r="E19" s="27"/>
      <c r="F19" s="27"/>
      <c r="G19" s="27"/>
      <c r="H19" s="27"/>
      <c r="I19" s="27"/>
      <c r="J19" s="28"/>
    </row>
    <row r="20" spans="1:10" x14ac:dyDescent="0.25">
      <c r="A20" s="31" t="s">
        <v>79</v>
      </c>
      <c r="B20" s="36">
        <v>44771</v>
      </c>
      <c r="C20" s="27"/>
      <c r="D20" s="27"/>
      <c r="E20" s="27"/>
      <c r="F20" s="27"/>
      <c r="G20" s="27"/>
      <c r="H20" s="27"/>
      <c r="I20" s="27"/>
      <c r="J20" s="28"/>
    </row>
    <row r="21" spans="1:10" x14ac:dyDescent="0.25">
      <c r="A21" s="31" t="s">
        <v>80</v>
      </c>
      <c r="B21" s="27"/>
      <c r="C21" s="27"/>
      <c r="D21" s="27"/>
      <c r="E21" s="27"/>
      <c r="F21" s="27"/>
      <c r="G21" s="27"/>
      <c r="H21" s="27"/>
      <c r="I21" s="27"/>
      <c r="J21" s="28"/>
    </row>
    <row r="22" spans="1:10" ht="15.75" thickBot="1" x14ac:dyDescent="0.3">
      <c r="A22" s="32" t="s">
        <v>81</v>
      </c>
      <c r="B22" s="29"/>
      <c r="C22" s="29"/>
      <c r="D22" s="29"/>
      <c r="E22" s="29"/>
      <c r="F22" s="29"/>
      <c r="G22" s="29"/>
      <c r="H22" s="29"/>
      <c r="I22" s="29"/>
      <c r="J22" s="30"/>
    </row>
    <row r="23" spans="1:10" ht="15.75" thickTop="1" x14ac:dyDescent="0.25"/>
  </sheetData>
  <phoneticPr fontId="1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U58"/>
  <sheetViews>
    <sheetView showGridLines="0" tabSelected="1" workbookViewId="0">
      <selection activeCell="R2" sqref="R2"/>
    </sheetView>
  </sheetViews>
  <sheetFormatPr defaultColWidth="11.42578125" defaultRowHeight="15" x14ac:dyDescent="0.25"/>
  <cols>
    <col min="3" max="3" width="12" style="6" customWidth="1"/>
    <col min="4" max="5" width="11.28515625" customWidth="1"/>
    <col min="6" max="6" width="11.28515625" style="19" customWidth="1"/>
    <col min="7" max="8" width="11.28515625" customWidth="1"/>
    <col min="10" max="10" width="22.5703125" style="12" bestFit="1" customWidth="1"/>
    <col min="11" max="12" width="8.7109375" bestFit="1" customWidth="1"/>
    <col min="13" max="13" width="7.42578125" bestFit="1" customWidth="1"/>
    <col min="14" max="14" width="9.85546875" style="11" bestFit="1" customWidth="1"/>
    <col min="15" max="15" width="11.42578125" style="11"/>
    <col min="16" max="16" width="13.42578125" bestFit="1" customWidth="1"/>
    <col min="17" max="17" width="12.7109375" bestFit="1" customWidth="1"/>
    <col min="18" max="18" width="7.28515625" bestFit="1" customWidth="1"/>
    <col min="19" max="19" width="9.140625" bestFit="1" customWidth="1"/>
    <col min="20" max="20" width="8.5703125" bestFit="1" customWidth="1"/>
    <col min="21" max="21" width="10.140625" bestFit="1" customWidth="1"/>
    <col min="22" max="46" width="13.42578125" bestFit="1" customWidth="1"/>
    <col min="47" max="47" width="17.5703125" bestFit="1" customWidth="1"/>
    <col min="48" max="48" width="19.42578125" bestFit="1" customWidth="1"/>
    <col min="49" max="93" width="12.5703125" bestFit="1" customWidth="1"/>
    <col min="95" max="95" width="13.140625" bestFit="1" customWidth="1"/>
    <col min="96" max="96" width="17.5703125" bestFit="1" customWidth="1"/>
  </cols>
  <sheetData>
    <row r="1" spans="2:21" ht="23.25" x14ac:dyDescent="0.35">
      <c r="B1" s="14" t="s">
        <v>5</v>
      </c>
      <c r="C1" s="14"/>
      <c r="D1" s="14"/>
      <c r="E1" s="9"/>
      <c r="F1" s="17" t="s">
        <v>7</v>
      </c>
      <c r="G1" s="9"/>
      <c r="H1" s="9"/>
      <c r="J1" s="13" t="s">
        <v>17</v>
      </c>
      <c r="Q1" s="10" t="s">
        <v>54</v>
      </c>
    </row>
    <row r="2" spans="2:21" ht="15" customHeight="1" x14ac:dyDescent="0.35">
      <c r="B2" s="14"/>
      <c r="C2" s="14"/>
      <c r="D2" s="14"/>
      <c r="E2" s="9"/>
      <c r="F2" s="18"/>
      <c r="G2" s="9"/>
      <c r="H2" s="9"/>
      <c r="J2" s="13" t="s">
        <v>18</v>
      </c>
      <c r="Q2" t="s">
        <v>96</v>
      </c>
    </row>
    <row r="3" spans="2:21" ht="15" customHeight="1" x14ac:dyDescent="0.35">
      <c r="B3" s="9"/>
      <c r="C3" s="9"/>
      <c r="D3" s="9"/>
      <c r="E3" s="9"/>
      <c r="F3" s="18"/>
      <c r="G3" s="9"/>
      <c r="H3" s="9"/>
      <c r="J3" s="13"/>
    </row>
    <row r="4" spans="2:21" ht="15" customHeight="1" x14ac:dyDescent="0.25">
      <c r="B4" s="9"/>
      <c r="C4" s="9"/>
      <c r="D4" s="9"/>
      <c r="E4" s="9"/>
      <c r="F4" s="18"/>
      <c r="G4" s="9"/>
      <c r="H4" s="9"/>
      <c r="J4" s="21" t="s">
        <v>59</v>
      </c>
      <c r="K4" s="22" cm="1">
        <f t="array" ref="K4">_xlfn.AGGREGATE(14,6,t_BDD[[Date]:[Date]]/(t_BDD[[OP]:[OP]]=Tabel4[[#Headers],[33445]]),1)</f>
        <v>44761</v>
      </c>
      <c r="L4" s="22" cm="1">
        <f t="array" ref="L4">_xlfn.AGGREGATE(14,6,t_BDD[[Date]:[Date]]/(t_BDD[[OP]:[OP]]=Tabel4[[#Headers],[33450]]),1)</f>
        <v>44740</v>
      </c>
    </row>
    <row r="5" spans="2:21" x14ac:dyDescent="0.25">
      <c r="B5" s="2" t="s">
        <v>2</v>
      </c>
      <c r="C5" s="2" t="s">
        <v>0</v>
      </c>
      <c r="D5" s="2" t="s">
        <v>1</v>
      </c>
      <c r="E5" s="2"/>
      <c r="F5" s="19" t="s">
        <v>0</v>
      </c>
      <c r="G5" s="6" t="s">
        <v>6</v>
      </c>
      <c r="H5" s="6" t="s">
        <v>58</v>
      </c>
      <c r="J5" s="12" t="s">
        <v>14</v>
      </c>
      <c r="K5" t="s">
        <v>3</v>
      </c>
      <c r="L5" t="s">
        <v>4</v>
      </c>
      <c r="M5" t="s">
        <v>19</v>
      </c>
      <c r="N5" s="11" t="s">
        <v>15</v>
      </c>
      <c r="O5" s="11" t="s">
        <v>16</v>
      </c>
      <c r="S5" s="7" t="s">
        <v>9</v>
      </c>
    </row>
    <row r="6" spans="2:21" x14ac:dyDescent="0.25">
      <c r="B6" s="3">
        <v>44713</v>
      </c>
      <c r="C6" s="5" t="s">
        <v>3</v>
      </c>
      <c r="D6" s="4">
        <v>1</v>
      </c>
      <c r="E6" s="4"/>
      <c r="F6" s="19">
        <v>33445</v>
      </c>
      <c r="G6" s="16">
        <v>44718</v>
      </c>
      <c r="H6" s="15">
        <v>44718</v>
      </c>
      <c r="J6" s="23">
        <v>44713</v>
      </c>
      <c r="K6" cm="1">
        <f t="array" ref="K6">IF(SUMPRODUCT((t_MarchaArretOP[OP]=--Tabel4[[#Headers],[33445]])
*(t_MarchaArretOP[Date arrêt]&lt;=$J6)
*(($J6&lt;=t_MarchaArretOP[date fin arret])+(t_MarchaArretOP[date fin arret]=0)))+($J6&gt;$K$4),0,8)</f>
        <v>8</v>
      </c>
      <c r="L6" cm="1">
        <f t="array" ref="L6">IF(SUMPRODUCT((t_MarchaArretOP[OP]=--Tabel4[[#Headers],[33450]])
*(t_MarchaArretOP[Date arrêt]&lt;=$J6)
*(($J6&lt;=t_MarchaArretOP[date fin arret])+(t_MarchaArretOP[date fin arret]=0)))+($J6&gt;$L$4),0,8)</f>
        <v>8</v>
      </c>
      <c r="M6">
        <f>+Tabel4[[#This Row],[33450]]+Tabel4[[#This Row],[33445]]</f>
        <v>16</v>
      </c>
      <c r="N6" s="11">
        <f>SUMIFS(t_BDD[Time],t_BDD[Date],Tabel4[[#This Row],[date]])</f>
        <v>1</v>
      </c>
      <c r="O6" s="11">
        <f>+Tabel4[[#This Row],[total]]-Tabel4[[#This Row],[Time In]]</f>
        <v>15</v>
      </c>
      <c r="Q6" s="7" t="s">
        <v>20</v>
      </c>
      <c r="R6" s="7" t="s">
        <v>14</v>
      </c>
      <c r="S6" t="s">
        <v>55</v>
      </c>
      <c r="T6" t="s">
        <v>56</v>
      </c>
      <c r="U6" t="s">
        <v>57</v>
      </c>
    </row>
    <row r="7" spans="2:21" x14ac:dyDescent="0.25">
      <c r="B7" s="3">
        <v>44714</v>
      </c>
      <c r="C7" s="5" t="s">
        <v>3</v>
      </c>
      <c r="D7" s="4">
        <v>0.5</v>
      </c>
      <c r="E7" s="4"/>
      <c r="F7" s="20">
        <v>33450</v>
      </c>
      <c r="G7" s="16">
        <v>44719</v>
      </c>
      <c r="H7" s="15">
        <v>44719</v>
      </c>
      <c r="J7" s="12">
        <f>WORKDAY.INTL(J6,1,,Jours_Feries)</f>
        <v>44714</v>
      </c>
      <c r="K7" cm="1">
        <f t="array" ref="K7">IF(SUMPRODUCT((t_MarchaArretOP[OP]=--Tabel4[[#Headers],[33445]])
*(t_MarchaArretOP[Date arrêt]&lt;=$J7)
*(($J7&lt;=t_MarchaArretOP[date fin arret])+(t_MarchaArretOP[date fin arret]=0)))+($J7&gt;$K$4),0,8)</f>
        <v>8</v>
      </c>
      <c r="L7" cm="1">
        <f t="array" ref="L7">IF(SUMPRODUCT((t_MarchaArretOP[OP]=--Tabel4[[#Headers],[33450]])
*(t_MarchaArretOP[Date arrêt]&lt;=$J7)
*(($J7&lt;=t_MarchaArretOP[date fin arret])+(t_MarchaArretOP[date fin arret]=0)))+($J7&gt;$L$4),0,8)</f>
        <v>8</v>
      </c>
      <c r="M7">
        <f>+Tabel4[[#This Row],[33450]]+Tabel4[[#This Row],[33445]]</f>
        <v>16</v>
      </c>
      <c r="N7" s="11">
        <f>SUMIFS(t_BDD[Time],t_BDD[Date],Tabel4[[#This Row],[date]])</f>
        <v>7</v>
      </c>
      <c r="O7" s="11">
        <f>+Tabel4[[#This Row],[total]]-Tabel4[[#This Row],[Time In]]</f>
        <v>9</v>
      </c>
      <c r="Q7" t="s">
        <v>10</v>
      </c>
      <c r="R7" s="12" t="s">
        <v>21</v>
      </c>
      <c r="S7" s="19">
        <v>16</v>
      </c>
      <c r="T7" s="19">
        <v>1</v>
      </c>
      <c r="U7" s="19">
        <v>15</v>
      </c>
    </row>
    <row r="8" spans="2:21" x14ac:dyDescent="0.25">
      <c r="B8" s="3">
        <v>44714</v>
      </c>
      <c r="C8" s="5" t="s">
        <v>3</v>
      </c>
      <c r="D8" s="4">
        <v>1</v>
      </c>
      <c r="E8" s="4"/>
      <c r="F8" s="20"/>
      <c r="G8" s="4"/>
      <c r="H8" s="4"/>
      <c r="J8" s="12">
        <f>WORKDAY.INTL(J7,1,,Jours_Feries)</f>
        <v>44715</v>
      </c>
      <c r="K8" cm="1">
        <f t="array" ref="K8">IF(SUMPRODUCT((t_MarchaArretOP[OP]=--Tabel4[[#Headers],[33445]])
*(t_MarchaArretOP[Date arrêt]&lt;=$J8)
*(($J8&lt;=t_MarchaArretOP[date fin arret])+(t_MarchaArretOP[date fin arret]=0)))+($J8&gt;$K$4),0,8)</f>
        <v>8</v>
      </c>
      <c r="L8" cm="1">
        <f t="array" ref="L8">IF(SUMPRODUCT((t_MarchaArretOP[OP]=--Tabel4[[#Headers],[33450]])
*(t_MarchaArretOP[Date arrêt]&lt;=$J8)
*(($J8&lt;=t_MarchaArretOP[date fin arret])+(t_MarchaArretOP[date fin arret]=0)))+($J8&gt;$L$4),0,8)</f>
        <v>8</v>
      </c>
      <c r="M8">
        <f>+Tabel4[[#This Row],[33450]]+Tabel4[[#This Row],[33445]]</f>
        <v>16</v>
      </c>
      <c r="N8" s="11">
        <f>SUMIFS(t_BDD[Time],t_BDD[Date],Tabel4[[#This Row],[date]])</f>
        <v>2.75</v>
      </c>
      <c r="O8" s="11">
        <f>+Tabel4[[#This Row],[total]]-Tabel4[[#This Row],[Time In]]</f>
        <v>13.25</v>
      </c>
      <c r="R8" s="12" t="s">
        <v>22</v>
      </c>
      <c r="S8" s="19">
        <v>16</v>
      </c>
      <c r="T8" s="19">
        <v>7</v>
      </c>
      <c r="U8" s="19">
        <v>9</v>
      </c>
    </row>
    <row r="9" spans="2:21" x14ac:dyDescent="0.25">
      <c r="B9" s="3">
        <v>44714</v>
      </c>
      <c r="C9" s="5" t="s">
        <v>3</v>
      </c>
      <c r="D9" s="4">
        <v>2</v>
      </c>
      <c r="E9" s="4"/>
      <c r="F9" s="20"/>
      <c r="G9" s="4"/>
      <c r="H9" s="4"/>
      <c r="J9" s="12">
        <f>WORKDAY.INTL(J8,1,,Jours_Feries)</f>
        <v>44719</v>
      </c>
      <c r="K9" cm="1">
        <f t="array" ref="K9">IF(SUMPRODUCT((t_MarchaArretOP[OP]=--Tabel4[[#Headers],[33445]])
*(t_MarchaArretOP[Date arrêt]&lt;=$J9)
*(($J9&lt;=t_MarchaArretOP[date fin arret])+(t_MarchaArretOP[date fin arret]=0)))+($J9&gt;$K$4),0,8)</f>
        <v>8</v>
      </c>
      <c r="L9" cm="1">
        <f t="array" ref="L9">IF(SUMPRODUCT((t_MarchaArretOP[OP]=--Tabel4[[#Headers],[33450]])
*(t_MarchaArretOP[Date arrêt]&lt;=$J9)
*(($J9&lt;=t_MarchaArretOP[date fin arret])+(t_MarchaArretOP[date fin arret]=0)))+($J9&gt;$L$4),0,8)</f>
        <v>0</v>
      </c>
      <c r="M9">
        <f>+Tabel4[[#This Row],[33450]]+Tabel4[[#This Row],[33445]]</f>
        <v>8</v>
      </c>
      <c r="N9" s="11">
        <f>SUMIFS(t_BDD[Time],t_BDD[Date],Tabel4[[#This Row],[date]])</f>
        <v>7.5</v>
      </c>
      <c r="O9" s="11">
        <f>+Tabel4[[#This Row],[total]]-Tabel4[[#This Row],[Time In]]</f>
        <v>0.5</v>
      </c>
      <c r="R9" s="12" t="s">
        <v>23</v>
      </c>
      <c r="S9" s="19">
        <v>16</v>
      </c>
      <c r="T9" s="19">
        <v>2.75</v>
      </c>
      <c r="U9" s="19">
        <v>13.25</v>
      </c>
    </row>
    <row r="10" spans="2:21" x14ac:dyDescent="0.25">
      <c r="B10" s="3">
        <v>44714</v>
      </c>
      <c r="C10" s="5" t="s">
        <v>3</v>
      </c>
      <c r="D10" s="4">
        <v>1</v>
      </c>
      <c r="E10" s="4"/>
      <c r="F10" s="20"/>
      <c r="G10" s="4"/>
      <c r="H10" s="4"/>
      <c r="J10" s="12">
        <f>WORKDAY.INTL(J9,1,,Jours_Feries)</f>
        <v>44720</v>
      </c>
      <c r="K10" cm="1">
        <f t="array" ref="K10">IF(SUMPRODUCT((t_MarchaArretOP[OP]=--Tabel4[[#Headers],[33445]])
*(t_MarchaArretOP[Date arrêt]&lt;=$J10)
*(($J10&lt;=t_MarchaArretOP[date fin arret])+(t_MarchaArretOP[date fin arret]=0)))+($J10&gt;$K$4),0,8)</f>
        <v>8</v>
      </c>
      <c r="L10" cm="1">
        <f t="array" ref="L10">IF(SUMPRODUCT((t_MarchaArretOP[OP]=--Tabel4[[#Headers],[33450]])
*(t_MarchaArretOP[Date arrêt]&lt;=$J10)
*(($J10&lt;=t_MarchaArretOP[date fin arret])+(t_MarchaArretOP[date fin arret]=0)))+($J10&gt;$L$4),0,8)</f>
        <v>8</v>
      </c>
      <c r="M10">
        <f>+Tabel4[[#This Row],[33450]]+Tabel4[[#This Row],[33445]]</f>
        <v>16</v>
      </c>
      <c r="N10" s="11">
        <f>SUMIFS(t_BDD[Time],t_BDD[Date],Tabel4[[#This Row],[date]])</f>
        <v>8</v>
      </c>
      <c r="O10" s="11">
        <f>+Tabel4[[#This Row],[total]]-Tabel4[[#This Row],[Time In]]</f>
        <v>8</v>
      </c>
      <c r="R10" s="12" t="s">
        <v>24</v>
      </c>
      <c r="S10" s="19">
        <v>8</v>
      </c>
      <c r="T10" s="19">
        <v>7.5</v>
      </c>
      <c r="U10" s="19">
        <v>0.5</v>
      </c>
    </row>
    <row r="11" spans="2:21" x14ac:dyDescent="0.25">
      <c r="B11" s="3">
        <v>44714</v>
      </c>
      <c r="C11" s="5" t="s">
        <v>4</v>
      </c>
      <c r="D11" s="4">
        <v>2</v>
      </c>
      <c r="E11" s="4"/>
      <c r="F11" s="20"/>
      <c r="G11" s="4"/>
      <c r="H11" s="4"/>
      <c r="J11" s="12">
        <f>WORKDAY.INTL(J10,1,,Jours_Feries)</f>
        <v>44721</v>
      </c>
      <c r="K11" cm="1">
        <f t="array" ref="K11">IF(SUMPRODUCT((t_MarchaArretOP[OP]=--Tabel4[[#Headers],[33445]])
*(t_MarchaArretOP[Date arrêt]&lt;=$J11)
*(($J11&lt;=t_MarchaArretOP[date fin arret])+(t_MarchaArretOP[date fin arret]=0)))+($J11&gt;$K$4),0,8)</f>
        <v>8</v>
      </c>
      <c r="L11" cm="1">
        <f t="array" ref="L11">IF(SUMPRODUCT((t_MarchaArretOP[OP]=--Tabel4[[#Headers],[33450]])
*(t_MarchaArretOP[Date arrêt]&lt;=$J11)
*(($J11&lt;=t_MarchaArretOP[date fin arret])+(t_MarchaArretOP[date fin arret]=0)))+($J11&gt;$L$4),0,8)</f>
        <v>8</v>
      </c>
      <c r="M11">
        <f>+Tabel4[[#This Row],[33450]]+Tabel4[[#This Row],[33445]]</f>
        <v>16</v>
      </c>
      <c r="N11" s="11">
        <f>SUMIFS(t_BDD[Time],t_BDD[Date],Tabel4[[#This Row],[date]])</f>
        <v>4</v>
      </c>
      <c r="O11" s="11">
        <f>+Tabel4[[#This Row],[total]]-Tabel4[[#This Row],[Time In]]</f>
        <v>12</v>
      </c>
      <c r="R11" s="12" t="s">
        <v>25</v>
      </c>
      <c r="S11" s="19">
        <v>16</v>
      </c>
      <c r="T11" s="19">
        <v>8</v>
      </c>
      <c r="U11" s="19">
        <v>8</v>
      </c>
    </row>
    <row r="12" spans="2:21" x14ac:dyDescent="0.25">
      <c r="B12" s="3">
        <v>44714</v>
      </c>
      <c r="C12" s="5" t="s">
        <v>4</v>
      </c>
      <c r="D12" s="4">
        <v>0.5</v>
      </c>
      <c r="E12" s="4"/>
      <c r="F12" s="20"/>
      <c r="G12" s="4"/>
      <c r="H12" s="4"/>
      <c r="J12" s="12">
        <f>WORKDAY.INTL(J11,1,,Jours_Feries)</f>
        <v>44722</v>
      </c>
      <c r="K12" cm="1">
        <f t="array" ref="K12">IF(SUMPRODUCT((t_MarchaArretOP[OP]=--Tabel4[[#Headers],[33445]])
*(t_MarchaArretOP[Date arrêt]&lt;=$J12)
*(($J12&lt;=t_MarchaArretOP[date fin arret])+(t_MarchaArretOP[date fin arret]=0)))+($J12&gt;$K$4),0,8)</f>
        <v>8</v>
      </c>
      <c r="L12" cm="1">
        <f t="array" ref="L12">IF(SUMPRODUCT((t_MarchaArretOP[OP]=--Tabel4[[#Headers],[33450]])
*(t_MarchaArretOP[Date arrêt]&lt;=$J12)
*(($J12&lt;=t_MarchaArretOP[date fin arret])+(t_MarchaArretOP[date fin arret]=0)))+($J12&gt;$L$4),0,8)</f>
        <v>8</v>
      </c>
      <c r="M12">
        <f>+Tabel4[[#This Row],[33450]]+Tabel4[[#This Row],[33445]]</f>
        <v>16</v>
      </c>
      <c r="N12" s="11">
        <f>SUMIFS(t_BDD[Time],t_BDD[Date],Tabel4[[#This Row],[date]])</f>
        <v>0</v>
      </c>
      <c r="O12" s="11">
        <f>+Tabel4[[#This Row],[total]]-Tabel4[[#This Row],[Time In]]</f>
        <v>16</v>
      </c>
      <c r="R12" s="12" t="s">
        <v>26</v>
      </c>
      <c r="S12" s="19">
        <v>16</v>
      </c>
      <c r="T12" s="19">
        <v>4</v>
      </c>
      <c r="U12" s="19">
        <v>12</v>
      </c>
    </row>
    <row r="13" spans="2:21" x14ac:dyDescent="0.25">
      <c r="B13" s="3">
        <v>44715</v>
      </c>
      <c r="C13" s="5" t="s">
        <v>3</v>
      </c>
      <c r="D13" s="4">
        <v>1</v>
      </c>
      <c r="E13" s="4"/>
      <c r="F13" s="20"/>
      <c r="G13" s="4"/>
      <c r="H13" s="4"/>
      <c r="J13" s="12">
        <f>WORKDAY.INTL(J12,1,,Jours_Feries)</f>
        <v>44725</v>
      </c>
      <c r="K13" cm="1">
        <f t="array" ref="K13">IF(SUMPRODUCT((t_MarchaArretOP[OP]=--Tabel4[[#Headers],[33445]])
*(t_MarchaArretOP[Date arrêt]&lt;=$J13)
*(($J13&lt;=t_MarchaArretOP[date fin arret])+(t_MarchaArretOP[date fin arret]=0)))+($J13&gt;$K$4),0,8)</f>
        <v>8</v>
      </c>
      <c r="L13" cm="1">
        <f t="array" ref="L13">IF(SUMPRODUCT((t_MarchaArretOP[OP]=--Tabel4[[#Headers],[33450]])
*(t_MarchaArretOP[Date arrêt]&lt;=$J13)
*(($J13&lt;=t_MarchaArretOP[date fin arret])+(t_MarchaArretOP[date fin arret]=0)))+($J13&gt;$L$4),0,8)</f>
        <v>8</v>
      </c>
      <c r="M13">
        <f>+Tabel4[[#This Row],[33450]]+Tabel4[[#This Row],[33445]]</f>
        <v>16</v>
      </c>
      <c r="N13" s="11">
        <f>SUMIFS(t_BDD[Time],t_BDD[Date],Tabel4[[#This Row],[date]])</f>
        <v>5.5</v>
      </c>
      <c r="O13" s="11">
        <f>+Tabel4[[#This Row],[total]]-Tabel4[[#This Row],[Time In]]</f>
        <v>10.5</v>
      </c>
      <c r="R13" s="12" t="s">
        <v>27</v>
      </c>
      <c r="S13" s="19">
        <v>16</v>
      </c>
      <c r="T13" s="19">
        <v>0</v>
      </c>
      <c r="U13" s="19">
        <v>16</v>
      </c>
    </row>
    <row r="14" spans="2:21" x14ac:dyDescent="0.25">
      <c r="B14" s="3">
        <v>44715</v>
      </c>
      <c r="C14" s="5" t="s">
        <v>3</v>
      </c>
      <c r="D14" s="4">
        <v>0.75</v>
      </c>
      <c r="E14" s="4"/>
      <c r="F14" s="20"/>
      <c r="G14" s="4"/>
      <c r="H14" s="4"/>
      <c r="J14" s="12">
        <f>WORKDAY.INTL(J13,1,,Jours_Feries)</f>
        <v>44726</v>
      </c>
      <c r="K14" cm="1">
        <f t="array" ref="K14">IF(SUMPRODUCT((t_MarchaArretOP[OP]=--Tabel4[[#Headers],[33445]])
*(t_MarchaArretOP[Date arrêt]&lt;=$J14)
*(($J14&lt;=t_MarchaArretOP[date fin arret])+(t_MarchaArretOP[date fin arret]=0)))+($J14&gt;$K$4),0,8)</f>
        <v>8</v>
      </c>
      <c r="L14" cm="1">
        <f t="array" ref="L14">IF(SUMPRODUCT((t_MarchaArretOP[OP]=--Tabel4[[#Headers],[33450]])
*(t_MarchaArretOP[Date arrêt]&lt;=$J14)
*(($J14&lt;=t_MarchaArretOP[date fin arret])+(t_MarchaArretOP[date fin arret]=0)))+($J14&gt;$L$4),0,8)</f>
        <v>8</v>
      </c>
      <c r="M14">
        <f>+Tabel4[[#This Row],[33450]]+Tabel4[[#This Row],[33445]]</f>
        <v>16</v>
      </c>
      <c r="N14" s="11">
        <f>SUMIFS(t_BDD[Time],t_BDD[Date],Tabel4[[#This Row],[date]])</f>
        <v>0</v>
      </c>
      <c r="O14" s="11">
        <f>+Tabel4[[#This Row],[total]]-Tabel4[[#This Row],[Time In]]</f>
        <v>16</v>
      </c>
      <c r="R14" s="12" t="s">
        <v>28</v>
      </c>
      <c r="S14" s="19">
        <v>16</v>
      </c>
      <c r="T14" s="19">
        <v>5.5</v>
      </c>
      <c r="U14" s="19">
        <v>10.5</v>
      </c>
    </row>
    <row r="15" spans="2:21" x14ac:dyDescent="0.25">
      <c r="B15" s="3">
        <v>44715</v>
      </c>
      <c r="C15" s="5" t="s">
        <v>3</v>
      </c>
      <c r="D15" s="4">
        <v>1</v>
      </c>
      <c r="E15" s="4"/>
      <c r="F15" s="20"/>
      <c r="G15" s="4"/>
      <c r="H15" s="4"/>
      <c r="J15" s="12">
        <f>WORKDAY.INTL(J14,1,,Jours_Feries)</f>
        <v>44727</v>
      </c>
      <c r="K15" cm="1">
        <f t="array" ref="K15">IF(SUMPRODUCT((t_MarchaArretOP[OP]=--Tabel4[[#Headers],[33445]])
*(t_MarchaArretOP[Date arrêt]&lt;=$J15)
*(($J15&lt;=t_MarchaArretOP[date fin arret])+(t_MarchaArretOP[date fin arret]=0)))+($J15&gt;$K$4),0,8)</f>
        <v>8</v>
      </c>
      <c r="L15" cm="1">
        <f t="array" ref="L15">IF(SUMPRODUCT((t_MarchaArretOP[OP]=--Tabel4[[#Headers],[33450]])
*(t_MarchaArretOP[Date arrêt]&lt;=$J15)
*(($J15&lt;=t_MarchaArretOP[date fin arret])+(t_MarchaArretOP[date fin arret]=0)))+($J15&gt;$L$4),0,8)</f>
        <v>8</v>
      </c>
      <c r="M15">
        <f>+Tabel4[[#This Row],[33450]]+Tabel4[[#This Row],[33445]]</f>
        <v>16</v>
      </c>
      <c r="N15" s="11">
        <f>SUMIFS(t_BDD[Time],t_BDD[Date],Tabel4[[#This Row],[date]])</f>
        <v>0</v>
      </c>
      <c r="O15" s="11">
        <f>+Tabel4[[#This Row],[total]]-Tabel4[[#This Row],[Time In]]</f>
        <v>16</v>
      </c>
      <c r="R15" s="12" t="s">
        <v>29</v>
      </c>
      <c r="S15" s="19">
        <v>16</v>
      </c>
      <c r="T15" s="19">
        <v>0</v>
      </c>
      <c r="U15" s="19">
        <v>16</v>
      </c>
    </row>
    <row r="16" spans="2:21" x14ac:dyDescent="0.25">
      <c r="B16" s="3">
        <v>44718</v>
      </c>
      <c r="C16" s="5" t="s">
        <v>3</v>
      </c>
      <c r="D16" s="4">
        <v>2</v>
      </c>
      <c r="E16" s="4"/>
      <c r="F16" s="20"/>
      <c r="G16" s="4"/>
      <c r="H16" s="4"/>
      <c r="J16" s="12">
        <f>WORKDAY.INTL(J15,1,,Jours_Feries)</f>
        <v>44728</v>
      </c>
      <c r="K16" cm="1">
        <f t="array" ref="K16">IF(SUMPRODUCT((t_MarchaArretOP[OP]=--Tabel4[[#Headers],[33445]])
*(t_MarchaArretOP[Date arrêt]&lt;=$J16)
*(($J16&lt;=t_MarchaArretOP[date fin arret])+(t_MarchaArretOP[date fin arret]=0)))+($J16&gt;$K$4),0,8)</f>
        <v>8</v>
      </c>
      <c r="L16" cm="1">
        <f t="array" ref="L16">IF(SUMPRODUCT((t_MarchaArretOP[OP]=--Tabel4[[#Headers],[33450]])
*(t_MarchaArretOP[Date arrêt]&lt;=$J16)
*(($J16&lt;=t_MarchaArretOP[date fin arret])+(t_MarchaArretOP[date fin arret]=0)))+($J16&gt;$L$4),0,8)</f>
        <v>8</v>
      </c>
      <c r="M16">
        <f>+Tabel4[[#This Row],[33450]]+Tabel4[[#This Row],[33445]]</f>
        <v>16</v>
      </c>
      <c r="N16" s="11">
        <f>SUMIFS(t_BDD[Time],t_BDD[Date],Tabel4[[#This Row],[date]])</f>
        <v>0</v>
      </c>
      <c r="O16" s="11">
        <f>+Tabel4[[#This Row],[total]]-Tabel4[[#This Row],[Time In]]</f>
        <v>16</v>
      </c>
      <c r="R16" s="12" t="s">
        <v>30</v>
      </c>
      <c r="S16" s="19">
        <v>16</v>
      </c>
      <c r="T16" s="19">
        <v>0</v>
      </c>
      <c r="U16" s="19">
        <v>16</v>
      </c>
    </row>
    <row r="17" spans="2:21" x14ac:dyDescent="0.25">
      <c r="B17" s="3">
        <v>44718</v>
      </c>
      <c r="C17" s="5" t="s">
        <v>3</v>
      </c>
      <c r="D17" s="4">
        <v>2</v>
      </c>
      <c r="E17" s="4"/>
      <c r="F17" s="20"/>
      <c r="G17" s="4"/>
      <c r="H17" s="4"/>
      <c r="J17" s="12">
        <f>WORKDAY.INTL(J16,1,,Jours_Feries)</f>
        <v>44729</v>
      </c>
      <c r="K17" cm="1">
        <f t="array" ref="K17">IF(SUMPRODUCT((t_MarchaArretOP[OP]=--Tabel4[[#Headers],[33445]])
*(t_MarchaArretOP[Date arrêt]&lt;=$J17)
*(($J17&lt;=t_MarchaArretOP[date fin arret])+(t_MarchaArretOP[date fin arret]=0)))+($J17&gt;$K$4),0,8)</f>
        <v>8</v>
      </c>
      <c r="L17" cm="1">
        <f t="array" ref="L17">IF(SUMPRODUCT((t_MarchaArretOP[OP]=--Tabel4[[#Headers],[33450]])
*(t_MarchaArretOP[Date arrêt]&lt;=$J17)
*(($J17&lt;=t_MarchaArretOP[date fin arret])+(t_MarchaArretOP[date fin arret]=0)))+($J17&gt;$L$4),0,8)</f>
        <v>8</v>
      </c>
      <c r="M17">
        <f>+Tabel4[[#This Row],[33450]]+Tabel4[[#This Row],[33445]]</f>
        <v>16</v>
      </c>
      <c r="N17" s="11">
        <f>SUMIFS(t_BDD[Time],t_BDD[Date],Tabel4[[#This Row],[date]])</f>
        <v>3</v>
      </c>
      <c r="O17" s="11">
        <f>+Tabel4[[#This Row],[total]]-Tabel4[[#This Row],[Time In]]</f>
        <v>13</v>
      </c>
      <c r="R17" s="12" t="s">
        <v>31</v>
      </c>
      <c r="S17" s="19">
        <v>16</v>
      </c>
      <c r="T17" s="19">
        <v>0</v>
      </c>
      <c r="U17" s="19">
        <v>16</v>
      </c>
    </row>
    <row r="18" spans="2:21" x14ac:dyDescent="0.25">
      <c r="B18" s="3">
        <v>44718</v>
      </c>
      <c r="C18" s="5" t="s">
        <v>3</v>
      </c>
      <c r="D18" s="4">
        <v>3</v>
      </c>
      <c r="E18" s="4"/>
      <c r="F18" s="20"/>
      <c r="G18" s="4"/>
      <c r="H18" s="4"/>
      <c r="J18" s="12">
        <f>WORKDAY.INTL(J17,1,,Jours_Feries)</f>
        <v>44732</v>
      </c>
      <c r="K18" cm="1">
        <f t="array" ref="K18">IF(SUMPRODUCT((t_MarchaArretOP[OP]=--Tabel4[[#Headers],[33445]])
*(t_MarchaArretOP[Date arrêt]&lt;=$J18)
*(($J18&lt;=t_MarchaArretOP[date fin arret])+(t_MarchaArretOP[date fin arret]=0)))+($J18&gt;$K$4),0,8)</f>
        <v>8</v>
      </c>
      <c r="L18" cm="1">
        <f t="array" ref="L18">IF(SUMPRODUCT((t_MarchaArretOP[OP]=--Tabel4[[#Headers],[33450]])
*(t_MarchaArretOP[Date arrêt]&lt;=$J18)
*(($J18&lt;=t_MarchaArretOP[date fin arret])+(t_MarchaArretOP[date fin arret]=0)))+($J18&gt;$L$4),0,8)</f>
        <v>8</v>
      </c>
      <c r="M18">
        <f>+Tabel4[[#This Row],[33450]]+Tabel4[[#This Row],[33445]]</f>
        <v>16</v>
      </c>
      <c r="N18" s="11">
        <f>SUMIFS(t_BDD[Time],t_BDD[Date],Tabel4[[#This Row],[date]])</f>
        <v>3</v>
      </c>
      <c r="O18" s="11">
        <f>+Tabel4[[#This Row],[total]]-Tabel4[[#This Row],[Time In]]</f>
        <v>13</v>
      </c>
      <c r="R18" s="12" t="s">
        <v>32</v>
      </c>
      <c r="S18" s="19">
        <v>16</v>
      </c>
      <c r="T18" s="19">
        <v>3</v>
      </c>
      <c r="U18" s="19">
        <v>13</v>
      </c>
    </row>
    <row r="19" spans="2:21" x14ac:dyDescent="0.25">
      <c r="B19" s="3">
        <v>44719</v>
      </c>
      <c r="C19" s="5" t="s">
        <v>3</v>
      </c>
      <c r="D19" s="4">
        <v>7.5</v>
      </c>
      <c r="E19" s="4"/>
      <c r="F19" s="20"/>
      <c r="G19" s="4"/>
      <c r="H19" s="4"/>
      <c r="J19" s="12">
        <f>WORKDAY.INTL(J18,1,,Jours_Feries)</f>
        <v>44733</v>
      </c>
      <c r="K19" cm="1">
        <f t="array" ref="K19">IF(SUMPRODUCT((t_MarchaArretOP[OP]=--Tabel4[[#Headers],[33445]])
*(t_MarchaArretOP[Date arrêt]&lt;=$J19)
*(($J19&lt;=t_MarchaArretOP[date fin arret])+(t_MarchaArretOP[date fin arret]=0)))+($J19&gt;$K$4),0,8)</f>
        <v>8</v>
      </c>
      <c r="L19" cm="1">
        <f t="array" ref="L19">IF(SUMPRODUCT((t_MarchaArretOP[OP]=--Tabel4[[#Headers],[33450]])
*(t_MarchaArretOP[Date arrêt]&lt;=$J19)
*(($J19&lt;=t_MarchaArretOP[date fin arret])+(t_MarchaArretOP[date fin arret]=0)))+($J19&gt;$L$4),0,8)</f>
        <v>8</v>
      </c>
      <c r="M19">
        <f>+Tabel4[[#This Row],[33450]]+Tabel4[[#This Row],[33445]]</f>
        <v>16</v>
      </c>
      <c r="N19" s="11">
        <f>SUMIFS(t_BDD[Time],t_BDD[Date],Tabel4[[#This Row],[date]])</f>
        <v>1</v>
      </c>
      <c r="O19" s="11">
        <f>+Tabel4[[#This Row],[total]]-Tabel4[[#This Row],[Time In]]</f>
        <v>15</v>
      </c>
      <c r="R19" s="12" t="s">
        <v>33</v>
      </c>
      <c r="S19" s="19">
        <v>16</v>
      </c>
      <c r="T19" s="19">
        <v>3</v>
      </c>
      <c r="U19" s="19">
        <v>13</v>
      </c>
    </row>
    <row r="20" spans="2:21" x14ac:dyDescent="0.25">
      <c r="B20" s="3">
        <v>44720</v>
      </c>
      <c r="C20" s="5" t="s">
        <v>3</v>
      </c>
      <c r="D20" s="4">
        <v>8</v>
      </c>
      <c r="E20" s="4"/>
      <c r="F20" s="20"/>
      <c r="G20" s="4"/>
      <c r="H20" s="4"/>
      <c r="J20" s="12">
        <f>WORKDAY.INTL(J19,1,,Jours_Feries)</f>
        <v>44734</v>
      </c>
      <c r="K20" cm="1">
        <f t="array" ref="K20">IF(SUMPRODUCT((t_MarchaArretOP[OP]=--Tabel4[[#Headers],[33445]])
*(t_MarchaArretOP[Date arrêt]&lt;=$J20)
*(($J20&lt;=t_MarchaArretOP[date fin arret])+(t_MarchaArretOP[date fin arret]=0)))+($J20&gt;$K$4),0,8)</f>
        <v>8</v>
      </c>
      <c r="L20" cm="1">
        <f t="array" ref="L20">IF(SUMPRODUCT((t_MarchaArretOP[OP]=--Tabel4[[#Headers],[33450]])
*(t_MarchaArretOP[Date arrêt]&lt;=$J20)
*(($J20&lt;=t_MarchaArretOP[date fin arret])+(t_MarchaArretOP[date fin arret]=0)))+($J20&gt;$L$4),0,8)</f>
        <v>8</v>
      </c>
      <c r="M20">
        <f>+Tabel4[[#This Row],[33450]]+Tabel4[[#This Row],[33445]]</f>
        <v>16</v>
      </c>
      <c r="N20" s="11">
        <f>SUMIFS(t_BDD[Time],t_BDD[Date],Tabel4[[#This Row],[date]])</f>
        <v>7</v>
      </c>
      <c r="O20" s="11">
        <f>+Tabel4[[#This Row],[total]]-Tabel4[[#This Row],[Time In]]</f>
        <v>9</v>
      </c>
      <c r="R20" s="12" t="s">
        <v>34</v>
      </c>
      <c r="S20" s="19">
        <v>16</v>
      </c>
      <c r="T20" s="19">
        <v>1</v>
      </c>
      <c r="U20" s="19">
        <v>15</v>
      </c>
    </row>
    <row r="21" spans="2:21" x14ac:dyDescent="0.25">
      <c r="B21" s="3">
        <v>44721</v>
      </c>
      <c r="C21" s="5" t="s">
        <v>3</v>
      </c>
      <c r="D21" s="4">
        <v>4</v>
      </c>
      <c r="E21" s="4"/>
      <c r="F21" s="20"/>
      <c r="G21" s="4"/>
      <c r="H21" s="4"/>
      <c r="J21" s="12">
        <f>WORKDAY.INTL(J20,1,,Jours_Feries)</f>
        <v>44735</v>
      </c>
      <c r="K21" cm="1">
        <f t="array" ref="K21">IF(SUMPRODUCT((t_MarchaArretOP[OP]=--Tabel4[[#Headers],[33445]])
*(t_MarchaArretOP[Date arrêt]&lt;=$J21)
*(($J21&lt;=t_MarchaArretOP[date fin arret])+(t_MarchaArretOP[date fin arret]=0)))+($J21&gt;$K$4),0,8)</f>
        <v>8</v>
      </c>
      <c r="L21" cm="1">
        <f t="array" ref="L21">IF(SUMPRODUCT((t_MarchaArretOP[OP]=--Tabel4[[#Headers],[33450]])
*(t_MarchaArretOP[Date arrêt]&lt;=$J21)
*(($J21&lt;=t_MarchaArretOP[date fin arret])+(t_MarchaArretOP[date fin arret]=0)))+($J21&gt;$L$4),0,8)</f>
        <v>8</v>
      </c>
      <c r="M21">
        <f>+Tabel4[[#This Row],[33450]]+Tabel4[[#This Row],[33445]]</f>
        <v>16</v>
      </c>
      <c r="N21" s="11">
        <f>SUMIFS(t_BDD[Time],t_BDD[Date],Tabel4[[#This Row],[date]])</f>
        <v>1.5</v>
      </c>
      <c r="O21" s="11">
        <f>+Tabel4[[#This Row],[total]]-Tabel4[[#This Row],[Time In]]</f>
        <v>14.5</v>
      </c>
      <c r="R21" s="12" t="s">
        <v>35</v>
      </c>
      <c r="S21" s="19">
        <v>16</v>
      </c>
      <c r="T21" s="19">
        <v>7</v>
      </c>
      <c r="U21" s="19">
        <v>9</v>
      </c>
    </row>
    <row r="22" spans="2:21" x14ac:dyDescent="0.25">
      <c r="B22" s="3">
        <v>44725</v>
      </c>
      <c r="C22" s="5" t="s">
        <v>3</v>
      </c>
      <c r="D22" s="4">
        <v>3</v>
      </c>
      <c r="E22" s="4"/>
      <c r="F22" s="20"/>
      <c r="G22" s="4"/>
      <c r="H22" s="4"/>
      <c r="J22" s="12">
        <f>WORKDAY.INTL(J21,1,,Jours_Feries)</f>
        <v>44736</v>
      </c>
      <c r="K22" cm="1">
        <f t="array" ref="K22">IF(SUMPRODUCT((t_MarchaArretOP[OP]=--Tabel4[[#Headers],[33445]])
*(t_MarchaArretOP[Date arrêt]&lt;=$J22)
*(($J22&lt;=t_MarchaArretOP[date fin arret])+(t_MarchaArretOP[date fin arret]=0)))+($J22&gt;$K$4),0,8)</f>
        <v>8</v>
      </c>
      <c r="L22" cm="1">
        <f t="array" ref="L22">IF(SUMPRODUCT((t_MarchaArretOP[OP]=--Tabel4[[#Headers],[33450]])
*(t_MarchaArretOP[Date arrêt]&lt;=$J22)
*(($J22&lt;=t_MarchaArretOP[date fin arret])+(t_MarchaArretOP[date fin arret]=0)))+($J22&gt;$L$4),0,8)</f>
        <v>8</v>
      </c>
      <c r="M22">
        <f>+Tabel4[[#This Row],[33450]]+Tabel4[[#This Row],[33445]]</f>
        <v>16</v>
      </c>
      <c r="N22" s="11">
        <f>SUMIFS(t_BDD[Time],t_BDD[Date],Tabel4[[#This Row],[date]])</f>
        <v>6</v>
      </c>
      <c r="O22" s="11">
        <f>+Tabel4[[#This Row],[total]]-Tabel4[[#This Row],[Time In]]</f>
        <v>10</v>
      </c>
      <c r="R22" s="12" t="s">
        <v>36</v>
      </c>
      <c r="S22" s="19">
        <v>16</v>
      </c>
      <c r="T22" s="19">
        <v>1.5</v>
      </c>
      <c r="U22" s="19">
        <v>14.5</v>
      </c>
    </row>
    <row r="23" spans="2:21" x14ac:dyDescent="0.25">
      <c r="B23" s="3">
        <v>44725</v>
      </c>
      <c r="C23" s="5" t="s">
        <v>4</v>
      </c>
      <c r="D23" s="4">
        <v>2.5</v>
      </c>
      <c r="E23" s="4"/>
      <c r="F23" s="20"/>
      <c r="G23" s="4"/>
      <c r="H23" s="4"/>
      <c r="J23" s="12">
        <f>WORKDAY.INTL(J22,1,,Jours_Feries)</f>
        <v>44739</v>
      </c>
      <c r="K23" cm="1">
        <f t="array" ref="K23">IF(SUMPRODUCT((t_MarchaArretOP[OP]=--Tabel4[[#Headers],[33445]])
*(t_MarchaArretOP[Date arrêt]&lt;=$J23)
*(($J23&lt;=t_MarchaArretOP[date fin arret])+(t_MarchaArretOP[date fin arret]=0)))+($J23&gt;$K$4),0,8)</f>
        <v>8</v>
      </c>
      <c r="L23" cm="1">
        <f t="array" ref="L23">IF(SUMPRODUCT((t_MarchaArretOP[OP]=--Tabel4[[#Headers],[33450]])
*(t_MarchaArretOP[Date arrêt]&lt;=$J23)
*(($J23&lt;=t_MarchaArretOP[date fin arret])+(t_MarchaArretOP[date fin arret]=0)))+($J23&gt;$L$4),0,8)</f>
        <v>8</v>
      </c>
      <c r="M23">
        <f>+Tabel4[[#This Row],[33450]]+Tabel4[[#This Row],[33445]]</f>
        <v>16</v>
      </c>
      <c r="N23" s="11">
        <f>SUMIFS(t_BDD[Time],t_BDD[Date],Tabel4[[#This Row],[date]])</f>
        <v>0</v>
      </c>
      <c r="O23" s="11">
        <f>+Tabel4[[#This Row],[total]]-Tabel4[[#This Row],[Time In]]</f>
        <v>16</v>
      </c>
      <c r="R23" s="12" t="s">
        <v>37</v>
      </c>
      <c r="S23" s="19">
        <v>16</v>
      </c>
      <c r="T23" s="19">
        <v>6</v>
      </c>
      <c r="U23" s="19">
        <v>10</v>
      </c>
    </row>
    <row r="24" spans="2:21" x14ac:dyDescent="0.25">
      <c r="B24" s="3">
        <v>44729</v>
      </c>
      <c r="C24" s="5" t="s">
        <v>3</v>
      </c>
      <c r="D24" s="4">
        <v>1</v>
      </c>
      <c r="E24" s="4"/>
      <c r="F24" s="20"/>
      <c r="G24" s="4"/>
      <c r="H24" s="4"/>
      <c r="J24" s="12">
        <f>WORKDAY.INTL(J23,1,,Jours_Feries)</f>
        <v>44740</v>
      </c>
      <c r="K24" cm="1">
        <f t="array" ref="K24">IF(SUMPRODUCT((t_MarchaArretOP[OP]=--Tabel4[[#Headers],[33445]])
*(t_MarchaArretOP[Date arrêt]&lt;=$J24)
*(($J24&lt;=t_MarchaArretOP[date fin arret])+(t_MarchaArretOP[date fin arret]=0)))+($J24&gt;$K$4),0,8)</f>
        <v>8</v>
      </c>
      <c r="L24" cm="1">
        <f t="array" ref="L24">IF(SUMPRODUCT((t_MarchaArretOP[OP]=--Tabel4[[#Headers],[33450]])
*(t_MarchaArretOP[Date arrêt]&lt;=$J24)
*(($J24&lt;=t_MarchaArretOP[date fin arret])+(t_MarchaArretOP[date fin arret]=0)))+($J24&gt;$L$4),0,8)</f>
        <v>8</v>
      </c>
      <c r="M24">
        <f>+Tabel4[[#This Row],[33450]]+Tabel4[[#This Row],[33445]]</f>
        <v>16</v>
      </c>
      <c r="N24" s="11">
        <f>SUMIFS(t_BDD[Time],t_BDD[Date],Tabel4[[#This Row],[date]])</f>
        <v>1.5</v>
      </c>
      <c r="O24" s="11">
        <f>+Tabel4[[#This Row],[total]]-Tabel4[[#This Row],[Time In]]</f>
        <v>14.5</v>
      </c>
      <c r="R24" s="12" t="s">
        <v>38</v>
      </c>
      <c r="S24" s="19">
        <v>16</v>
      </c>
      <c r="T24" s="19">
        <v>0</v>
      </c>
      <c r="U24" s="19">
        <v>16</v>
      </c>
    </row>
    <row r="25" spans="2:21" x14ac:dyDescent="0.25">
      <c r="B25" s="3">
        <v>44729</v>
      </c>
      <c r="C25" s="5" t="s">
        <v>4</v>
      </c>
      <c r="D25" s="4">
        <v>2</v>
      </c>
      <c r="E25" s="4"/>
      <c r="F25" s="20"/>
      <c r="G25" s="4"/>
      <c r="H25" s="4"/>
      <c r="J25" s="12">
        <f>WORKDAY.INTL(J24,1,,Jours_Feries)</f>
        <v>44741</v>
      </c>
      <c r="K25" cm="1">
        <f t="array" ref="K25">IF(SUMPRODUCT((t_MarchaArretOP[OP]=--Tabel4[[#Headers],[33445]])
*(t_MarchaArretOP[Date arrêt]&lt;=$J25)
*(($J25&lt;=t_MarchaArretOP[date fin arret])+(t_MarchaArretOP[date fin arret]=0)))+($J25&gt;$K$4),0,8)</f>
        <v>8</v>
      </c>
      <c r="L25" cm="1">
        <f t="array" ref="L25">IF(SUMPRODUCT((t_MarchaArretOP[OP]=--Tabel4[[#Headers],[33450]])
*(t_MarchaArretOP[Date arrêt]&lt;=$J25)
*(($J25&lt;=t_MarchaArretOP[date fin arret])+(t_MarchaArretOP[date fin arret]=0)))+($J25&gt;$L$4),0,8)</f>
        <v>0</v>
      </c>
      <c r="M25">
        <f>+Tabel4[[#This Row],[33450]]+Tabel4[[#This Row],[33445]]</f>
        <v>8</v>
      </c>
      <c r="N25" s="11">
        <f>SUMIFS(t_BDD[Time],t_BDD[Date],Tabel4[[#This Row],[date]])</f>
        <v>3</v>
      </c>
      <c r="O25" s="11">
        <f>+Tabel4[[#This Row],[total]]-Tabel4[[#This Row],[Time In]]</f>
        <v>5</v>
      </c>
      <c r="R25" s="12" t="s">
        <v>39</v>
      </c>
      <c r="S25" s="19">
        <v>16</v>
      </c>
      <c r="T25" s="19">
        <v>1.5</v>
      </c>
      <c r="U25" s="19">
        <v>14.5</v>
      </c>
    </row>
    <row r="26" spans="2:21" x14ac:dyDescent="0.25">
      <c r="B26" s="3">
        <v>44732</v>
      </c>
      <c r="C26" s="5" t="s">
        <v>4</v>
      </c>
      <c r="D26" s="4">
        <v>3</v>
      </c>
      <c r="E26" s="4"/>
      <c r="F26" s="20"/>
      <c r="G26" s="4"/>
      <c r="H26" s="4"/>
      <c r="J26" s="12">
        <f>WORKDAY.INTL(J25,1,,Jours_Feries)</f>
        <v>44742</v>
      </c>
      <c r="K26" cm="1">
        <f t="array" ref="K26">IF(SUMPRODUCT((t_MarchaArretOP[OP]=--Tabel4[[#Headers],[33445]])
*(t_MarchaArretOP[Date arrêt]&lt;=$J26)
*(($J26&lt;=t_MarchaArretOP[date fin arret])+(t_MarchaArretOP[date fin arret]=0)))+($J26&gt;$K$4),0,8)</f>
        <v>8</v>
      </c>
      <c r="L26" cm="1">
        <f t="array" ref="L26">IF(SUMPRODUCT((t_MarchaArretOP[OP]=--Tabel4[[#Headers],[33450]])
*(t_MarchaArretOP[Date arrêt]&lt;=$J26)
*(($J26&lt;=t_MarchaArretOP[date fin arret])+(t_MarchaArretOP[date fin arret]=0)))+($J26&gt;$L$4),0,8)</f>
        <v>0</v>
      </c>
      <c r="M26">
        <f>+Tabel4[[#This Row],[33450]]+Tabel4[[#This Row],[33445]]</f>
        <v>8</v>
      </c>
      <c r="N26" s="11">
        <f>SUMIFS(t_BDD[Time],t_BDD[Date],Tabel4[[#This Row],[date]])</f>
        <v>1.25</v>
      </c>
      <c r="O26" s="11">
        <f>+Tabel4[[#This Row],[total]]-Tabel4[[#This Row],[Time In]]</f>
        <v>6.75</v>
      </c>
      <c r="R26" s="12" t="s">
        <v>40</v>
      </c>
      <c r="S26" s="19">
        <v>8</v>
      </c>
      <c r="T26" s="19">
        <v>3</v>
      </c>
      <c r="U26" s="19">
        <v>5</v>
      </c>
    </row>
    <row r="27" spans="2:21" x14ac:dyDescent="0.25">
      <c r="B27" s="3">
        <v>44733</v>
      </c>
      <c r="C27" s="5" t="s">
        <v>4</v>
      </c>
      <c r="D27" s="4">
        <v>1</v>
      </c>
      <c r="E27" s="4"/>
      <c r="F27" s="20"/>
      <c r="G27" s="4"/>
      <c r="H27" s="4"/>
      <c r="J27" s="12">
        <f>WORKDAY.INTL(J26,1,,Jours_Feries)</f>
        <v>44743</v>
      </c>
      <c r="K27" cm="1">
        <f t="array" ref="K27">IF(SUMPRODUCT((t_MarchaArretOP[OP]=--Tabel4[[#Headers],[33445]])
*(t_MarchaArretOP[Date arrêt]&lt;=$J27)
*(($J27&lt;=t_MarchaArretOP[date fin arret])+(t_MarchaArretOP[date fin arret]=0)))+($J27&gt;$K$4),0,8)</f>
        <v>8</v>
      </c>
      <c r="L27" cm="1">
        <f t="array" ref="L27">IF(SUMPRODUCT((t_MarchaArretOP[OP]=--Tabel4[[#Headers],[33450]])
*(t_MarchaArretOP[Date arrêt]&lt;=$J27)
*(($J27&lt;=t_MarchaArretOP[date fin arret])+(t_MarchaArretOP[date fin arret]=0)))+($J27&gt;$L$4),0,8)</f>
        <v>0</v>
      </c>
      <c r="M27">
        <f>+Tabel4[[#This Row],[33450]]+Tabel4[[#This Row],[33445]]</f>
        <v>8</v>
      </c>
      <c r="N27" s="11">
        <f>SUMIFS(t_BDD[Time],t_BDD[Date],Tabel4[[#This Row],[date]])</f>
        <v>0</v>
      </c>
      <c r="O27" s="11">
        <f>+Tabel4[[#This Row],[total]]-Tabel4[[#This Row],[Time In]]</f>
        <v>8</v>
      </c>
      <c r="R27" s="12" t="s">
        <v>41</v>
      </c>
      <c r="S27" s="19">
        <v>8</v>
      </c>
      <c r="T27" s="19">
        <v>1.25</v>
      </c>
      <c r="U27" s="19">
        <v>6.75</v>
      </c>
    </row>
    <row r="28" spans="2:21" x14ac:dyDescent="0.25">
      <c r="B28" s="3">
        <v>44734</v>
      </c>
      <c r="C28" s="5" t="s">
        <v>3</v>
      </c>
      <c r="D28" s="4">
        <v>2</v>
      </c>
      <c r="E28" s="4"/>
      <c r="F28" s="20"/>
      <c r="G28" s="4"/>
      <c r="H28" s="4"/>
      <c r="J28" s="12">
        <f>WORKDAY.INTL(J27,1,,Jours_Feries)</f>
        <v>44746</v>
      </c>
      <c r="K28" cm="1">
        <f t="array" ref="K28">IF(SUMPRODUCT((t_MarchaArretOP[OP]=--Tabel4[[#Headers],[33445]])
*(t_MarchaArretOP[Date arrêt]&lt;=$J28)
*(($J28&lt;=t_MarchaArretOP[date fin arret])+(t_MarchaArretOP[date fin arret]=0)))+($J28&gt;$K$4),0,8)</f>
        <v>8</v>
      </c>
      <c r="L28" cm="1">
        <f t="array" ref="L28">IF(SUMPRODUCT((t_MarchaArretOP[OP]=--Tabel4[[#Headers],[33450]])
*(t_MarchaArretOP[Date arrêt]&lt;=$J28)
*(($J28&lt;=t_MarchaArretOP[date fin arret])+(t_MarchaArretOP[date fin arret]=0)))+($J28&gt;$L$4),0,8)</f>
        <v>0</v>
      </c>
      <c r="M28">
        <f>+Tabel4[[#This Row],[33450]]+Tabel4[[#This Row],[33445]]</f>
        <v>8</v>
      </c>
      <c r="N28" s="11">
        <f>SUMIFS(t_BDD[Time],t_BDD[Date],Tabel4[[#This Row],[date]])</f>
        <v>1</v>
      </c>
      <c r="O28" s="11">
        <f>+Tabel4[[#This Row],[total]]-Tabel4[[#This Row],[Time In]]</f>
        <v>7</v>
      </c>
      <c r="Q28" s="8" t="s">
        <v>11</v>
      </c>
      <c r="R28" s="8"/>
      <c r="S28" s="24">
        <v>312</v>
      </c>
      <c r="T28" s="24">
        <v>63</v>
      </c>
      <c r="U28" s="24">
        <v>249</v>
      </c>
    </row>
    <row r="29" spans="2:21" x14ac:dyDescent="0.25">
      <c r="B29" s="3">
        <v>44734</v>
      </c>
      <c r="C29" s="5" t="s">
        <v>4</v>
      </c>
      <c r="D29" s="4">
        <v>3</v>
      </c>
      <c r="E29" s="4"/>
      <c r="F29" s="20"/>
      <c r="G29" s="4"/>
      <c r="H29" s="4"/>
      <c r="J29" s="12">
        <f>WORKDAY.INTL(J28,1,,Jours_Feries)</f>
        <v>44747</v>
      </c>
      <c r="K29" cm="1">
        <f t="array" ref="K29">IF(SUMPRODUCT((t_MarchaArretOP[OP]=--Tabel4[[#Headers],[33445]])
*(t_MarchaArretOP[Date arrêt]&lt;=$J29)
*(($J29&lt;=t_MarchaArretOP[date fin arret])+(t_MarchaArretOP[date fin arret]=0)))+($J29&gt;$K$4),0,8)</f>
        <v>8</v>
      </c>
      <c r="L29" cm="1">
        <f t="array" ref="L29">IF(SUMPRODUCT((t_MarchaArretOP[OP]=--Tabel4[[#Headers],[33450]])
*(t_MarchaArretOP[Date arrêt]&lt;=$J29)
*(($J29&lt;=t_MarchaArretOP[date fin arret])+(t_MarchaArretOP[date fin arret]=0)))+($J29&gt;$L$4),0,8)</f>
        <v>0</v>
      </c>
      <c r="M29">
        <f>+Tabel4[[#This Row],[33450]]+Tabel4[[#This Row],[33445]]</f>
        <v>8</v>
      </c>
      <c r="N29" s="11">
        <f>SUMIFS(t_BDD[Time],t_BDD[Date],Tabel4[[#This Row],[date]])</f>
        <v>0</v>
      </c>
      <c r="O29" s="11">
        <f>+Tabel4[[#This Row],[total]]-Tabel4[[#This Row],[Time In]]</f>
        <v>8</v>
      </c>
      <c r="S29" s="19"/>
      <c r="T29" s="19"/>
      <c r="U29" s="19"/>
    </row>
    <row r="30" spans="2:21" x14ac:dyDescent="0.25">
      <c r="B30" s="3">
        <v>44734</v>
      </c>
      <c r="C30" s="5" t="s">
        <v>4</v>
      </c>
      <c r="D30" s="4">
        <v>1</v>
      </c>
      <c r="E30" s="4"/>
      <c r="F30" s="20"/>
      <c r="G30" s="4"/>
      <c r="H30" s="4"/>
      <c r="J30" s="12">
        <f>WORKDAY.INTL(J29,1,,Jours_Feries)</f>
        <v>44748</v>
      </c>
      <c r="K30" cm="1">
        <f t="array" ref="K30">IF(SUMPRODUCT((t_MarchaArretOP[OP]=--Tabel4[[#Headers],[33445]])
*(t_MarchaArretOP[Date arrêt]&lt;=$J30)
*(($J30&lt;=t_MarchaArretOP[date fin arret])+(t_MarchaArretOP[date fin arret]=0)))+($J30&gt;$K$4),0,8)</f>
        <v>8</v>
      </c>
      <c r="L30" cm="1">
        <f t="array" ref="L30">IF(SUMPRODUCT((t_MarchaArretOP[OP]=--Tabel4[[#Headers],[33450]])
*(t_MarchaArretOP[Date arrêt]&lt;=$J30)
*(($J30&lt;=t_MarchaArretOP[date fin arret])+(t_MarchaArretOP[date fin arret]=0)))+($J30&gt;$L$4),0,8)</f>
        <v>0</v>
      </c>
      <c r="M30">
        <f>+Tabel4[[#This Row],[33450]]+Tabel4[[#This Row],[33445]]</f>
        <v>8</v>
      </c>
      <c r="N30" s="11">
        <f>SUMIFS(t_BDD[Time],t_BDD[Date],Tabel4[[#This Row],[date]])</f>
        <v>0</v>
      </c>
      <c r="O30" s="11">
        <f>+Tabel4[[#This Row],[total]]-Tabel4[[#This Row],[Time In]]</f>
        <v>8</v>
      </c>
      <c r="Q30" t="s">
        <v>12</v>
      </c>
      <c r="R30" s="12" t="s">
        <v>42</v>
      </c>
      <c r="S30" s="19">
        <v>8</v>
      </c>
      <c r="T30" s="19">
        <v>0</v>
      </c>
      <c r="U30" s="19">
        <v>8</v>
      </c>
    </row>
    <row r="31" spans="2:21" x14ac:dyDescent="0.25">
      <c r="B31" s="3">
        <v>44734</v>
      </c>
      <c r="C31" s="5" t="s">
        <v>4</v>
      </c>
      <c r="D31" s="4">
        <v>1</v>
      </c>
      <c r="E31" s="4"/>
      <c r="F31" s="20"/>
      <c r="G31" s="4"/>
      <c r="H31" s="4"/>
      <c r="J31" s="12">
        <f>WORKDAY.INTL(J30,1,,Jours_Feries)</f>
        <v>44749</v>
      </c>
      <c r="K31" cm="1">
        <f t="array" ref="K31">IF(SUMPRODUCT((t_MarchaArretOP[OP]=--Tabel4[[#Headers],[33445]])
*(t_MarchaArretOP[Date arrêt]&lt;=$J31)
*(($J31&lt;=t_MarchaArretOP[date fin arret])+(t_MarchaArretOP[date fin arret]=0)))+($J31&gt;$K$4),0,8)</f>
        <v>8</v>
      </c>
      <c r="L31" cm="1">
        <f t="array" ref="L31">IF(SUMPRODUCT((t_MarchaArretOP[OP]=--Tabel4[[#Headers],[33450]])
*(t_MarchaArretOP[Date arrêt]&lt;=$J31)
*(($J31&lt;=t_MarchaArretOP[date fin arret])+(t_MarchaArretOP[date fin arret]=0)))+($J31&gt;$L$4),0,8)</f>
        <v>0</v>
      </c>
      <c r="M31">
        <f>+Tabel4[[#This Row],[33450]]+Tabel4[[#This Row],[33445]]</f>
        <v>8</v>
      </c>
      <c r="N31" s="11">
        <f>SUMIFS(t_BDD[Time],t_BDD[Date],Tabel4[[#This Row],[date]])</f>
        <v>0</v>
      </c>
      <c r="O31" s="11">
        <f>+Tabel4[[#This Row],[total]]-Tabel4[[#This Row],[Time In]]</f>
        <v>8</v>
      </c>
      <c r="R31" s="12" t="s">
        <v>43</v>
      </c>
      <c r="S31" s="19">
        <v>8</v>
      </c>
      <c r="T31" s="19">
        <v>1</v>
      </c>
      <c r="U31" s="19">
        <v>7</v>
      </c>
    </row>
    <row r="32" spans="2:21" x14ac:dyDescent="0.25">
      <c r="B32" s="3">
        <v>44735</v>
      </c>
      <c r="C32" s="5" t="s">
        <v>3</v>
      </c>
      <c r="D32" s="4">
        <v>1</v>
      </c>
      <c r="E32" s="4"/>
      <c r="F32" s="20"/>
      <c r="G32" s="4"/>
      <c r="H32" s="4"/>
      <c r="J32" s="12">
        <f>WORKDAY.INTL(J31,1,,Jours_Feries)</f>
        <v>44750</v>
      </c>
      <c r="K32" cm="1">
        <f t="array" ref="K32">IF(SUMPRODUCT((t_MarchaArretOP[OP]=--Tabel4[[#Headers],[33445]])
*(t_MarchaArretOP[Date arrêt]&lt;=$J32)
*(($J32&lt;=t_MarchaArretOP[date fin arret])+(t_MarchaArretOP[date fin arret]=0)))+($J32&gt;$K$4),0,8)</f>
        <v>8</v>
      </c>
      <c r="L32" cm="1">
        <f t="array" ref="L32">IF(SUMPRODUCT((t_MarchaArretOP[OP]=--Tabel4[[#Headers],[33450]])
*(t_MarchaArretOP[Date arrêt]&lt;=$J32)
*(($J32&lt;=t_MarchaArretOP[date fin arret])+(t_MarchaArretOP[date fin arret]=0)))+($J32&gt;$L$4),0,8)</f>
        <v>0</v>
      </c>
      <c r="M32">
        <f>+Tabel4[[#This Row],[33450]]+Tabel4[[#This Row],[33445]]</f>
        <v>8</v>
      </c>
      <c r="N32" s="11">
        <f>SUMIFS(t_BDD[Time],t_BDD[Date],Tabel4[[#This Row],[date]])</f>
        <v>4</v>
      </c>
      <c r="O32" s="11">
        <f>+Tabel4[[#This Row],[total]]-Tabel4[[#This Row],[Time In]]</f>
        <v>4</v>
      </c>
      <c r="R32" s="12" t="s">
        <v>44</v>
      </c>
      <c r="S32" s="19">
        <v>8</v>
      </c>
      <c r="T32" s="19">
        <v>0</v>
      </c>
      <c r="U32" s="19">
        <v>8</v>
      </c>
    </row>
    <row r="33" spans="2:21" x14ac:dyDescent="0.25">
      <c r="B33" s="3">
        <v>44735</v>
      </c>
      <c r="C33" s="5" t="s">
        <v>3</v>
      </c>
      <c r="D33" s="4">
        <v>0.5</v>
      </c>
      <c r="E33" s="4"/>
      <c r="F33" s="20"/>
      <c r="G33" s="4"/>
      <c r="H33" s="4"/>
      <c r="J33" s="12">
        <f>WORKDAY.INTL(J32,1,,Jours_Feries)</f>
        <v>44753</v>
      </c>
      <c r="K33" cm="1">
        <f t="array" ref="K33">IF(SUMPRODUCT((t_MarchaArretOP[OP]=--Tabel4[[#Headers],[33445]])
*(t_MarchaArretOP[Date arrêt]&lt;=$J33)
*(($J33&lt;=t_MarchaArretOP[date fin arret])+(t_MarchaArretOP[date fin arret]=0)))+($J33&gt;$K$4),0,8)</f>
        <v>8</v>
      </c>
      <c r="L33" cm="1">
        <f t="array" ref="L33">IF(SUMPRODUCT((t_MarchaArretOP[OP]=--Tabel4[[#Headers],[33450]])
*(t_MarchaArretOP[Date arrêt]&lt;=$J33)
*(($J33&lt;=t_MarchaArretOP[date fin arret])+(t_MarchaArretOP[date fin arret]=0)))+($J33&gt;$L$4),0,8)</f>
        <v>0</v>
      </c>
      <c r="M33">
        <f>+Tabel4[[#This Row],[33450]]+Tabel4[[#This Row],[33445]]</f>
        <v>8</v>
      </c>
      <c r="N33" s="11">
        <f>SUMIFS(t_BDD[Time],t_BDD[Date],Tabel4[[#This Row],[date]])</f>
        <v>3</v>
      </c>
      <c r="O33" s="11">
        <f>+Tabel4[[#This Row],[total]]-Tabel4[[#This Row],[Time In]]</f>
        <v>5</v>
      </c>
      <c r="R33" s="12" t="s">
        <v>45</v>
      </c>
      <c r="S33" s="19">
        <v>8</v>
      </c>
      <c r="T33" s="19">
        <v>0</v>
      </c>
      <c r="U33" s="19">
        <v>8</v>
      </c>
    </row>
    <row r="34" spans="2:21" x14ac:dyDescent="0.25">
      <c r="B34" s="3">
        <v>44736</v>
      </c>
      <c r="C34" s="5" t="s">
        <v>3</v>
      </c>
      <c r="D34" s="4">
        <v>6</v>
      </c>
      <c r="E34" s="4"/>
      <c r="F34" s="20"/>
      <c r="G34" s="4"/>
      <c r="H34" s="4"/>
      <c r="J34" s="12">
        <f>WORKDAY.INTL(J33,1,,Jours_Feries)</f>
        <v>44754</v>
      </c>
      <c r="K34" cm="1">
        <f t="array" ref="K34">IF(SUMPRODUCT((t_MarchaArretOP[OP]=--Tabel4[[#Headers],[33445]])
*(t_MarchaArretOP[Date arrêt]&lt;=$J34)
*(($J34&lt;=t_MarchaArretOP[date fin arret])+(t_MarchaArretOP[date fin arret]=0)))+($J34&gt;$K$4),0,8)</f>
        <v>8</v>
      </c>
      <c r="L34" cm="1">
        <f t="array" ref="L34">IF(SUMPRODUCT((t_MarchaArretOP[OP]=--Tabel4[[#Headers],[33450]])
*(t_MarchaArretOP[Date arrêt]&lt;=$J34)
*(($J34&lt;=t_MarchaArretOP[date fin arret])+(t_MarchaArretOP[date fin arret]=0)))+($J34&gt;$L$4),0,8)</f>
        <v>0</v>
      </c>
      <c r="M34">
        <f>+Tabel4[[#This Row],[33450]]+Tabel4[[#This Row],[33445]]</f>
        <v>8</v>
      </c>
      <c r="N34" s="11">
        <f>SUMIFS(t_BDD[Time],t_BDD[Date],Tabel4[[#This Row],[date]])</f>
        <v>0</v>
      </c>
      <c r="O34" s="11">
        <f>+Tabel4[[#This Row],[total]]-Tabel4[[#This Row],[Time In]]</f>
        <v>8</v>
      </c>
      <c r="R34" s="12" t="s">
        <v>46</v>
      </c>
      <c r="S34" s="19">
        <v>8</v>
      </c>
      <c r="T34" s="19">
        <v>0</v>
      </c>
      <c r="U34" s="19">
        <v>8</v>
      </c>
    </row>
    <row r="35" spans="2:21" x14ac:dyDescent="0.25">
      <c r="B35" s="3">
        <v>44740</v>
      </c>
      <c r="C35" s="5" t="s">
        <v>3</v>
      </c>
      <c r="D35" s="4">
        <v>0.5</v>
      </c>
      <c r="E35" s="4"/>
      <c r="F35" s="20"/>
      <c r="G35" s="4"/>
      <c r="H35" s="4"/>
      <c r="J35" s="12">
        <f>WORKDAY.INTL(J34,1,,Jours_Feries)</f>
        <v>44755</v>
      </c>
      <c r="K35" cm="1">
        <f t="array" ref="K35">IF(SUMPRODUCT((t_MarchaArretOP[OP]=--Tabel4[[#Headers],[33445]])
*(t_MarchaArretOP[Date arrêt]&lt;=$J35)
*(($J35&lt;=t_MarchaArretOP[date fin arret])+(t_MarchaArretOP[date fin arret]=0)))+($J35&gt;$K$4),0,8)</f>
        <v>8</v>
      </c>
      <c r="L35" cm="1">
        <f t="array" ref="L35">IF(SUMPRODUCT((t_MarchaArretOP[OP]=--Tabel4[[#Headers],[33450]])
*(t_MarchaArretOP[Date arrêt]&lt;=$J35)
*(($J35&lt;=t_MarchaArretOP[date fin arret])+(t_MarchaArretOP[date fin arret]=0)))+($J35&gt;$L$4),0,8)</f>
        <v>0</v>
      </c>
      <c r="M35">
        <f>+Tabel4[[#This Row],[33450]]+Tabel4[[#This Row],[33445]]</f>
        <v>8</v>
      </c>
      <c r="N35" s="11">
        <f>SUMIFS(t_BDD[Time],t_BDD[Date],Tabel4[[#This Row],[date]])</f>
        <v>0</v>
      </c>
      <c r="O35" s="11">
        <f>+Tabel4[[#This Row],[total]]-Tabel4[[#This Row],[Time In]]</f>
        <v>8</v>
      </c>
      <c r="R35" s="12" t="s">
        <v>47</v>
      </c>
      <c r="S35" s="19">
        <v>8</v>
      </c>
      <c r="T35" s="19">
        <v>4</v>
      </c>
      <c r="U35" s="19">
        <v>4</v>
      </c>
    </row>
    <row r="36" spans="2:21" x14ac:dyDescent="0.25">
      <c r="B36" s="3">
        <v>44740</v>
      </c>
      <c r="C36" s="5" t="s">
        <v>4</v>
      </c>
      <c r="D36" s="4">
        <v>1</v>
      </c>
      <c r="E36" s="4"/>
      <c r="F36" s="20"/>
      <c r="G36" s="4"/>
      <c r="H36" s="4"/>
      <c r="J36" s="12">
        <f>WORKDAY.INTL(J35,1,,Jours_Feries)</f>
        <v>44757</v>
      </c>
      <c r="K36" cm="1">
        <f t="array" ref="K36">IF(SUMPRODUCT((t_MarchaArretOP[OP]=--Tabel4[[#Headers],[33445]])
*(t_MarchaArretOP[Date arrêt]&lt;=$J36)
*(($J36&lt;=t_MarchaArretOP[date fin arret])+(t_MarchaArretOP[date fin arret]=0)))+($J36&gt;$K$4),0,8)</f>
        <v>8</v>
      </c>
      <c r="L36" cm="1">
        <f t="array" ref="L36">IF(SUMPRODUCT((t_MarchaArretOP[OP]=--Tabel4[[#Headers],[33450]])
*(t_MarchaArretOP[Date arrêt]&lt;=$J36)
*(($J36&lt;=t_MarchaArretOP[date fin arret])+(t_MarchaArretOP[date fin arret]=0)))+($J36&gt;$L$4),0,8)</f>
        <v>0</v>
      </c>
      <c r="M36">
        <f>+Tabel4[[#This Row],[33450]]+Tabel4[[#This Row],[33445]]</f>
        <v>8</v>
      </c>
      <c r="N36" s="11">
        <f>SUMIFS(t_BDD[Time],t_BDD[Date],Tabel4[[#This Row],[date]])</f>
        <v>1</v>
      </c>
      <c r="O36" s="11">
        <f>+Tabel4[[#This Row],[total]]-Tabel4[[#This Row],[Time In]]</f>
        <v>7</v>
      </c>
      <c r="R36" s="12" t="s">
        <v>48</v>
      </c>
      <c r="S36" s="19">
        <v>8</v>
      </c>
      <c r="T36" s="19">
        <v>3</v>
      </c>
      <c r="U36" s="19">
        <v>5</v>
      </c>
    </row>
    <row r="37" spans="2:21" x14ac:dyDescent="0.25">
      <c r="B37" s="3">
        <v>44741</v>
      </c>
      <c r="C37" s="5" t="s">
        <v>3</v>
      </c>
      <c r="D37" s="4">
        <v>3</v>
      </c>
      <c r="E37" s="4"/>
      <c r="F37" s="20"/>
      <c r="G37" s="4"/>
      <c r="H37" s="4"/>
      <c r="J37" s="12">
        <f>WORKDAY.INTL(J36,1,,Jours_Feries)</f>
        <v>44760</v>
      </c>
      <c r="K37" cm="1">
        <f t="array" ref="K37">IF(SUMPRODUCT((t_MarchaArretOP[OP]=--Tabel4[[#Headers],[33445]])
*(t_MarchaArretOP[Date arrêt]&lt;=$J37)
*(($J37&lt;=t_MarchaArretOP[date fin arret])+(t_MarchaArretOP[date fin arret]=0)))+($J37&gt;$K$4),0,8)</f>
        <v>8</v>
      </c>
      <c r="L37" cm="1">
        <f t="array" ref="L37">IF(SUMPRODUCT((t_MarchaArretOP[OP]=--Tabel4[[#Headers],[33450]])
*(t_MarchaArretOP[Date arrêt]&lt;=$J37)
*(($J37&lt;=t_MarchaArretOP[date fin arret])+(t_MarchaArretOP[date fin arret]=0)))+($J37&gt;$L$4),0,8)</f>
        <v>0</v>
      </c>
      <c r="M37">
        <f>+Tabel4[[#This Row],[33450]]+Tabel4[[#This Row],[33445]]</f>
        <v>8</v>
      </c>
      <c r="N37" s="11">
        <f>SUMIFS(t_BDD[Time],t_BDD[Date],Tabel4[[#This Row],[date]])</f>
        <v>0</v>
      </c>
      <c r="O37" s="11">
        <f>+Tabel4[[#This Row],[total]]-Tabel4[[#This Row],[Time In]]</f>
        <v>8</v>
      </c>
      <c r="R37" s="12" t="s">
        <v>49</v>
      </c>
      <c r="S37" s="19">
        <v>8</v>
      </c>
      <c r="T37" s="19">
        <v>0</v>
      </c>
      <c r="U37" s="19">
        <v>8</v>
      </c>
    </row>
    <row r="38" spans="2:21" x14ac:dyDescent="0.25">
      <c r="B38" s="3">
        <v>44742</v>
      </c>
      <c r="C38" s="5" t="s">
        <v>3</v>
      </c>
      <c r="D38" s="4">
        <v>0.25</v>
      </c>
      <c r="E38" s="4"/>
      <c r="F38" s="20"/>
      <c r="G38" s="4"/>
      <c r="H38" s="4"/>
      <c r="J38" s="12">
        <f>WORKDAY.INTL(J37,1,,Jours_Feries)</f>
        <v>44761</v>
      </c>
      <c r="K38" cm="1">
        <f t="array" ref="K38">IF(SUMPRODUCT((t_MarchaArretOP[OP]=--Tabel4[[#Headers],[33445]])
*(t_MarchaArretOP[Date arrêt]&lt;=$J38)
*(($J38&lt;=t_MarchaArretOP[date fin arret])+(t_MarchaArretOP[date fin arret]=0)))+($J38&gt;$K$4),0,8)</f>
        <v>8</v>
      </c>
      <c r="L38" cm="1">
        <f t="array" ref="L38">IF(SUMPRODUCT((t_MarchaArretOP[OP]=--Tabel4[[#Headers],[33450]])
*(t_MarchaArretOP[Date arrêt]&lt;=$J38)
*(($J38&lt;=t_MarchaArretOP[date fin arret])+(t_MarchaArretOP[date fin arret]=0)))+($J38&gt;$L$4),0,8)</f>
        <v>0</v>
      </c>
      <c r="M38">
        <f>+Tabel4[[#This Row],[33450]]+Tabel4[[#This Row],[33445]]</f>
        <v>8</v>
      </c>
      <c r="N38" s="11">
        <f>SUMIFS(t_BDD[Time],t_BDD[Date],Tabel4[[#This Row],[date]])</f>
        <v>0.25</v>
      </c>
      <c r="O38" s="11">
        <f>+Tabel4[[#This Row],[total]]-Tabel4[[#This Row],[Time In]]</f>
        <v>7.75</v>
      </c>
      <c r="R38" s="12" t="s">
        <v>50</v>
      </c>
      <c r="S38" s="19">
        <v>8</v>
      </c>
      <c r="T38" s="19">
        <v>0</v>
      </c>
      <c r="U38" s="19">
        <v>8</v>
      </c>
    </row>
    <row r="39" spans="2:21" x14ac:dyDescent="0.25">
      <c r="B39" s="3">
        <v>44742</v>
      </c>
      <c r="C39" s="5" t="s">
        <v>3</v>
      </c>
      <c r="D39" s="4">
        <v>1</v>
      </c>
      <c r="E39" s="4"/>
      <c r="F39" s="20"/>
      <c r="G39" s="4"/>
      <c r="H39" s="4"/>
      <c r="J39" s="12">
        <f>WORKDAY.INTL(J38,1,,Jours_Feries)</f>
        <v>44762</v>
      </c>
      <c r="K39" cm="1">
        <f t="array" ref="K39">IF(SUMPRODUCT((t_MarchaArretOP[OP]=--Tabel4[[#Headers],[33445]])
*(t_MarchaArretOP[Date arrêt]&lt;=$J39)
*(($J39&lt;=t_MarchaArretOP[date fin arret])+(t_MarchaArretOP[date fin arret]=0)))+($J39&gt;$K$4),0,8)</f>
        <v>0</v>
      </c>
      <c r="L39" cm="1">
        <f t="array" ref="L39">IF(SUMPRODUCT((t_MarchaArretOP[OP]=--Tabel4[[#Headers],[33450]])
*(t_MarchaArretOP[Date arrêt]&lt;=$J39)
*(($J39&lt;=t_MarchaArretOP[date fin arret])+(t_MarchaArretOP[date fin arret]=0)))+($J39&gt;$L$4),0,8)</f>
        <v>0</v>
      </c>
      <c r="M39">
        <f>+Tabel4[[#This Row],[33450]]+Tabel4[[#This Row],[33445]]</f>
        <v>0</v>
      </c>
      <c r="N39" s="11">
        <f>SUMIFS(t_BDD[Time],t_BDD[Date],Tabel4[[#This Row],[date]])</f>
        <v>0</v>
      </c>
      <c r="O39" s="11">
        <f>+Tabel4[[#This Row],[total]]-Tabel4[[#This Row],[Time In]]</f>
        <v>0</v>
      </c>
      <c r="R39" s="12" t="s">
        <v>51</v>
      </c>
      <c r="S39" s="19">
        <v>8</v>
      </c>
      <c r="T39" s="19">
        <v>1</v>
      </c>
      <c r="U39" s="19">
        <v>7</v>
      </c>
    </row>
    <row r="40" spans="2:21" x14ac:dyDescent="0.25">
      <c r="B40" s="3">
        <v>44746</v>
      </c>
      <c r="C40" s="5" t="s">
        <v>3</v>
      </c>
      <c r="D40" s="4">
        <v>1</v>
      </c>
      <c r="E40" s="4"/>
      <c r="F40" s="20"/>
      <c r="G40" s="4"/>
      <c r="H40" s="4"/>
      <c r="J40" s="12">
        <f>WORKDAY.INTL(J39,1,,Jours_Feries)</f>
        <v>44763</v>
      </c>
      <c r="K40" cm="1">
        <f t="array" ref="K40">IF(SUMPRODUCT((t_MarchaArretOP[OP]=--Tabel4[[#Headers],[33445]])
*(t_MarchaArretOP[Date arrêt]&lt;=$J40)
*(($J40&lt;=t_MarchaArretOP[date fin arret])+(t_MarchaArretOP[date fin arret]=0)))+($J40&gt;$K$4),0,8)</f>
        <v>0</v>
      </c>
      <c r="L40" cm="1">
        <f t="array" ref="L40">IF(SUMPRODUCT((t_MarchaArretOP[OP]=--Tabel4[[#Headers],[33450]])
*(t_MarchaArretOP[Date arrêt]&lt;=$J40)
*(($J40&lt;=t_MarchaArretOP[date fin arret])+(t_MarchaArretOP[date fin arret]=0)))+($J40&gt;$L$4),0,8)</f>
        <v>0</v>
      </c>
      <c r="M40">
        <f>+Tabel4[[#This Row],[33450]]+Tabel4[[#This Row],[33445]]</f>
        <v>0</v>
      </c>
      <c r="N40" s="11">
        <f>SUMIFS(t_BDD[Time],t_BDD[Date],Tabel4[[#This Row],[date]])</f>
        <v>0</v>
      </c>
      <c r="O40" s="11">
        <f>+Tabel4[[#This Row],[total]]-Tabel4[[#This Row],[Time In]]</f>
        <v>0</v>
      </c>
      <c r="R40" s="12" t="s">
        <v>52</v>
      </c>
      <c r="S40" s="19">
        <v>8</v>
      </c>
      <c r="T40" s="19">
        <v>0</v>
      </c>
      <c r="U40" s="19">
        <v>8</v>
      </c>
    </row>
    <row r="41" spans="2:21" x14ac:dyDescent="0.25">
      <c r="B41" s="3">
        <v>44750</v>
      </c>
      <c r="C41" s="5" t="s">
        <v>3</v>
      </c>
      <c r="D41" s="4">
        <v>4</v>
      </c>
      <c r="E41" s="4"/>
      <c r="F41" s="20"/>
      <c r="G41" s="4"/>
      <c r="H41" s="4"/>
      <c r="J41" s="12">
        <f>WORKDAY.INTL(J40,1,,Jours_Feries)</f>
        <v>44764</v>
      </c>
      <c r="K41" cm="1">
        <f t="array" ref="K41">IF(SUMPRODUCT((t_MarchaArretOP[OP]=--Tabel4[[#Headers],[33445]])
*(t_MarchaArretOP[Date arrêt]&lt;=$J41)
*(($J41&lt;=t_MarchaArretOP[date fin arret])+(t_MarchaArretOP[date fin arret]=0)))+($J41&gt;$K$4),0,8)</f>
        <v>0</v>
      </c>
      <c r="L41" cm="1">
        <f t="array" ref="L41">IF(SUMPRODUCT((t_MarchaArretOP[OP]=--Tabel4[[#Headers],[33450]])
*(t_MarchaArretOP[Date arrêt]&lt;=$J41)
*(($J41&lt;=t_MarchaArretOP[date fin arret])+(t_MarchaArretOP[date fin arret]=0)))+($J41&gt;$L$4),0,8)</f>
        <v>0</v>
      </c>
      <c r="M41">
        <f>+Tabel4[[#This Row],[33450]]+Tabel4[[#This Row],[33445]]</f>
        <v>0</v>
      </c>
      <c r="N41" s="11">
        <f>SUMIFS(t_BDD[Time],t_BDD[Date],Tabel4[[#This Row],[date]])</f>
        <v>0</v>
      </c>
      <c r="O41" s="11">
        <f>+Tabel4[[#This Row],[total]]-Tabel4[[#This Row],[Time In]]</f>
        <v>0</v>
      </c>
      <c r="R41" s="12" t="s">
        <v>53</v>
      </c>
      <c r="S41" s="19">
        <v>8</v>
      </c>
      <c r="T41" s="19">
        <v>0.25</v>
      </c>
      <c r="U41" s="19">
        <v>7.75</v>
      </c>
    </row>
    <row r="42" spans="2:21" x14ac:dyDescent="0.25">
      <c r="B42" s="3">
        <v>44753</v>
      </c>
      <c r="C42" s="5" t="s">
        <v>3</v>
      </c>
      <c r="D42" s="4">
        <v>0.5</v>
      </c>
      <c r="E42" s="4"/>
      <c r="F42" s="20"/>
      <c r="G42" s="4"/>
      <c r="H42" s="4"/>
      <c r="J42" s="12">
        <f>WORKDAY.INTL(J41,1,,Jours_Feries)</f>
        <v>44774</v>
      </c>
      <c r="K42" cm="1">
        <f t="array" ref="K42">IF(SUMPRODUCT((t_MarchaArretOP[OP]=--Tabel4[[#Headers],[33445]])
*(t_MarchaArretOP[Date arrêt]&lt;=$J42)
*(($J42&lt;=t_MarchaArretOP[date fin arret])+(t_MarchaArretOP[date fin arret]=0)))+($J42&gt;$K$4),0,8)</f>
        <v>0</v>
      </c>
      <c r="L42" cm="1">
        <f t="array" ref="L42">IF(SUMPRODUCT((t_MarchaArretOP[OP]=--Tabel4[[#Headers],[33450]])
*(t_MarchaArretOP[Date arrêt]&lt;=$J42)
*(($J42&lt;=t_MarchaArretOP[date fin arret])+(t_MarchaArretOP[date fin arret]=0)))+($J42&gt;$L$4),0,8)</f>
        <v>0</v>
      </c>
      <c r="M42">
        <f>+Tabel4[[#This Row],[33450]]+Tabel4[[#This Row],[33445]]</f>
        <v>0</v>
      </c>
      <c r="N42" s="11">
        <f>SUMIFS(t_BDD[Time],t_BDD[Date],Tabel4[[#This Row],[date]])</f>
        <v>0</v>
      </c>
      <c r="O42" s="11">
        <f>+Tabel4[[#This Row],[total]]-Tabel4[[#This Row],[Time In]]</f>
        <v>0</v>
      </c>
      <c r="R42" s="12" t="s">
        <v>82</v>
      </c>
      <c r="S42" s="19">
        <v>0</v>
      </c>
      <c r="T42" s="19">
        <v>0</v>
      </c>
      <c r="U42" s="19">
        <v>0</v>
      </c>
    </row>
    <row r="43" spans="2:21" x14ac:dyDescent="0.25">
      <c r="B43" s="3">
        <v>44753</v>
      </c>
      <c r="C43" s="5" t="s">
        <v>3</v>
      </c>
      <c r="D43" s="4">
        <v>2.5</v>
      </c>
      <c r="E43" s="4"/>
      <c r="F43" s="20"/>
      <c r="G43" s="4"/>
      <c r="H43" s="4"/>
      <c r="J43" s="12">
        <f>WORKDAY.INTL(J42,1,,Jours_Feries)</f>
        <v>44775</v>
      </c>
      <c r="K43" cm="1">
        <f t="array" ref="K43">IF(SUMPRODUCT((t_MarchaArretOP[OP]=--Tabel4[[#Headers],[33445]])
*(t_MarchaArretOP[Date arrêt]&lt;=$J43)
*(($J43&lt;=t_MarchaArretOP[date fin arret])+(t_MarchaArretOP[date fin arret]=0)))+($J43&gt;$K$4),0,8)</f>
        <v>0</v>
      </c>
      <c r="L43" cm="1">
        <f t="array" ref="L43">IF(SUMPRODUCT((t_MarchaArretOP[OP]=--Tabel4[[#Headers],[33450]])
*(t_MarchaArretOP[Date arrêt]&lt;=$J43)
*(($J43&lt;=t_MarchaArretOP[date fin arret])+(t_MarchaArretOP[date fin arret]=0)))+($J43&gt;$L$4),0,8)</f>
        <v>0</v>
      </c>
      <c r="M43">
        <f>+Tabel4[[#This Row],[33450]]+Tabel4[[#This Row],[33445]]</f>
        <v>0</v>
      </c>
      <c r="N43" s="11">
        <f>SUMIFS(t_BDD[Time],t_BDD[Date],Tabel4[[#This Row],[date]])</f>
        <v>0</v>
      </c>
      <c r="O43" s="11">
        <f>+Tabel4[[#This Row],[total]]-Tabel4[[#This Row],[Time In]]</f>
        <v>0</v>
      </c>
      <c r="R43" s="12" t="s">
        <v>83</v>
      </c>
      <c r="S43" s="19">
        <v>0</v>
      </c>
      <c r="T43" s="19">
        <v>0</v>
      </c>
      <c r="U43" s="19">
        <v>0</v>
      </c>
    </row>
    <row r="44" spans="2:21" x14ac:dyDescent="0.25">
      <c r="B44" s="3">
        <v>44757</v>
      </c>
      <c r="C44" s="5" t="s">
        <v>3</v>
      </c>
      <c r="D44" s="4">
        <v>1</v>
      </c>
      <c r="E44" s="4"/>
      <c r="J44" s="12">
        <f>WORKDAY.INTL(J43,1,,Jours_Feries)</f>
        <v>44776</v>
      </c>
      <c r="K44" cm="1">
        <f t="array" ref="K44">IF(SUMPRODUCT((t_MarchaArretOP[OP]=--Tabel4[[#Headers],[33445]])
*(t_MarchaArretOP[Date arrêt]&lt;=$J44)
*(($J44&lt;=t_MarchaArretOP[date fin arret])+(t_MarchaArretOP[date fin arret]=0)))+($J44&gt;$K$4),0,8)</f>
        <v>0</v>
      </c>
      <c r="L44" cm="1">
        <f t="array" ref="L44">IF(SUMPRODUCT((t_MarchaArretOP[OP]=--Tabel4[[#Headers],[33450]])
*(t_MarchaArretOP[Date arrêt]&lt;=$J44)
*(($J44&lt;=t_MarchaArretOP[date fin arret])+(t_MarchaArretOP[date fin arret]=0)))+($J44&gt;$L$4),0,8)</f>
        <v>0</v>
      </c>
      <c r="M44">
        <f>+Tabel4[[#This Row],[33450]]+Tabel4[[#This Row],[33445]]</f>
        <v>0</v>
      </c>
      <c r="N44" s="11">
        <f>SUMIFS(t_BDD[Time],t_BDD[Date],Tabel4[[#This Row],[date]])</f>
        <v>0</v>
      </c>
      <c r="O44" s="11">
        <f>+Tabel4[[#This Row],[total]]-Tabel4[[#This Row],[Time In]]</f>
        <v>0</v>
      </c>
      <c r="R44" s="12" t="s">
        <v>84</v>
      </c>
      <c r="S44" s="19">
        <v>0</v>
      </c>
      <c r="T44" s="19">
        <v>0</v>
      </c>
      <c r="U44" s="19">
        <v>0</v>
      </c>
    </row>
    <row r="45" spans="2:21" x14ac:dyDescent="0.25">
      <c r="B45" s="3">
        <v>44761</v>
      </c>
      <c r="C45" s="5" t="s">
        <v>3</v>
      </c>
      <c r="D45" s="4">
        <v>0.25</v>
      </c>
      <c r="E45" s="4"/>
      <c r="J45" s="12">
        <f>WORKDAY.INTL(J44,1,,Jours_Feries)</f>
        <v>44777</v>
      </c>
      <c r="K45" cm="1">
        <f t="array" ref="K45">IF(SUMPRODUCT((t_MarchaArretOP[OP]=--Tabel4[[#Headers],[33445]])
*(t_MarchaArretOP[Date arrêt]&lt;=$J45)
*(($J45&lt;=t_MarchaArretOP[date fin arret])+(t_MarchaArretOP[date fin arret]=0)))+($J45&gt;$K$4),0,8)</f>
        <v>0</v>
      </c>
      <c r="L45" cm="1">
        <f t="array" ref="L45">IF(SUMPRODUCT((t_MarchaArretOP[OP]=--Tabel4[[#Headers],[33450]])
*(t_MarchaArretOP[Date arrêt]&lt;=$J45)
*(($J45&lt;=t_MarchaArretOP[date fin arret])+(t_MarchaArretOP[date fin arret]=0)))+($J45&gt;$L$4),0,8)</f>
        <v>0</v>
      </c>
      <c r="M45">
        <f>+Tabel4[[#This Row],[33450]]+Tabel4[[#This Row],[33445]]</f>
        <v>0</v>
      </c>
      <c r="N45" s="11">
        <f>SUMIFS(t_BDD[Time],t_BDD[Date],Tabel4[[#This Row],[date]])</f>
        <v>0</v>
      </c>
      <c r="O45" s="11">
        <f>+Tabel4[[#This Row],[total]]-Tabel4[[#This Row],[Time In]]</f>
        <v>0</v>
      </c>
      <c r="Q45" s="8" t="s">
        <v>13</v>
      </c>
      <c r="R45" s="8"/>
      <c r="S45" s="24">
        <v>96</v>
      </c>
      <c r="T45" s="24">
        <v>9.25</v>
      </c>
      <c r="U45" s="24">
        <v>86.75</v>
      </c>
    </row>
    <row r="46" spans="2:21" x14ac:dyDescent="0.25">
      <c r="J46" s="12">
        <f>WORKDAY.INTL(J45,1,,Jours_Feries)</f>
        <v>44778</v>
      </c>
      <c r="K46" cm="1">
        <f t="array" ref="K46">IF(SUMPRODUCT((t_MarchaArretOP[OP]=--Tabel4[[#Headers],[33445]])
*(t_MarchaArretOP[Date arrêt]&lt;=$J46)
*(($J46&lt;=t_MarchaArretOP[date fin arret])+(t_MarchaArretOP[date fin arret]=0)))+($J46&gt;$K$4),0,8)</f>
        <v>0</v>
      </c>
      <c r="L46" cm="1">
        <f t="array" ref="L46">IF(SUMPRODUCT((t_MarchaArretOP[OP]=--Tabel4[[#Headers],[33450]])
*(t_MarchaArretOP[Date arrêt]&lt;=$J46)
*(($J46&lt;=t_MarchaArretOP[date fin arret])+(t_MarchaArretOP[date fin arret]=0)))+($J46&gt;$L$4),0,8)</f>
        <v>0</v>
      </c>
      <c r="M46">
        <f>+Tabel4[[#This Row],[33450]]+Tabel4[[#This Row],[33445]]</f>
        <v>0</v>
      </c>
      <c r="N46" s="11">
        <f>SUMIFS(t_BDD[Time],t_BDD[Date],Tabel4[[#This Row],[date]])</f>
        <v>0</v>
      </c>
      <c r="O46" s="11">
        <f>+Tabel4[[#This Row],[total]]-Tabel4[[#This Row],[Time In]]</f>
        <v>0</v>
      </c>
      <c r="S46" s="19"/>
      <c r="T46" s="19"/>
      <c r="U46" s="19"/>
    </row>
    <row r="47" spans="2:21" x14ac:dyDescent="0.25">
      <c r="J47" s="12">
        <f>WORKDAY.INTL(J46,1,,Jours_Feries)</f>
        <v>44781</v>
      </c>
      <c r="K47" cm="1">
        <f t="array" ref="K47">IF(SUMPRODUCT((t_MarchaArretOP[OP]=--Tabel4[[#Headers],[33445]])
*(t_MarchaArretOP[Date arrêt]&lt;=$J47)
*(($J47&lt;=t_MarchaArretOP[date fin arret])+(t_MarchaArretOP[date fin arret]=0)))+($J47&gt;$K$4),0,8)</f>
        <v>0</v>
      </c>
      <c r="L47" cm="1">
        <f t="array" ref="L47">IF(SUMPRODUCT((t_MarchaArretOP[OP]=--Tabel4[[#Headers],[33450]])
*(t_MarchaArretOP[Date arrêt]&lt;=$J47)
*(($J47&lt;=t_MarchaArretOP[date fin arret])+(t_MarchaArretOP[date fin arret]=0)))+($J47&gt;$L$4),0,8)</f>
        <v>0</v>
      </c>
      <c r="M47">
        <f>+Tabel4[[#This Row],[33450]]+Tabel4[[#This Row],[33445]]</f>
        <v>0</v>
      </c>
      <c r="N47" s="11">
        <f>SUMIFS(t_BDD[Time],t_BDD[Date],Tabel4[[#This Row],[date]])</f>
        <v>0</v>
      </c>
      <c r="O47" s="11">
        <f>+Tabel4[[#This Row],[total]]-Tabel4[[#This Row],[Time In]]</f>
        <v>0</v>
      </c>
      <c r="Q47" t="s">
        <v>85</v>
      </c>
      <c r="R47" s="12" t="s">
        <v>86</v>
      </c>
      <c r="S47" s="19">
        <v>0</v>
      </c>
      <c r="T47" s="19">
        <v>0</v>
      </c>
      <c r="U47" s="19">
        <v>0</v>
      </c>
    </row>
    <row r="48" spans="2:21" x14ac:dyDescent="0.25">
      <c r="J48" s="12">
        <f>WORKDAY.INTL(J47,1,,Jours_Feries)</f>
        <v>44782</v>
      </c>
      <c r="K48" cm="1">
        <f t="array" ref="K48">IF(SUMPRODUCT((t_MarchaArretOP[OP]=--Tabel4[[#Headers],[33445]])
*(t_MarchaArretOP[Date arrêt]&lt;=$J48)
*(($J48&lt;=t_MarchaArretOP[date fin arret])+(t_MarchaArretOP[date fin arret]=0)))+($J48&gt;$K$4),0,8)</f>
        <v>0</v>
      </c>
      <c r="L48" cm="1">
        <f t="array" ref="L48">IF(SUMPRODUCT((t_MarchaArretOP[OP]=--Tabel4[[#Headers],[33450]])
*(t_MarchaArretOP[Date arrêt]&lt;=$J48)
*(($J48&lt;=t_MarchaArretOP[date fin arret])+(t_MarchaArretOP[date fin arret]=0)))+($J48&gt;$L$4),0,8)</f>
        <v>0</v>
      </c>
      <c r="M48">
        <f>+Tabel4[[#This Row],[33450]]+Tabel4[[#This Row],[33445]]</f>
        <v>0</v>
      </c>
      <c r="N48" s="11">
        <f>SUMIFS(t_BDD[Time],t_BDD[Date],Tabel4[[#This Row],[date]])</f>
        <v>0</v>
      </c>
      <c r="O48" s="11">
        <f>+Tabel4[[#This Row],[total]]-Tabel4[[#This Row],[Time In]]</f>
        <v>0</v>
      </c>
      <c r="R48" s="12" t="s">
        <v>87</v>
      </c>
      <c r="S48" s="19">
        <v>0</v>
      </c>
      <c r="T48" s="19">
        <v>0</v>
      </c>
      <c r="U48" s="19">
        <v>0</v>
      </c>
    </row>
    <row r="49" spans="10:21" x14ac:dyDescent="0.25">
      <c r="J49" s="12">
        <f>WORKDAY.INTL(J48,1,,Jours_Feries)</f>
        <v>44783</v>
      </c>
      <c r="K49" cm="1">
        <f t="array" ref="K49">IF(SUMPRODUCT((t_MarchaArretOP[OP]=--Tabel4[[#Headers],[33445]])
*(t_MarchaArretOP[Date arrêt]&lt;=$J49)
*(($J49&lt;=t_MarchaArretOP[date fin arret])+(t_MarchaArretOP[date fin arret]=0)))+($J49&gt;$K$4),0,8)</f>
        <v>0</v>
      </c>
      <c r="L49" cm="1">
        <f t="array" ref="L49">IF(SUMPRODUCT((t_MarchaArretOP[OP]=--Tabel4[[#Headers],[33450]])
*(t_MarchaArretOP[Date arrêt]&lt;=$J49)
*(($J49&lt;=t_MarchaArretOP[date fin arret])+(t_MarchaArretOP[date fin arret]=0)))+($J49&gt;$L$4),0,8)</f>
        <v>0</v>
      </c>
      <c r="M49">
        <f>+Tabel4[[#This Row],[33450]]+Tabel4[[#This Row],[33445]]</f>
        <v>0</v>
      </c>
      <c r="N49" s="11">
        <f>SUMIFS(t_BDD[Time],t_BDD[Date],Tabel4[[#This Row],[date]])</f>
        <v>0</v>
      </c>
      <c r="O49" s="11">
        <f>+Tabel4[[#This Row],[total]]-Tabel4[[#This Row],[Time In]]</f>
        <v>0</v>
      </c>
      <c r="R49" s="12" t="s">
        <v>88</v>
      </c>
      <c r="S49" s="19">
        <v>0</v>
      </c>
      <c r="T49" s="19">
        <v>0</v>
      </c>
      <c r="U49" s="19">
        <v>0</v>
      </c>
    </row>
    <row r="50" spans="10:21" x14ac:dyDescent="0.25">
      <c r="J50" s="12">
        <f>WORKDAY.INTL(J49,1,,Jours_Feries)</f>
        <v>44784</v>
      </c>
      <c r="K50" cm="1">
        <f t="array" ref="K50">IF(SUMPRODUCT((t_MarchaArretOP[OP]=--Tabel4[[#Headers],[33445]])
*(t_MarchaArretOP[Date arrêt]&lt;=$J50)
*(($J50&lt;=t_MarchaArretOP[date fin arret])+(t_MarchaArretOP[date fin arret]=0)))+($J50&gt;$K$4),0,8)</f>
        <v>0</v>
      </c>
      <c r="L50" cm="1">
        <f t="array" ref="L50">IF(SUMPRODUCT((t_MarchaArretOP[OP]=--Tabel4[[#Headers],[33450]])
*(t_MarchaArretOP[Date arrêt]&lt;=$J50)
*(($J50&lt;=t_MarchaArretOP[date fin arret])+(t_MarchaArretOP[date fin arret]=0)))+($J50&gt;$L$4),0,8)</f>
        <v>0</v>
      </c>
      <c r="M50">
        <f>+Tabel4[[#This Row],[33450]]+Tabel4[[#This Row],[33445]]</f>
        <v>0</v>
      </c>
      <c r="N50" s="11">
        <f>SUMIFS(t_BDD[Time],t_BDD[Date],Tabel4[[#This Row],[date]])</f>
        <v>0</v>
      </c>
      <c r="O50" s="11">
        <f>+Tabel4[[#This Row],[total]]-Tabel4[[#This Row],[Time In]]</f>
        <v>0</v>
      </c>
      <c r="R50" s="12" t="s">
        <v>89</v>
      </c>
      <c r="S50" s="19">
        <v>0</v>
      </c>
      <c r="T50" s="19">
        <v>0</v>
      </c>
      <c r="U50" s="19">
        <v>0</v>
      </c>
    </row>
    <row r="51" spans="10:21" x14ac:dyDescent="0.25">
      <c r="J51" s="12">
        <f>WORKDAY.INTL(J50,1,,Jours_Feries)</f>
        <v>44785</v>
      </c>
      <c r="K51" cm="1">
        <f t="array" ref="K51">IF(SUMPRODUCT((t_MarchaArretOP[OP]=--Tabel4[[#Headers],[33445]])
*(t_MarchaArretOP[Date arrêt]&lt;=$J51)
*(($J51&lt;=t_MarchaArretOP[date fin arret])+(t_MarchaArretOP[date fin arret]=0)))+($J51&gt;$K$4),0,8)</f>
        <v>0</v>
      </c>
      <c r="L51" cm="1">
        <f t="array" ref="L51">IF(SUMPRODUCT((t_MarchaArretOP[OP]=--Tabel4[[#Headers],[33450]])
*(t_MarchaArretOP[Date arrêt]&lt;=$J51)
*(($J51&lt;=t_MarchaArretOP[date fin arret])+(t_MarchaArretOP[date fin arret]=0)))+($J51&gt;$L$4),0,8)</f>
        <v>0</v>
      </c>
      <c r="M51">
        <f>+Tabel4[[#This Row],[33450]]+Tabel4[[#This Row],[33445]]</f>
        <v>0</v>
      </c>
      <c r="N51" s="11">
        <f>SUMIFS(t_BDD[Time],t_BDD[Date],Tabel4[[#This Row],[date]])</f>
        <v>0</v>
      </c>
      <c r="O51" s="11">
        <f>+Tabel4[[#This Row],[total]]-Tabel4[[#This Row],[Time In]]</f>
        <v>0</v>
      </c>
      <c r="R51" s="12" t="s">
        <v>90</v>
      </c>
      <c r="S51" s="19">
        <v>0</v>
      </c>
      <c r="T51" s="19">
        <v>0</v>
      </c>
      <c r="U51" s="19">
        <v>0</v>
      </c>
    </row>
    <row r="52" spans="10:21" x14ac:dyDescent="0.25">
      <c r="J52" s="12">
        <f>WORKDAY.INTL(J51,1,,Jours_Feries)</f>
        <v>44789</v>
      </c>
      <c r="K52" cm="1">
        <f t="array" ref="K52">IF(SUMPRODUCT((t_MarchaArretOP[OP]=--Tabel4[[#Headers],[33445]])
*(t_MarchaArretOP[Date arrêt]&lt;=$J52)
*(($J52&lt;=t_MarchaArretOP[date fin arret])+(t_MarchaArretOP[date fin arret]=0)))+($J52&gt;$K$4),0,8)</f>
        <v>0</v>
      </c>
      <c r="L52" cm="1">
        <f t="array" ref="L52">IF(SUMPRODUCT((t_MarchaArretOP[OP]=--Tabel4[[#Headers],[33450]])
*(t_MarchaArretOP[Date arrêt]&lt;=$J52)
*(($J52&lt;=t_MarchaArretOP[date fin arret])+(t_MarchaArretOP[date fin arret]=0)))+($J52&gt;$L$4),0,8)</f>
        <v>0</v>
      </c>
      <c r="M52">
        <f>+Tabel4[[#This Row],[33450]]+Tabel4[[#This Row],[33445]]</f>
        <v>0</v>
      </c>
      <c r="N52" s="11">
        <f>SUMIFS(t_BDD[Time],t_BDD[Date],Tabel4[[#This Row],[date]])</f>
        <v>0</v>
      </c>
      <c r="O52" s="11">
        <f>+Tabel4[[#This Row],[total]]-Tabel4[[#This Row],[Time In]]</f>
        <v>0</v>
      </c>
      <c r="R52" s="12" t="s">
        <v>91</v>
      </c>
      <c r="S52" s="19">
        <v>0</v>
      </c>
      <c r="T52" s="19">
        <v>0</v>
      </c>
      <c r="U52" s="19">
        <v>0</v>
      </c>
    </row>
    <row r="53" spans="10:21" x14ac:dyDescent="0.25">
      <c r="J53" s="12">
        <f>WORKDAY.INTL(J52,1,,Jours_Feries)</f>
        <v>44790</v>
      </c>
      <c r="K53" cm="1">
        <f t="array" ref="K53">IF(SUMPRODUCT((t_MarchaArretOP[OP]=--Tabel4[[#Headers],[33445]])
*(t_MarchaArretOP[Date arrêt]&lt;=$J53)
*(($J53&lt;=t_MarchaArretOP[date fin arret])+(t_MarchaArretOP[date fin arret]=0)))+($J53&gt;$K$4),0,8)</f>
        <v>0</v>
      </c>
      <c r="L53" cm="1">
        <f t="array" ref="L53">IF(SUMPRODUCT((t_MarchaArretOP[OP]=--Tabel4[[#Headers],[33450]])
*(t_MarchaArretOP[Date arrêt]&lt;=$J53)
*(($J53&lt;=t_MarchaArretOP[date fin arret])+(t_MarchaArretOP[date fin arret]=0)))+($J53&gt;$L$4),0,8)</f>
        <v>0</v>
      </c>
      <c r="M53">
        <f>+Tabel4[[#This Row],[33450]]+Tabel4[[#This Row],[33445]]</f>
        <v>0</v>
      </c>
      <c r="N53" s="11">
        <f>SUMIFS(t_BDD[Time],t_BDD[Date],Tabel4[[#This Row],[date]])</f>
        <v>0</v>
      </c>
      <c r="O53" s="11">
        <f>+Tabel4[[#This Row],[total]]-Tabel4[[#This Row],[Time In]]</f>
        <v>0</v>
      </c>
      <c r="R53" s="12" t="s">
        <v>92</v>
      </c>
      <c r="S53" s="19">
        <v>0</v>
      </c>
      <c r="T53" s="19">
        <v>0</v>
      </c>
      <c r="U53" s="19">
        <v>0</v>
      </c>
    </row>
    <row r="54" spans="10:21" x14ac:dyDescent="0.25">
      <c r="J54" s="12">
        <f>WORKDAY.INTL(J53,1,,Jours_Feries)</f>
        <v>44791</v>
      </c>
      <c r="K54" cm="1">
        <f t="array" ref="K54">IF(SUMPRODUCT((t_MarchaArretOP[OP]=--Tabel4[[#Headers],[33445]])
*(t_MarchaArretOP[Date arrêt]&lt;=$J54)
*(($J54&lt;=t_MarchaArretOP[date fin arret])+(t_MarchaArretOP[date fin arret]=0)))+($J54&gt;$K$4),0,8)</f>
        <v>0</v>
      </c>
      <c r="L54" cm="1">
        <f t="array" ref="L54">IF(SUMPRODUCT((t_MarchaArretOP[OP]=--Tabel4[[#Headers],[33450]])
*(t_MarchaArretOP[Date arrêt]&lt;=$J54)
*(($J54&lt;=t_MarchaArretOP[date fin arret])+(t_MarchaArretOP[date fin arret]=0)))+($J54&gt;$L$4),0,8)</f>
        <v>0</v>
      </c>
      <c r="M54">
        <f>+Tabel4[[#This Row],[33450]]+Tabel4[[#This Row],[33445]]</f>
        <v>0</v>
      </c>
      <c r="N54" s="11">
        <f>SUMIFS(t_BDD[Time],t_BDD[Date],Tabel4[[#This Row],[date]])</f>
        <v>0</v>
      </c>
      <c r="O54" s="11">
        <f>+Tabel4[[#This Row],[total]]-Tabel4[[#This Row],[Time In]]</f>
        <v>0</v>
      </c>
      <c r="R54" s="12" t="s">
        <v>93</v>
      </c>
      <c r="S54" s="19">
        <v>0</v>
      </c>
      <c r="T54" s="19">
        <v>0</v>
      </c>
      <c r="U54" s="19">
        <v>0</v>
      </c>
    </row>
    <row r="55" spans="10:21" x14ac:dyDescent="0.25">
      <c r="J55" s="12">
        <f>WORKDAY.INTL(J54,1,,Jours_Feries)</f>
        <v>44792</v>
      </c>
      <c r="K55" cm="1">
        <f t="array" ref="K55">IF(SUMPRODUCT((t_MarchaArretOP[OP]=--Tabel4[[#Headers],[33445]])
*(t_MarchaArretOP[Date arrêt]&lt;=$J55)
*(($J55&lt;=t_MarchaArretOP[date fin arret])+(t_MarchaArretOP[date fin arret]=0)))+($J55&gt;$K$4),0,8)</f>
        <v>0</v>
      </c>
      <c r="L55" cm="1">
        <f t="array" ref="L55">IF(SUMPRODUCT((t_MarchaArretOP[OP]=--Tabel4[[#Headers],[33450]])
*(t_MarchaArretOP[Date arrêt]&lt;=$J55)
*(($J55&lt;=t_MarchaArretOP[date fin arret])+(t_MarchaArretOP[date fin arret]=0)))+($J55&gt;$L$4),0,8)</f>
        <v>0</v>
      </c>
      <c r="M55">
        <f>+Tabel4[[#This Row],[33450]]+Tabel4[[#This Row],[33445]]</f>
        <v>0</v>
      </c>
      <c r="N55" s="11">
        <f>SUMIFS(t_BDD[Time],t_BDD[Date],Tabel4[[#This Row],[date]])</f>
        <v>0</v>
      </c>
      <c r="O55" s="11">
        <f>+Tabel4[[#This Row],[total]]-Tabel4[[#This Row],[Time In]]</f>
        <v>0</v>
      </c>
      <c r="R55" s="12" t="s">
        <v>94</v>
      </c>
      <c r="S55" s="19">
        <v>0</v>
      </c>
      <c r="T55" s="19">
        <v>0</v>
      </c>
      <c r="U55" s="19">
        <v>0</v>
      </c>
    </row>
    <row r="56" spans="10:21" x14ac:dyDescent="0.25">
      <c r="Q56" s="8" t="s">
        <v>95</v>
      </c>
      <c r="R56" s="8"/>
      <c r="S56" s="24">
        <v>0</v>
      </c>
      <c r="T56" s="24">
        <v>0</v>
      </c>
      <c r="U56" s="24">
        <v>0</v>
      </c>
    </row>
    <row r="57" spans="10:21" x14ac:dyDescent="0.25">
      <c r="S57" s="19"/>
      <c r="T57" s="19"/>
      <c r="U57" s="19"/>
    </row>
    <row r="58" spans="10:21" x14ac:dyDescent="0.25">
      <c r="Q58" s="1" t="s">
        <v>8</v>
      </c>
      <c r="R58" s="1"/>
      <c r="S58" s="25">
        <v>408</v>
      </c>
      <c r="T58" s="25">
        <v>72.25</v>
      </c>
      <c r="U58" s="25">
        <v>335.75</v>
      </c>
    </row>
  </sheetData>
  <mergeCells count="1">
    <mergeCell ref="B1:D2"/>
  </mergeCells>
  <conditionalFormatting sqref="K6:L55">
    <cfRule type="expression" dxfId="6" priority="1">
      <formula>K6=0</formula>
    </cfRule>
  </conditionalFormatting>
  <pageMargins left="0.7" right="0.7" top="0.75" bottom="0.75" header="0.3" footer="0.3"/>
  <pageSetup paperSize="9" orientation="portrait" r:id="rId2"/>
  <tableParts count="3"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F57ADA8-4D95-4895-A2C6-338AC534F5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3</vt:i4>
      </vt:variant>
    </vt:vector>
  </HeadingPairs>
  <TitlesOfParts>
    <vt:vector size="5" baseType="lpstr">
      <vt:lpstr>Jours Fériés</vt:lpstr>
      <vt:lpstr>Brouillon 1</vt:lpstr>
      <vt:lpstr>An</vt:lpstr>
      <vt:lpstr>Jours_Feries</vt:lpstr>
      <vt:lpstr>Paques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ROUSSEAU</dc:creator>
  <cp:lastModifiedBy>BSA</cp:lastModifiedBy>
  <dcterms:created xsi:type="dcterms:W3CDTF">2023-03-17T15:42:57Z</dcterms:created>
  <dcterms:modified xsi:type="dcterms:W3CDTF">2023-04-25T08:01:57Z</dcterms:modified>
</cp:coreProperties>
</file>