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499FC834-E1C3-408D-864A-BF924A011B88}" xr6:coauthVersionLast="47" xr6:coauthVersionMax="47" xr10:uidLastSave="{00000000-0000-0000-0000-000000000000}"/>
  <bookViews>
    <workbookView xWindow="-120" yWindow="-120" windowWidth="29040" windowHeight="16440" xr2:uid="{E394F8C3-8F62-493A-933D-5A3D8855BCF3}"/>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1" l="1" a="1"/>
  <c r="I5" i="1" s="1"/>
  <c r="J5" i="1" a="1"/>
  <c r="J5" i="1"/>
  <c r="K5" i="1" a="1"/>
  <c r="K5" i="1" s="1"/>
  <c r="L5" i="1" a="1"/>
  <c r="L5" i="1" s="1"/>
  <c r="I6" i="1" a="1"/>
  <c r="I6" i="1" s="1"/>
  <c r="J6" i="1" a="1"/>
  <c r="J6" i="1"/>
  <c r="K6" i="1" a="1"/>
  <c r="K6" i="1" s="1"/>
  <c r="L6" i="1" a="1"/>
  <c r="L6" i="1"/>
  <c r="I7" i="1" a="1"/>
  <c r="I7" i="1" s="1"/>
  <c r="J7" i="1" a="1"/>
  <c r="J7" i="1"/>
  <c r="K7" i="1" a="1"/>
  <c r="K7" i="1" s="1"/>
  <c r="L7" i="1" a="1"/>
  <c r="L7" i="1"/>
  <c r="I8" i="1" a="1"/>
  <c r="I8" i="1" s="1"/>
  <c r="J8" i="1" a="1"/>
  <c r="J8" i="1"/>
  <c r="K8" i="1" a="1"/>
  <c r="K8" i="1" s="1"/>
  <c r="L8" i="1" a="1"/>
  <c r="L8" i="1"/>
  <c r="I9" i="1" a="1"/>
  <c r="I9" i="1" s="1"/>
  <c r="J9" i="1" a="1"/>
  <c r="J9" i="1"/>
  <c r="K9" i="1" a="1"/>
  <c r="K9" i="1" s="1"/>
  <c r="L9" i="1" a="1"/>
  <c r="L9" i="1"/>
  <c r="I10" i="1" a="1"/>
  <c r="I10" i="1" s="1"/>
  <c r="J10" i="1" a="1"/>
  <c r="J10" i="1"/>
  <c r="K10" i="1" a="1"/>
  <c r="K10" i="1" s="1"/>
  <c r="L10" i="1" a="1"/>
  <c r="L10" i="1"/>
  <c r="I11" i="1" a="1"/>
  <c r="I11" i="1" s="1"/>
  <c r="J11" i="1" a="1"/>
  <c r="J11" i="1"/>
  <c r="K11" i="1" a="1"/>
  <c r="K11" i="1" s="1"/>
  <c r="L11" i="1" a="1"/>
  <c r="L11" i="1"/>
  <c r="I12" i="1" a="1"/>
  <c r="I12" i="1" s="1"/>
  <c r="J12" i="1" a="1"/>
  <c r="J12" i="1"/>
  <c r="K12" i="1" a="1"/>
  <c r="K12" i="1" s="1"/>
  <c r="L12" i="1" a="1"/>
  <c r="L12" i="1"/>
  <c r="I13" i="1" a="1"/>
  <c r="I13" i="1" s="1"/>
  <c r="J13" i="1" a="1"/>
  <c r="J13" i="1"/>
  <c r="K13" i="1" a="1"/>
  <c r="K13" i="1" s="1"/>
  <c r="L13" i="1" a="1"/>
  <c r="L13" i="1"/>
  <c r="I14" i="1" a="1"/>
  <c r="I14" i="1" s="1"/>
  <c r="J14" i="1" a="1"/>
  <c r="J14" i="1"/>
  <c r="K14" i="1" a="1"/>
  <c r="K14" i="1" s="1"/>
  <c r="L14" i="1" a="1"/>
  <c r="L14" i="1"/>
  <c r="I15" i="1" a="1"/>
  <c r="I15" i="1" s="1"/>
  <c r="J15" i="1" a="1"/>
  <c r="J15" i="1"/>
  <c r="K15" i="1" a="1"/>
  <c r="K15" i="1" s="1"/>
  <c r="L15" i="1" a="1"/>
  <c r="L15" i="1" s="1"/>
  <c r="J4" i="1" a="1"/>
  <c r="J4" i="1" s="1"/>
  <c r="K4" i="1" a="1"/>
  <c r="K4" i="1"/>
  <c r="L4" i="1" a="1"/>
  <c r="L4" i="1" s="1"/>
  <c r="I4" i="1" a="1"/>
  <c r="I4" i="1" s="1"/>
  <c r="H5" i="1"/>
  <c r="H4" i="1"/>
  <c r="AD3" i="1"/>
  <c r="AC3" i="1"/>
  <c r="AB3" i="1"/>
  <c r="AA3" i="1"/>
  <c r="Z3" i="1"/>
  <c r="P3" i="1" s="1"/>
  <c r="Y3" i="1"/>
  <c r="O3" i="1" s="1"/>
  <c r="X3" i="1"/>
  <c r="N3" i="1" s="1"/>
  <c r="W3" i="1"/>
  <c r="M3" i="1" s="1"/>
  <c r="V3" i="1"/>
  <c r="L3" i="1" s="1"/>
  <c r="U3" i="1"/>
  <c r="K3" i="1" s="1"/>
  <c r="T3" i="1"/>
  <c r="J3" i="1" s="1"/>
  <c r="S3" i="1"/>
  <c r="I3" i="1" s="1"/>
  <c r="B32" i="1"/>
  <c r="B31" i="1"/>
  <c r="B30" i="1"/>
  <c r="B29" i="1"/>
  <c r="B28" i="1"/>
  <c r="B27" i="1"/>
  <c r="B26" i="1"/>
  <c r="B25" i="1"/>
  <c r="F15" i="1"/>
  <c r="F14" i="1"/>
  <c r="F13" i="1"/>
  <c r="F12" i="1"/>
  <c r="F11" i="1"/>
  <c r="F10" i="1"/>
  <c r="F9" i="1"/>
  <c r="F8" i="1"/>
  <c r="F7" i="1"/>
  <c r="F6" i="1"/>
  <c r="S7" i="1" l="1"/>
  <c r="T7" i="1" s="1"/>
  <c r="U7" i="1" s="1"/>
  <c r="V7" i="1" s="1"/>
  <c r="S8" i="1"/>
  <c r="T8" i="1" s="1"/>
  <c r="U8" i="1" s="1"/>
  <c r="S15" i="1"/>
  <c r="T15" i="1" s="1"/>
  <c r="U15" i="1" s="1"/>
  <c r="V15" i="1" s="1"/>
  <c r="W15" i="1" s="1"/>
  <c r="X15" i="1" s="1"/>
  <c r="Y15" i="1" s="1"/>
  <c r="Z15" i="1" s="1"/>
  <c r="S10" i="1"/>
  <c r="T10" i="1" s="1"/>
  <c r="U10" i="1" s="1"/>
  <c r="S14" i="1"/>
  <c r="T14" i="1" s="1"/>
  <c r="U14" i="1" s="1"/>
  <c r="V14" i="1" s="1"/>
  <c r="W14" i="1" s="1"/>
  <c r="X14" i="1" s="1"/>
  <c r="Y14" i="1" s="1"/>
  <c r="Z14" i="1" s="1"/>
  <c r="S13" i="1"/>
  <c r="T13" i="1" s="1"/>
  <c r="U13" i="1" s="1"/>
  <c r="V13" i="1" s="1"/>
  <c r="W13" i="1" s="1"/>
  <c r="X13" i="1" s="1"/>
  <c r="Y13" i="1" s="1"/>
  <c r="Z13" i="1" s="1"/>
  <c r="S5" i="1"/>
  <c r="T5" i="1" s="1"/>
  <c r="U5" i="1" s="1"/>
  <c r="V5" i="1" s="1"/>
  <c r="W5" i="1" s="1"/>
  <c r="X5" i="1" s="1"/>
  <c r="Y5" i="1" s="1"/>
  <c r="Z5" i="1" s="1"/>
  <c r="AA5" i="1" s="1"/>
  <c r="S6" i="1"/>
  <c r="T6" i="1" s="1"/>
  <c r="U6" i="1" s="1"/>
  <c r="V6" i="1" s="1"/>
  <c r="S12" i="1"/>
  <c r="T12" i="1" s="1"/>
  <c r="S11" i="1"/>
  <c r="T11" i="1" s="1"/>
  <c r="S4" i="1"/>
  <c r="S9" i="1"/>
  <c r="T9" i="1" s="1"/>
  <c r="U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Utilisateur</author>
  </authors>
  <commentList>
    <comment ref="G4" authorId="0" shapeId="0" xr:uid="{FB766368-D47F-4953-8025-0A82F59C8DF1}">
      <text>
        <r>
          <rPr>
            <b/>
            <u/>
            <sz val="12"/>
            <color indexed="81"/>
            <rFont val="Tahoma"/>
            <family val="2"/>
          </rPr>
          <t>Julien:</t>
        </r>
        <r>
          <rPr>
            <sz val="9"/>
            <color indexed="81"/>
            <rFont val="Tahoma"/>
            <family val="2"/>
          </rPr>
          <t xml:space="preserve">
En fonction de mon "produit de vente" 
P = portion de 0,27 kg 
G = grosse truite de 1 kg 
Tg = très grosse truite de 2,7 kg
je voudrais que cela me calcule automatiquement mon tonnage à vendre ? Dans la colonne H. 
Puis par exemple ma ligne 4 : mes 4 tonnes de portions arrivent à la vente en avril 23. mais je ne vends pas tous en Avril 23. je les vend selon la répartiton Ligne21. 
est il possible de remplir en fonction du produit, du premier mois de vente, des % de répartitions des ventes, les quantités vendues par moi et ceux pour toutes les lignes 
et après je vais essayer de mettre cela dans un TCD ? 
</t>
        </r>
      </text>
    </comment>
    <comment ref="S4" authorId="0" shapeId="0" xr:uid="{9ACCA804-D9E0-410E-A6D5-1EFF6E71C1A9}">
      <text>
        <r>
          <rPr>
            <b/>
            <sz val="9"/>
            <color indexed="81"/>
            <rFont val="Tahoma"/>
            <family val="2"/>
          </rPr>
          <t xml:space="preserve">Julien :
Poisson vendue = 1er mois de vente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<sst xmlns="http://schemas.openxmlformats.org/spreadsheetml/2006/main" count="42" uniqueCount="33">
  <si>
    <t>91 3 06 22</t>
  </si>
  <si>
    <t>91 3 07 21</t>
  </si>
  <si>
    <t>91 3 11 21</t>
  </si>
  <si>
    <t xml:space="preserve">Code lot </t>
  </si>
  <si>
    <t xml:space="preserve">Bassin </t>
  </si>
  <si>
    <t xml:space="preserve">Nombre de poissons </t>
  </si>
  <si>
    <t xml:space="preserve">Poids moyen (gr) </t>
  </si>
  <si>
    <t>Biomasse (kg)</t>
  </si>
  <si>
    <t>Données de départs</t>
  </si>
  <si>
    <t xml:space="preserve">Gamme de poids </t>
  </si>
  <si>
    <t xml:space="preserve">Gain de poids </t>
  </si>
  <si>
    <t xml:space="preserve">Principe de croissance </t>
  </si>
  <si>
    <t>Mois de départ</t>
  </si>
  <si>
    <t xml:space="preserve">Produit vente </t>
  </si>
  <si>
    <t xml:space="preserve">G </t>
  </si>
  <si>
    <t>Tg</t>
  </si>
  <si>
    <t>Objectif poids de vente (Kg)</t>
  </si>
  <si>
    <t>Poids total à vendre (Tonnes)</t>
  </si>
  <si>
    <t xml:space="preserve">Produit </t>
  </si>
  <si>
    <t xml:space="preserve">Répartition des ventes </t>
  </si>
  <si>
    <t xml:space="preserve">Etalement des ventes en mois </t>
  </si>
  <si>
    <t>Mois 1</t>
  </si>
  <si>
    <t>Mois 2</t>
  </si>
  <si>
    <t>Mois 3</t>
  </si>
  <si>
    <t>Mois 4</t>
  </si>
  <si>
    <t>Répartiton des ventes (%)</t>
  </si>
  <si>
    <t>etc.</t>
  </si>
  <si>
    <t>1ère partie du fichier = simulateur de croissance</t>
  </si>
  <si>
    <t>2ème partie du fichier = prévision des ventes</t>
  </si>
  <si>
    <t xml:space="preserve">SOURCE DE DONNEE DE DEPART </t>
  </si>
  <si>
    <t>P</t>
  </si>
  <si>
    <t>p</t>
  </si>
  <si>
    <t>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</si>
</sst>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C]mmm\-yy;@"/>
    <numFmt numFmtId="165" formatCode="#,##0.0"/>
  </numFmts>
  <fonts count="8" x14ac:knownFonts="1">
    <font>
      <sz val="11"/>
      <color theme="1"/>
      <name val="Calibri"/>
      <family val="2"/>
      <scheme val="minor"/>
    </font>
    <font>
      <sz val="11"/>
      <color rgb="FFFF0000"/>
      <name val="Calibri"/>
      <family val="2"/>
      <scheme val="minor"/>
    </font>
    <font>
      <sz val="8"/>
      <name val="Calibri"/>
      <family val="2"/>
      <scheme val="minor"/>
    </font>
    <font>
      <b/>
      <sz val="11"/>
      <color theme="1"/>
      <name val="Calibri"/>
      <family val="2"/>
      <scheme val="minor"/>
    </font>
    <font>
      <sz val="11"/>
      <color rgb="FF00B0F0"/>
      <name val="Calibri"/>
      <family val="2"/>
      <scheme val="minor"/>
    </font>
    <font>
      <sz val="9"/>
      <color indexed="81"/>
      <name val="Tahoma"/>
      <family val="2"/>
    </font>
    <font>
      <b/>
      <sz val="9"/>
      <color indexed="81"/>
      <name val="Tahoma"/>
      <family val="2"/>
    </font>
    <font>
      <b/>
      <u/>
      <sz val="12"/>
      <color indexed="81"/>
      <name val="Tahoma"/>
      <family val="2"/>
    </font>
  </fonts>
  <fills count="6">
    <fill>
      <patternFill patternType="none"/>
    </fill>
    <fill>
      <patternFill patternType="gray125"/>
    </fill>
    <fill>
      <patternFill patternType="solid">
        <fgColor theme="4" tint="0.79998168889431442"/>
        <bgColor theme="4" tint="0.79998168889431442"/>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3">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theme="4" tint="0.39997558519241921"/>
      </left>
      <right/>
      <top style="thin">
        <color theme="4" tint="0.39997558519241921"/>
      </top>
      <bottom style="medium">
        <color indexed="64"/>
      </bottom>
      <diagonal/>
    </border>
    <border>
      <left/>
      <right/>
      <top style="thin">
        <color theme="4" tint="0.39997558519241921"/>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2">
    <xf numFmtId="0" fontId="0" fillId="0" borderId="0" xfId="0"/>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3" fontId="0" fillId="2" borderId="2" xfId="0" applyNumberFormat="1" applyFill="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3" fontId="0" fillId="0" borderId="2" xfId="0" applyNumberForma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3" fontId="0" fillId="0" borderId="9" xfId="0" applyNumberFormat="1" applyBorder="1" applyAlignment="1">
      <alignment horizontal="center" vertical="center" wrapText="1"/>
    </xf>
    <xf numFmtId="0" fontId="0" fillId="0" borderId="5" xfId="0" applyBorder="1" applyAlignment="1">
      <alignment horizontal="center"/>
    </xf>
    <xf numFmtId="0" fontId="0" fillId="0" borderId="0" xfId="0" applyAlignment="1">
      <alignment horizontal="center"/>
    </xf>
    <xf numFmtId="0" fontId="0" fillId="0" borderId="11" xfId="0" applyBorder="1" applyAlignment="1">
      <alignment horizontal="center"/>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3" fontId="0" fillId="4" borderId="0" xfId="0" applyNumberFormat="1" applyFill="1" applyAlignment="1">
      <alignment horizontal="center" vertical="center" wrapText="1"/>
    </xf>
    <xf numFmtId="14" fontId="1" fillId="0" borderId="0" xfId="0" applyNumberFormat="1" applyFont="1" applyAlignment="1">
      <alignment horizontal="center" vertical="center" wrapText="1"/>
    </xf>
    <xf numFmtId="0" fontId="0" fillId="5" borderId="0" xfId="0" applyFill="1" applyAlignment="1">
      <alignment horizontal="center" vertical="center" wrapText="1"/>
    </xf>
    <xf numFmtId="3" fontId="0" fillId="2" borderId="0" xfId="0" applyNumberFormat="1" applyFill="1" applyAlignment="1">
      <alignment horizontal="center" vertical="center" wrapText="1"/>
    </xf>
    <xf numFmtId="3" fontId="0" fillId="0" borderId="0" xfId="0" applyNumberFormat="1" applyAlignment="1">
      <alignment horizontal="center" vertical="center" wrapText="1"/>
    </xf>
    <xf numFmtId="0" fontId="1" fillId="0" borderId="0" xfId="0" applyFont="1" applyAlignment="1">
      <alignment vertical="center" wrapText="1"/>
    </xf>
    <xf numFmtId="0" fontId="4" fillId="0" borderId="0" xfId="0" applyFont="1" applyAlignment="1">
      <alignment horizontal="center" vertical="center" wrapText="1"/>
    </xf>
    <xf numFmtId="0" fontId="4" fillId="0" borderId="10" xfId="0" applyFont="1" applyBorder="1" applyAlignment="1">
      <alignment horizontal="center"/>
    </xf>
    <xf numFmtId="0" fontId="4" fillId="0" borderId="12" xfId="0" applyFont="1" applyBorder="1" applyAlignment="1">
      <alignment horizontal="center"/>
    </xf>
    <xf numFmtId="164" fontId="0" fillId="0" borderId="0" xfId="0" applyNumberFormat="1" applyAlignment="1">
      <alignment horizontal="center" vertical="center" wrapText="1"/>
    </xf>
    <xf numFmtId="0" fontId="0" fillId="0" borderId="0" xfId="0" applyAlignment="1">
      <alignment vertical="center" wrapText="1"/>
    </xf>
    <xf numFmtId="165" fontId="0" fillId="2" borderId="0" xfId="0" applyNumberFormat="1" applyFill="1" applyAlignment="1">
      <alignment horizontal="center" vertical="center" wrapText="1"/>
    </xf>
    <xf numFmtId="164" fontId="0" fillId="3" borderId="4"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0" fontId="0" fillId="0" borderId="10" xfId="0" applyBorder="1" applyAlignment="1">
      <alignment horizontal="center" vertical="center" wrapText="1"/>
    </xf>
    <xf numFmtId="3" fontId="0" fillId="4" borderId="11" xfId="0" applyNumberFormat="1" applyFill="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3" fontId="0" fillId="5" borderId="0" xfId="0" applyNumberFormat="1" applyFill="1" applyAlignment="1">
      <alignment horizontal="center" vertical="center" wrapText="1"/>
    </xf>
    <xf numFmtId="164" fontId="0" fillId="0" borderId="10" xfId="0" applyNumberFormat="1" applyBorder="1" applyAlignment="1">
      <alignment horizontal="center" vertical="center" wrapText="1"/>
    </xf>
    <xf numFmtId="3" fontId="0" fillId="2" borderId="6" xfId="0" applyNumberFormat="1" applyFill="1" applyBorder="1" applyAlignment="1">
      <alignment horizontal="center" vertical="center" wrapText="1"/>
    </xf>
    <xf numFmtId="3" fontId="0" fillId="2" borderId="10" xfId="0" applyNumberFormat="1" applyFill="1" applyBorder="1" applyAlignment="1">
      <alignment horizontal="center" vertical="center" wrapText="1"/>
    </xf>
    <xf numFmtId="3" fontId="0" fillId="0" borderId="6" xfId="0" applyNumberFormat="1" applyBorder="1" applyAlignment="1">
      <alignment horizontal="center" vertical="center" wrapText="1"/>
    </xf>
    <xf numFmtId="3" fontId="0" fillId="0" borderId="10" xfId="0" applyNumberFormat="1" applyBorder="1" applyAlignment="1">
      <alignment horizontal="center" vertical="center" wrapText="1"/>
    </xf>
    <xf numFmtId="3" fontId="0" fillId="0" borderId="7" xfId="0" applyNumberFormat="1" applyBorder="1" applyAlignment="1">
      <alignment horizontal="center" vertical="center" wrapText="1"/>
    </xf>
    <xf numFmtId="3" fontId="0" fillId="0" borderId="11" xfId="0" applyNumberFormat="1" applyBorder="1" applyAlignment="1">
      <alignment horizontal="center" vertical="center" wrapText="1"/>
    </xf>
    <xf numFmtId="3" fontId="0" fillId="0" borderId="12" xfId="0" applyNumberForma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0" xfId="0" applyFont="1" applyAlignment="1">
      <alignment horizontal="center" vertical="center" wrapText="1"/>
    </xf>
    <xf numFmtId="3" fontId="3" fillId="0" borderId="7" xfId="0" applyNumberFormat="1" applyFont="1" applyBorder="1" applyAlignment="1">
      <alignment horizontal="center" vertical="center" wrapText="1"/>
    </xf>
    <xf numFmtId="3" fontId="3" fillId="0" borderId="11"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4" xfId="0" applyBorder="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cellXfs>
  <cellStyles count="1">
    <cellStyle name="Standaard" xfId="0" builtinId="0"/>
  </cellStyles>
  <dxfs count="1">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0787D-C011-4F81-8317-B94E156BAE99}">
  <sheetPr codeName="Blad1"/>
  <dimension ref="A1:AD32"/>
  <sheetViews>
    <sheetView tabSelected="1" zoomScale="90" zoomScaleNormal="90" workbookViewId="0">
      <selection activeCell="H5" sqref="H5"/>
    </sheetView>
  </sheetViews>
  <sheetFormatPr defaultColWidth="11.5703125" defaultRowHeight="15" x14ac:dyDescent="0.25"/>
  <cols>
    <col min="1" max="3" width="11.5703125" style="1"/>
    <col min="4" max="4" width="12.42578125" style="1" customWidth="1"/>
    <col min="5" max="6" width="11.5703125" style="1"/>
    <col min="7" max="7" width="10.140625" style="1" bestFit="1" customWidth="1"/>
    <col min="8" max="8" width="14.5703125" style="1" bestFit="1" customWidth="1"/>
    <col min="9" max="10" width="7.28515625" style="1" bestFit="1" customWidth="1"/>
    <col min="11" max="12" width="7.42578125" style="1" bestFit="1" customWidth="1"/>
    <col min="13" max="13" width="7.85546875" style="1" bestFit="1" customWidth="1"/>
    <col min="14" max="14" width="8.140625" style="1" bestFit="1" customWidth="1"/>
    <col min="15" max="15" width="7.140625" style="1" bestFit="1" customWidth="1"/>
    <col min="16" max="16" width="7.5703125" style="1" bestFit="1" customWidth="1"/>
    <col min="17" max="17" width="4.28515625" style="1" bestFit="1" customWidth="1"/>
    <col min="18" max="18" width="6.85546875" style="1" customWidth="1"/>
    <col min="19" max="20" width="6.7109375" style="1" bestFit="1" customWidth="1"/>
    <col min="21" max="22" width="6.85546875" style="1" bestFit="1" customWidth="1"/>
    <col min="23" max="23" width="7.42578125" style="1" bestFit="1" customWidth="1"/>
    <col min="24" max="24" width="7.85546875" style="1" bestFit="1" customWidth="1"/>
    <col min="25" max="25" width="6.85546875" style="1" bestFit="1" customWidth="1"/>
    <col min="26" max="27" width="7.28515625" style="1" bestFit="1" customWidth="1"/>
    <col min="28" max="30" width="7.7109375" style="1" bestFit="1" customWidth="1"/>
    <col min="31" max="16384" width="11.5703125" style="1"/>
  </cols>
  <sheetData>
    <row r="1" spans="1:30" ht="30.75" thickBot="1" x14ac:dyDescent="0.3">
      <c r="E1" s="21" t="s">
        <v>12</v>
      </c>
    </row>
    <row r="2" spans="1:30" ht="15" customHeight="1" thickBot="1" x14ac:dyDescent="0.3">
      <c r="E2" s="20">
        <v>45000</v>
      </c>
      <c r="G2" s="16"/>
      <c r="H2" s="8"/>
      <c r="I2" s="60" t="s">
        <v>19</v>
      </c>
      <c r="J2" s="60"/>
      <c r="K2" s="60"/>
      <c r="L2" s="60"/>
      <c r="M2" s="8"/>
      <c r="N2" s="8"/>
      <c r="O2" s="8"/>
      <c r="P2" s="8"/>
      <c r="Q2" s="8"/>
      <c r="R2" s="9"/>
    </row>
    <row r="3" spans="1:30" ht="49.15" customHeight="1" x14ac:dyDescent="0.25">
      <c r="A3" s="56" t="s">
        <v>8</v>
      </c>
      <c r="B3" s="8" t="s">
        <v>3</v>
      </c>
      <c r="C3" s="8" t="s">
        <v>4</v>
      </c>
      <c r="D3" s="8" t="s">
        <v>5</v>
      </c>
      <c r="E3" s="8" t="s">
        <v>6</v>
      </c>
      <c r="F3" s="8" t="s">
        <v>7</v>
      </c>
      <c r="G3" s="17" t="s">
        <v>18</v>
      </c>
      <c r="H3" s="1" t="s">
        <v>17</v>
      </c>
      <c r="I3" s="28">
        <f>S3</f>
        <v>45031</v>
      </c>
      <c r="J3" s="28">
        <f t="shared" ref="J3:L3" si="0">T3</f>
        <v>45061</v>
      </c>
      <c r="K3" s="28">
        <f t="shared" si="0"/>
        <v>45092</v>
      </c>
      <c r="L3" s="28">
        <f t="shared" si="0"/>
        <v>45122</v>
      </c>
      <c r="M3" s="28">
        <f t="shared" ref="M3" si="1">W3</f>
        <v>45153</v>
      </c>
      <c r="N3" s="28">
        <f t="shared" ref="N3" si="2">X3</f>
        <v>45184</v>
      </c>
      <c r="O3" s="28">
        <f t="shared" ref="O3" si="3">Y3</f>
        <v>45214</v>
      </c>
      <c r="P3" s="28">
        <f t="shared" ref="P3" si="4">Z3</f>
        <v>45245</v>
      </c>
      <c r="Q3" s="28" t="s">
        <v>26</v>
      </c>
      <c r="R3" s="38"/>
      <c r="S3" s="31">
        <f>EDATE($E$2,1)</f>
        <v>45031</v>
      </c>
      <c r="T3" s="31">
        <f>EDATE($E$2,2)</f>
        <v>45061</v>
      </c>
      <c r="U3" s="31">
        <f>EDATE($E$2,3)</f>
        <v>45092</v>
      </c>
      <c r="V3" s="31">
        <f>EDATE($E$2,4)</f>
        <v>45122</v>
      </c>
      <c r="W3" s="31">
        <f>EDATE($E$2,5)</f>
        <v>45153</v>
      </c>
      <c r="X3" s="31">
        <f>EDATE($E$2,6)</f>
        <v>45184</v>
      </c>
      <c r="Y3" s="31">
        <f>EDATE($E$2,7)</f>
        <v>45214</v>
      </c>
      <c r="Z3" s="31">
        <f>EDATE($E$2,8)</f>
        <v>45245</v>
      </c>
      <c r="AA3" s="31">
        <f>EDATE($E$2,9)</f>
        <v>45275</v>
      </c>
      <c r="AB3" s="31">
        <f>EDATE($E$2,10)</f>
        <v>45306</v>
      </c>
      <c r="AC3" s="31">
        <f>EDATE($E$2,11)</f>
        <v>45337</v>
      </c>
      <c r="AD3" s="32">
        <f>EDATE($E$2,12)</f>
        <v>45366</v>
      </c>
    </row>
    <row r="4" spans="1:30" x14ac:dyDescent="0.25">
      <c r="A4" s="57"/>
      <c r="B4" s="2" t="s">
        <v>0</v>
      </c>
      <c r="C4" s="3">
        <v>22</v>
      </c>
      <c r="D4" s="4">
        <v>14704</v>
      </c>
      <c r="E4" s="4">
        <v>176.89</v>
      </c>
      <c r="F4" s="4">
        <v>2601</v>
      </c>
      <c r="G4" s="39" t="s">
        <v>31</v>
      </c>
      <c r="H4" s="22">
        <f>D4*$G$21/1000</f>
        <v>3.9700800000000003</v>
      </c>
      <c r="I4" s="30" cm="1">
        <f t="array" ref="I4">IF(COUNTA($G4:$H4)=2,$H4/100*INDEX($I$21:$L$23,MATCH($G4,$F$21:$F$23,0),COLUMN()-COLUMN($H4)),"-")</f>
        <v>1.1910240000000001</v>
      </c>
      <c r="J4" s="30" cm="1">
        <f t="array" ref="J4">IF(COUNTA($G4:$H4)=2,$H4/100*INDEX($I$21:$L$23,MATCH($G4,$F$21:$F$23,0),COLUMN()-COLUMN($H4)),"-")</f>
        <v>2.3820480000000002</v>
      </c>
      <c r="K4" s="30" cm="1">
        <f t="array" ref="K4">IF(COUNTA($G4:$H4)=2,$H4/100*INDEX($I$21:$L$23,MATCH($G4,$F$21:$F$23,0),COLUMN()-COLUMN($H4)),"-")</f>
        <v>0.39700800000000003</v>
      </c>
      <c r="L4" s="30" cm="1">
        <f t="array" ref="L4">IF(COUNTA($G4:$H4)=2,$H4/100*INDEX($I$21:$L$23,MATCH($G4,$F$21:$F$23,0),COLUMN()-COLUMN($H4)),"-")</f>
        <v>0</v>
      </c>
      <c r="M4" s="22"/>
      <c r="N4" s="22"/>
      <c r="O4" s="22"/>
      <c r="P4" s="22"/>
      <c r="Q4" s="22"/>
      <c r="R4" s="40"/>
      <c r="S4" s="37">
        <f t="shared" ref="S4:S15" si="5">MIN(3000,E4+VLOOKUP(E4,$B$21:$D$32,3,1))</f>
        <v>276.89</v>
      </c>
      <c r="T4" s="19"/>
      <c r="U4" s="19"/>
      <c r="V4" s="19"/>
      <c r="W4" s="19"/>
      <c r="X4" s="19"/>
      <c r="Y4" s="19"/>
      <c r="Z4" s="19"/>
      <c r="AA4" s="19"/>
      <c r="AD4" s="33"/>
    </row>
    <row r="5" spans="1:30" x14ac:dyDescent="0.25">
      <c r="A5" s="57"/>
      <c r="B5" s="5" t="s">
        <v>0</v>
      </c>
      <c r="C5" s="6">
        <v>11</v>
      </c>
      <c r="D5" s="7">
        <v>40083</v>
      </c>
      <c r="E5" s="7">
        <v>202.44</v>
      </c>
      <c r="F5" s="7">
        <v>8114.42</v>
      </c>
      <c r="G5" s="41" t="s">
        <v>32</v>
      </c>
      <c r="H5" s="23">
        <f>D5*$G$23/1000</f>
        <v>108.22410000000001</v>
      </c>
      <c r="I5" s="30" cm="1">
        <f t="array" ref="I5">IF(COUNTA($G5:$H5)=2,$H5/100*INDEX($I$21:$L$23,MATCH($G5,$F$21:$F$23,0),COLUMN()-COLUMN($H5)),"-")</f>
        <v>21.644819999999999</v>
      </c>
      <c r="J5" s="30" cm="1">
        <f t="array" ref="J5">IF(COUNTA($G5:$H5)=2,$H5/100*INDEX($I$21:$L$23,MATCH($G5,$F$21:$F$23,0),COLUMN()-COLUMN($H5)),"-")</f>
        <v>21.644819999999999</v>
      </c>
      <c r="K5" s="30" cm="1">
        <f t="array" ref="K5">IF(COUNTA($G5:$H5)=2,$H5/100*INDEX($I$21:$L$23,MATCH($G5,$F$21:$F$23,0),COLUMN()-COLUMN($H5)),"-")</f>
        <v>43.289639999999999</v>
      </c>
      <c r="L5" s="30" cm="1">
        <f t="array" ref="L5">IF(COUNTA($G5:$H5)=2,$H5/100*INDEX($I$21:$L$23,MATCH($G5,$F$21:$F$23,0),COLUMN()-COLUMN($H5)),"-")</f>
        <v>21.644819999999999</v>
      </c>
      <c r="M5" s="23"/>
      <c r="N5" s="23"/>
      <c r="O5" s="23"/>
      <c r="P5" s="23"/>
      <c r="Q5" s="23"/>
      <c r="R5" s="42"/>
      <c r="S5" s="19">
        <f t="shared" si="5"/>
        <v>352.44</v>
      </c>
      <c r="T5" s="19">
        <f t="shared" ref="T5:AA5" si="6">MIN(3000,S5+VLOOKUP(S5,$B$21:$D$32,3,1))</f>
        <v>552.44000000000005</v>
      </c>
      <c r="U5" s="19">
        <f t="shared" si="6"/>
        <v>792.44</v>
      </c>
      <c r="V5" s="19">
        <f t="shared" si="6"/>
        <v>1092.44</v>
      </c>
      <c r="W5" s="19">
        <f t="shared" si="6"/>
        <v>1442.44</v>
      </c>
      <c r="X5" s="19">
        <f t="shared" si="6"/>
        <v>1812.44</v>
      </c>
      <c r="Y5" s="19">
        <f t="shared" si="6"/>
        <v>2212.44</v>
      </c>
      <c r="Z5" s="19">
        <f t="shared" si="6"/>
        <v>2612.44</v>
      </c>
      <c r="AA5" s="19">
        <f t="shared" si="6"/>
        <v>3000</v>
      </c>
      <c r="AD5" s="33"/>
    </row>
    <row r="6" spans="1:30" x14ac:dyDescent="0.25">
      <c r="A6" s="57"/>
      <c r="B6" s="2" t="s">
        <v>1</v>
      </c>
      <c r="C6" s="3">
        <v>21</v>
      </c>
      <c r="D6" s="4">
        <v>3173</v>
      </c>
      <c r="E6" s="4">
        <v>1554.89</v>
      </c>
      <c r="F6" s="4">
        <f>D6*(E6/1000)</f>
        <v>4933.66597</v>
      </c>
      <c r="G6" s="39"/>
      <c r="H6" s="22"/>
      <c r="I6" s="30" t="str" cm="1">
        <f t="array" ref="I6">IF(COUNTA($G6:$H6)=2,$H6/100*INDEX($I$21:$L$23,MATCH($G6,$F$21:$F$23,0),COLUMN()-COLUMN($H6)),"-")</f>
        <v>-</v>
      </c>
      <c r="J6" s="30" t="str" cm="1">
        <f t="array" ref="J6">IF(COUNTA($G6:$H6)=2,$H6/100*INDEX($I$21:$L$23,MATCH($G6,$F$21:$F$23,0),COLUMN()-COLUMN($H6)),"-")</f>
        <v>-</v>
      </c>
      <c r="K6" s="30" t="str" cm="1">
        <f t="array" ref="K6">IF(COUNTA($G6:$H6)=2,$H6/100*INDEX($I$21:$L$23,MATCH($G6,$F$21:$F$23,0),COLUMN()-COLUMN($H6)),"-")</f>
        <v>-</v>
      </c>
      <c r="L6" s="30" t="str" cm="1">
        <f t="array" ref="L6">IF(COUNTA($G6:$H6)=2,$H6/100*INDEX($I$21:$L$23,MATCH($G6,$F$21:$F$23,0),COLUMN()-COLUMN($H6)),"-")</f>
        <v>-</v>
      </c>
      <c r="M6" s="22"/>
      <c r="N6" s="22"/>
      <c r="O6" s="22"/>
      <c r="P6" s="22"/>
      <c r="Q6" s="22"/>
      <c r="R6" s="40"/>
      <c r="S6" s="19">
        <f t="shared" si="5"/>
        <v>1924.89</v>
      </c>
      <c r="T6" s="19">
        <f t="shared" ref="T6:V7" si="7">MIN(3000,S6+VLOOKUP(S6,$B$21:$D$32,3,1))</f>
        <v>2324.8900000000003</v>
      </c>
      <c r="U6" s="19">
        <f t="shared" si="7"/>
        <v>2724.8900000000003</v>
      </c>
      <c r="V6" s="19">
        <f t="shared" si="7"/>
        <v>3000</v>
      </c>
      <c r="W6" s="19"/>
      <c r="X6" s="19"/>
      <c r="Y6" s="19"/>
      <c r="Z6" s="19"/>
      <c r="AA6" s="19"/>
      <c r="AD6" s="33"/>
    </row>
    <row r="7" spans="1:30" x14ac:dyDescent="0.25">
      <c r="A7" s="57"/>
      <c r="B7" s="5" t="s">
        <v>1</v>
      </c>
      <c r="C7" s="6">
        <v>6</v>
      </c>
      <c r="D7" s="7">
        <v>5750</v>
      </c>
      <c r="E7" s="7">
        <v>1693.87</v>
      </c>
      <c r="F7" s="7">
        <f t="shared" ref="F7:F15" si="8">D7*(E7/1000)</f>
        <v>9739.7525000000005</v>
      </c>
      <c r="G7" s="41"/>
      <c r="H7" s="23"/>
      <c r="I7" s="30" t="str" cm="1">
        <f t="array" ref="I7">IF(COUNTA($G7:$H7)=2,$H7/100*INDEX($I$21:$L$23,MATCH($G7,$F$21:$F$23,0),COLUMN()-COLUMN($H7)),"-")</f>
        <v>-</v>
      </c>
      <c r="J7" s="30" t="str" cm="1">
        <f t="array" ref="J7">IF(COUNTA($G7:$H7)=2,$H7/100*INDEX($I$21:$L$23,MATCH($G7,$F$21:$F$23,0),COLUMN()-COLUMN($H7)),"-")</f>
        <v>-</v>
      </c>
      <c r="K7" s="30" t="str" cm="1">
        <f t="array" ref="K7">IF(COUNTA($G7:$H7)=2,$H7/100*INDEX($I$21:$L$23,MATCH($G7,$F$21:$F$23,0),COLUMN()-COLUMN($H7)),"-")</f>
        <v>-</v>
      </c>
      <c r="L7" s="30" t="str" cm="1">
        <f t="array" ref="L7">IF(COUNTA($G7:$H7)=2,$H7/100*INDEX($I$21:$L$23,MATCH($G7,$F$21:$F$23,0),COLUMN()-COLUMN($H7)),"-")</f>
        <v>-</v>
      </c>
      <c r="M7" s="23"/>
      <c r="N7" s="23"/>
      <c r="O7" s="23"/>
      <c r="P7" s="23"/>
      <c r="Q7" s="23"/>
      <c r="R7" s="42"/>
      <c r="S7" s="19">
        <f t="shared" si="5"/>
        <v>2093.87</v>
      </c>
      <c r="T7" s="19">
        <f t="shared" si="7"/>
        <v>2493.87</v>
      </c>
      <c r="U7" s="19">
        <f t="shared" si="7"/>
        <v>2893.87</v>
      </c>
      <c r="V7" s="19">
        <f t="shared" si="7"/>
        <v>3000</v>
      </c>
      <c r="W7" s="19"/>
      <c r="X7" s="19"/>
      <c r="Y7" s="19"/>
      <c r="Z7" s="19"/>
      <c r="AA7" s="19"/>
      <c r="AD7" s="33"/>
    </row>
    <row r="8" spans="1:30" x14ac:dyDescent="0.25">
      <c r="A8" s="57"/>
      <c r="B8" s="2" t="s">
        <v>1</v>
      </c>
      <c r="C8" s="3">
        <v>8</v>
      </c>
      <c r="D8" s="4">
        <v>5922</v>
      </c>
      <c r="E8" s="4">
        <v>1807.26</v>
      </c>
      <c r="F8" s="4">
        <f t="shared" si="8"/>
        <v>10702.593720000001</v>
      </c>
      <c r="G8" s="39"/>
      <c r="H8" s="22"/>
      <c r="I8" s="30" t="str" cm="1">
        <f t="array" ref="I8">IF(COUNTA($G8:$H8)=2,$H8/100*INDEX($I$21:$L$23,MATCH($G8,$F$21:$F$23,0),COLUMN()-COLUMN($H8)),"-")</f>
        <v>-</v>
      </c>
      <c r="J8" s="30" t="str" cm="1">
        <f t="array" ref="J8">IF(COUNTA($G8:$H8)=2,$H8/100*INDEX($I$21:$L$23,MATCH($G8,$F$21:$F$23,0),COLUMN()-COLUMN($H8)),"-")</f>
        <v>-</v>
      </c>
      <c r="K8" s="30" t="str" cm="1">
        <f t="array" ref="K8">IF(COUNTA($G8:$H8)=2,$H8/100*INDEX($I$21:$L$23,MATCH($G8,$F$21:$F$23,0),COLUMN()-COLUMN($H8)),"-")</f>
        <v>-</v>
      </c>
      <c r="L8" s="30" t="str" cm="1">
        <f t="array" ref="L8">IF(COUNTA($G8:$H8)=2,$H8/100*INDEX($I$21:$L$23,MATCH($G8,$F$21:$F$23,0),COLUMN()-COLUMN($H8)),"-")</f>
        <v>-</v>
      </c>
      <c r="M8" s="22"/>
      <c r="N8" s="22"/>
      <c r="O8" s="22"/>
      <c r="P8" s="22"/>
      <c r="Q8" s="22"/>
      <c r="R8" s="40"/>
      <c r="S8" s="19">
        <f t="shared" si="5"/>
        <v>2207.2600000000002</v>
      </c>
      <c r="T8" s="19">
        <f t="shared" ref="T8:U10" si="9">MIN(3000,S8+VLOOKUP(S8,$B$21:$D$32,3,1))</f>
        <v>2607.2600000000002</v>
      </c>
      <c r="U8" s="19">
        <f t="shared" si="9"/>
        <v>3000</v>
      </c>
      <c r="V8" s="19"/>
      <c r="W8" s="19"/>
      <c r="X8" s="19"/>
      <c r="Y8" s="19"/>
      <c r="Z8" s="19"/>
      <c r="AA8" s="19"/>
      <c r="AD8" s="33"/>
    </row>
    <row r="9" spans="1:30" x14ac:dyDescent="0.25">
      <c r="A9" s="57"/>
      <c r="B9" s="5" t="s">
        <v>1</v>
      </c>
      <c r="C9" s="6">
        <v>20</v>
      </c>
      <c r="D9" s="7">
        <v>3895</v>
      </c>
      <c r="E9" s="7">
        <v>2112</v>
      </c>
      <c r="F9" s="7">
        <f t="shared" si="8"/>
        <v>8226.24</v>
      </c>
      <c r="G9" s="41"/>
      <c r="H9" s="23"/>
      <c r="I9" s="30" t="str" cm="1">
        <f t="array" ref="I9">IF(COUNTA($G9:$H9)=2,$H9/100*INDEX($I$21:$L$23,MATCH($G9,$F$21:$F$23,0),COLUMN()-COLUMN($H9)),"-")</f>
        <v>-</v>
      </c>
      <c r="J9" s="30" t="str" cm="1">
        <f t="array" ref="J9">IF(COUNTA($G9:$H9)=2,$H9/100*INDEX($I$21:$L$23,MATCH($G9,$F$21:$F$23,0),COLUMN()-COLUMN($H9)),"-")</f>
        <v>-</v>
      </c>
      <c r="K9" s="30" t="str" cm="1">
        <f t="array" ref="K9">IF(COUNTA($G9:$H9)=2,$H9/100*INDEX($I$21:$L$23,MATCH($G9,$F$21:$F$23,0),COLUMN()-COLUMN($H9)),"-")</f>
        <v>-</v>
      </c>
      <c r="L9" s="30" t="str" cm="1">
        <f t="array" ref="L9">IF(COUNTA($G9:$H9)=2,$H9/100*INDEX($I$21:$L$23,MATCH($G9,$F$21:$F$23,0),COLUMN()-COLUMN($H9)),"-")</f>
        <v>-</v>
      </c>
      <c r="M9" s="23"/>
      <c r="N9" s="23"/>
      <c r="O9" s="23"/>
      <c r="P9" s="23"/>
      <c r="Q9" s="23"/>
      <c r="R9" s="42"/>
      <c r="S9" s="19">
        <f t="shared" si="5"/>
        <v>2512</v>
      </c>
      <c r="T9" s="19">
        <f t="shared" si="9"/>
        <v>2912</v>
      </c>
      <c r="U9" s="19">
        <f t="shared" si="9"/>
        <v>3000</v>
      </c>
      <c r="V9" s="19"/>
      <c r="W9" s="19"/>
      <c r="X9" s="19"/>
      <c r="Y9" s="19"/>
      <c r="Z9" s="19"/>
      <c r="AA9" s="19"/>
      <c r="AD9" s="33"/>
    </row>
    <row r="10" spans="1:30" x14ac:dyDescent="0.25">
      <c r="A10" s="57"/>
      <c r="B10" s="2" t="s">
        <v>1</v>
      </c>
      <c r="C10" s="3">
        <v>3</v>
      </c>
      <c r="D10" s="4">
        <v>5459</v>
      </c>
      <c r="E10" s="4">
        <v>2133</v>
      </c>
      <c r="F10" s="4">
        <f t="shared" si="8"/>
        <v>11644.047</v>
      </c>
      <c r="G10" s="39"/>
      <c r="H10" s="22"/>
      <c r="I10" s="30" t="str" cm="1">
        <f t="array" ref="I10">IF(COUNTA($G10:$H10)=2,$H10/100*INDEX($I$21:$L$23,MATCH($G10,$F$21:$F$23,0),COLUMN()-COLUMN($H10)),"-")</f>
        <v>-</v>
      </c>
      <c r="J10" s="30" t="str" cm="1">
        <f t="array" ref="J10">IF(COUNTA($G10:$H10)=2,$H10/100*INDEX($I$21:$L$23,MATCH($G10,$F$21:$F$23,0),COLUMN()-COLUMN($H10)),"-")</f>
        <v>-</v>
      </c>
      <c r="K10" s="30" t="str" cm="1">
        <f t="array" ref="K10">IF(COUNTA($G10:$H10)=2,$H10/100*INDEX($I$21:$L$23,MATCH($G10,$F$21:$F$23,0),COLUMN()-COLUMN($H10)),"-")</f>
        <v>-</v>
      </c>
      <c r="L10" s="30" t="str" cm="1">
        <f t="array" ref="L10">IF(COUNTA($G10:$H10)=2,$H10/100*INDEX($I$21:$L$23,MATCH($G10,$F$21:$F$23,0),COLUMN()-COLUMN($H10)),"-")</f>
        <v>-</v>
      </c>
      <c r="M10" s="22"/>
      <c r="N10" s="22"/>
      <c r="O10" s="22"/>
      <c r="P10" s="22"/>
      <c r="Q10" s="22"/>
      <c r="R10" s="40"/>
      <c r="S10" s="19">
        <f t="shared" si="5"/>
        <v>2533</v>
      </c>
      <c r="T10" s="19">
        <f t="shared" si="9"/>
        <v>2933</v>
      </c>
      <c r="U10" s="19">
        <f t="shared" si="9"/>
        <v>3000</v>
      </c>
      <c r="V10" s="19"/>
      <c r="W10" s="19"/>
      <c r="X10" s="19"/>
      <c r="Y10" s="19"/>
      <c r="Z10" s="19"/>
      <c r="AA10" s="19"/>
      <c r="AD10" s="33"/>
    </row>
    <row r="11" spans="1:30" x14ac:dyDescent="0.25">
      <c r="A11" s="57"/>
      <c r="B11" s="5" t="s">
        <v>1</v>
      </c>
      <c r="C11" s="6">
        <v>19</v>
      </c>
      <c r="D11" s="7">
        <v>3945</v>
      </c>
      <c r="E11" s="7">
        <v>2200</v>
      </c>
      <c r="F11" s="7">
        <f t="shared" si="8"/>
        <v>8679</v>
      </c>
      <c r="G11" s="41"/>
      <c r="H11" s="23"/>
      <c r="I11" s="30" t="str" cm="1">
        <f t="array" ref="I11">IF(COUNTA($G11:$H11)=2,$H11/100*INDEX($I$21:$L$23,MATCH($G11,$F$21:$F$23,0),COLUMN()-COLUMN($H11)),"-")</f>
        <v>-</v>
      </c>
      <c r="J11" s="30" t="str" cm="1">
        <f t="array" ref="J11">IF(COUNTA($G11:$H11)=2,$H11/100*INDEX($I$21:$L$23,MATCH($G11,$F$21:$F$23,0),COLUMN()-COLUMN($H11)),"-")</f>
        <v>-</v>
      </c>
      <c r="K11" s="30" t="str" cm="1">
        <f t="array" ref="K11">IF(COUNTA($G11:$H11)=2,$H11/100*INDEX($I$21:$L$23,MATCH($G11,$F$21:$F$23,0),COLUMN()-COLUMN($H11)),"-")</f>
        <v>-</v>
      </c>
      <c r="L11" s="30" t="str" cm="1">
        <f t="array" ref="L11">IF(COUNTA($G11:$H11)=2,$H11/100*INDEX($I$21:$L$23,MATCH($G11,$F$21:$F$23,0),COLUMN()-COLUMN($H11)),"-")</f>
        <v>-</v>
      </c>
      <c r="M11" s="23"/>
      <c r="N11" s="23"/>
      <c r="O11" s="23"/>
      <c r="P11" s="23"/>
      <c r="Q11" s="23"/>
      <c r="R11" s="42"/>
      <c r="S11" s="19">
        <f t="shared" si="5"/>
        <v>2600</v>
      </c>
      <c r="T11" s="19">
        <f>MIN(3000,S11+VLOOKUP(S11,$B$21:$D$32,3,1))</f>
        <v>3000</v>
      </c>
      <c r="U11" s="19"/>
      <c r="V11" s="19"/>
      <c r="W11" s="19"/>
      <c r="X11" s="19"/>
      <c r="Y11" s="19"/>
      <c r="Z11" s="19"/>
      <c r="AA11" s="19"/>
      <c r="AD11" s="33"/>
    </row>
    <row r="12" spans="1:30" x14ac:dyDescent="0.25">
      <c r="A12" s="57"/>
      <c r="B12" s="2" t="s">
        <v>1</v>
      </c>
      <c r="C12" s="3">
        <v>2</v>
      </c>
      <c r="D12" s="4">
        <v>5062</v>
      </c>
      <c r="E12" s="4">
        <v>2298</v>
      </c>
      <c r="F12" s="4">
        <f t="shared" si="8"/>
        <v>11632.476000000001</v>
      </c>
      <c r="G12" s="39"/>
      <c r="H12" s="22"/>
      <c r="I12" s="30" t="str" cm="1">
        <f t="array" ref="I12">IF(COUNTA($G12:$H12)=2,$H12/100*INDEX($I$21:$L$23,MATCH($G12,$F$21:$F$23,0),COLUMN()-COLUMN($H12)),"-")</f>
        <v>-</v>
      </c>
      <c r="J12" s="30" t="str" cm="1">
        <f t="array" ref="J12">IF(COUNTA($G12:$H12)=2,$H12/100*INDEX($I$21:$L$23,MATCH($G12,$F$21:$F$23,0),COLUMN()-COLUMN($H12)),"-")</f>
        <v>-</v>
      </c>
      <c r="K12" s="30" t="str" cm="1">
        <f t="array" ref="K12">IF(COUNTA($G12:$H12)=2,$H12/100*INDEX($I$21:$L$23,MATCH($G12,$F$21:$F$23,0),COLUMN()-COLUMN($H12)),"-")</f>
        <v>-</v>
      </c>
      <c r="L12" s="30" t="str" cm="1">
        <f t="array" ref="L12">IF(COUNTA($G12:$H12)=2,$H12/100*INDEX($I$21:$L$23,MATCH($G12,$F$21:$F$23,0),COLUMN()-COLUMN($H12)),"-")</f>
        <v>-</v>
      </c>
      <c r="M12" s="22"/>
      <c r="N12" s="22"/>
      <c r="O12" s="22"/>
      <c r="P12" s="22"/>
      <c r="Q12" s="22"/>
      <c r="R12" s="40"/>
      <c r="S12" s="19">
        <f t="shared" si="5"/>
        <v>2698</v>
      </c>
      <c r="T12" s="19">
        <f>MIN(3000,S12+VLOOKUP(S12,$B$21:$D$32,3,1))</f>
        <v>3000</v>
      </c>
      <c r="U12" s="19"/>
      <c r="V12" s="19"/>
      <c r="W12" s="19"/>
      <c r="X12" s="19"/>
      <c r="Y12" s="19"/>
      <c r="Z12" s="19"/>
      <c r="AA12" s="19"/>
      <c r="AD12" s="33"/>
    </row>
    <row r="13" spans="1:30" x14ac:dyDescent="0.25">
      <c r="A13" s="57"/>
      <c r="B13" s="5" t="s">
        <v>2</v>
      </c>
      <c r="C13" s="6">
        <v>10</v>
      </c>
      <c r="D13" s="7">
        <v>28426</v>
      </c>
      <c r="E13" s="7">
        <v>401</v>
      </c>
      <c r="F13" s="7">
        <f t="shared" si="8"/>
        <v>11398.826000000001</v>
      </c>
      <c r="G13" s="41"/>
      <c r="H13" s="23"/>
      <c r="I13" s="30" t="str" cm="1">
        <f t="array" ref="I13">IF(COUNTA($G13:$H13)=2,$H13/100*INDEX($I$21:$L$23,MATCH($G13,$F$21:$F$23,0),COLUMN()-COLUMN($H13)),"-")</f>
        <v>-</v>
      </c>
      <c r="J13" s="30" t="str" cm="1">
        <f t="array" ref="J13">IF(COUNTA($G13:$H13)=2,$H13/100*INDEX($I$21:$L$23,MATCH($G13,$F$21:$F$23,0),COLUMN()-COLUMN($H13)),"-")</f>
        <v>-</v>
      </c>
      <c r="K13" s="30" t="str" cm="1">
        <f t="array" ref="K13">IF(COUNTA($G13:$H13)=2,$H13/100*INDEX($I$21:$L$23,MATCH($G13,$F$21:$F$23,0),COLUMN()-COLUMN($H13)),"-")</f>
        <v>-</v>
      </c>
      <c r="L13" s="30" t="str" cm="1">
        <f t="array" ref="L13">IF(COUNTA($G13:$H13)=2,$H13/100*INDEX($I$21:$L$23,MATCH($G13,$F$21:$F$23,0),COLUMN()-COLUMN($H13)),"-")</f>
        <v>-</v>
      </c>
      <c r="M13" s="23"/>
      <c r="N13" s="23"/>
      <c r="O13" s="23"/>
      <c r="P13" s="23"/>
      <c r="Q13" s="23"/>
      <c r="R13" s="42"/>
      <c r="S13" s="19">
        <f t="shared" si="5"/>
        <v>621</v>
      </c>
      <c r="T13" s="19">
        <f>MIN(3000,S13+VLOOKUP(S13,$B$21:$D$32,3,1))</f>
        <v>921</v>
      </c>
      <c r="U13" s="19">
        <f t="shared" ref="U13:Z15" si="10">MIN(3000,T13+VLOOKUP(T13,$B$21:$D$32,3,1))</f>
        <v>1271</v>
      </c>
      <c r="V13" s="19">
        <f t="shared" si="10"/>
        <v>1641</v>
      </c>
      <c r="W13" s="19">
        <f t="shared" si="10"/>
        <v>2041</v>
      </c>
      <c r="X13" s="19">
        <f t="shared" si="10"/>
        <v>2441</v>
      </c>
      <c r="Y13" s="19">
        <f t="shared" si="10"/>
        <v>2841</v>
      </c>
      <c r="Z13" s="19">
        <f t="shared" si="10"/>
        <v>3000</v>
      </c>
      <c r="AA13" s="19"/>
      <c r="AD13" s="33"/>
    </row>
    <row r="14" spans="1:30" x14ac:dyDescent="0.25">
      <c r="A14" s="57"/>
      <c r="B14" s="2" t="s">
        <v>2</v>
      </c>
      <c r="C14" s="3">
        <v>9</v>
      </c>
      <c r="D14" s="4">
        <v>13083</v>
      </c>
      <c r="E14" s="4">
        <v>453</v>
      </c>
      <c r="F14" s="4">
        <f t="shared" si="8"/>
        <v>5926.5990000000002</v>
      </c>
      <c r="G14" s="39"/>
      <c r="H14" s="22"/>
      <c r="I14" s="30" t="str" cm="1">
        <f t="array" ref="I14">IF(COUNTA($G14:$H14)=2,$H14/100*INDEX($I$21:$L$23,MATCH($G14,$F$21:$F$23,0),COLUMN()-COLUMN($H14)),"-")</f>
        <v>-</v>
      </c>
      <c r="J14" s="30" t="str" cm="1">
        <f t="array" ref="J14">IF(COUNTA($G14:$H14)=2,$H14/100*INDEX($I$21:$L$23,MATCH($G14,$F$21:$F$23,0),COLUMN()-COLUMN($H14)),"-")</f>
        <v>-</v>
      </c>
      <c r="K14" s="30" t="str" cm="1">
        <f t="array" ref="K14">IF(COUNTA($G14:$H14)=2,$H14/100*INDEX($I$21:$L$23,MATCH($G14,$F$21:$F$23,0),COLUMN()-COLUMN($H14)),"-")</f>
        <v>-</v>
      </c>
      <c r="L14" s="30" t="str" cm="1">
        <f t="array" ref="L14">IF(COUNTA($G14:$H14)=2,$H14/100*INDEX($I$21:$L$23,MATCH($G14,$F$21:$F$23,0),COLUMN()-COLUMN($H14)),"-")</f>
        <v>-</v>
      </c>
      <c r="M14" s="22"/>
      <c r="N14" s="22"/>
      <c r="O14" s="22"/>
      <c r="P14" s="22"/>
      <c r="Q14" s="22"/>
      <c r="R14" s="40"/>
      <c r="S14" s="19">
        <f t="shared" si="5"/>
        <v>673</v>
      </c>
      <c r="T14" s="19">
        <f>MIN(3000,S14+VLOOKUP(S14,$B$21:$D$32,3,1))</f>
        <v>973</v>
      </c>
      <c r="U14" s="19">
        <f t="shared" si="10"/>
        <v>1323</v>
      </c>
      <c r="V14" s="19">
        <f t="shared" si="10"/>
        <v>1693</v>
      </c>
      <c r="W14" s="19">
        <f t="shared" si="10"/>
        <v>2093</v>
      </c>
      <c r="X14" s="19">
        <f t="shared" si="10"/>
        <v>2493</v>
      </c>
      <c r="Y14" s="19">
        <f t="shared" si="10"/>
        <v>2893</v>
      </c>
      <c r="Z14" s="19">
        <f t="shared" si="10"/>
        <v>3000</v>
      </c>
      <c r="AA14" s="19"/>
      <c r="AD14" s="33"/>
    </row>
    <row r="15" spans="1:30" ht="15.75" thickBot="1" x14ac:dyDescent="0.3">
      <c r="A15" s="58"/>
      <c r="B15" s="10" t="s">
        <v>2</v>
      </c>
      <c r="C15" s="11">
        <v>7</v>
      </c>
      <c r="D15" s="12">
        <v>13028</v>
      </c>
      <c r="E15" s="12">
        <v>534</v>
      </c>
      <c r="F15" s="12">
        <f t="shared" si="8"/>
        <v>6956.9520000000002</v>
      </c>
      <c r="G15" s="43"/>
      <c r="H15" s="44"/>
      <c r="I15" s="30" t="str" cm="1">
        <f t="array" ref="I15">IF(COUNTA($G15:$H15)=2,$H15/100*INDEX($I$21:$L$23,MATCH($G15,$F$21:$F$23,0),COLUMN()-COLUMN($H15)),"-")</f>
        <v>-</v>
      </c>
      <c r="J15" s="30" t="str" cm="1">
        <f t="array" ref="J15">IF(COUNTA($G15:$H15)=2,$H15/100*INDEX($I$21:$L$23,MATCH($G15,$F$21:$F$23,0),COLUMN()-COLUMN($H15)),"-")</f>
        <v>-</v>
      </c>
      <c r="K15" s="30" t="str" cm="1">
        <f t="array" ref="K15">IF(COUNTA($G15:$H15)=2,$H15/100*INDEX($I$21:$L$23,MATCH($G15,$F$21:$F$23,0),COLUMN()-COLUMN($H15)),"-")</f>
        <v>-</v>
      </c>
      <c r="L15" s="30" t="str" cm="1">
        <f t="array" ref="L15">IF(COUNTA($G15:$H15)=2,$H15/100*INDEX($I$21:$L$23,MATCH($G15,$F$21:$F$23,0),COLUMN()-COLUMN($H15)),"-")</f>
        <v>-</v>
      </c>
      <c r="M15" s="44"/>
      <c r="N15" s="44"/>
      <c r="O15" s="44"/>
      <c r="P15" s="44"/>
      <c r="Q15" s="44"/>
      <c r="R15" s="45"/>
      <c r="S15" s="34">
        <f t="shared" si="5"/>
        <v>774</v>
      </c>
      <c r="T15" s="34">
        <f>MIN(3000,S15+VLOOKUP(S15,$B$21:$D$32,3,1))</f>
        <v>1074</v>
      </c>
      <c r="U15" s="34">
        <f t="shared" si="10"/>
        <v>1424</v>
      </c>
      <c r="V15" s="34">
        <f t="shared" si="10"/>
        <v>1794</v>
      </c>
      <c r="W15" s="34">
        <f t="shared" si="10"/>
        <v>2194</v>
      </c>
      <c r="X15" s="34">
        <f t="shared" si="10"/>
        <v>2594</v>
      </c>
      <c r="Y15" s="34">
        <f t="shared" si="10"/>
        <v>2994</v>
      </c>
      <c r="Z15" s="34">
        <f t="shared" si="10"/>
        <v>3000</v>
      </c>
      <c r="AA15" s="34"/>
      <c r="AB15" s="35"/>
      <c r="AC15" s="35"/>
      <c r="AD15" s="36"/>
    </row>
    <row r="16" spans="1:30" ht="15.75" thickBot="1" x14ac:dyDescent="0.3">
      <c r="B16" s="55" t="s">
        <v>29</v>
      </c>
      <c r="C16" s="55"/>
      <c r="D16" s="55"/>
      <c r="E16" s="55"/>
      <c r="F16" s="55"/>
      <c r="G16" s="23"/>
      <c r="H16" s="52" t="s">
        <v>28</v>
      </c>
      <c r="I16" s="53"/>
      <c r="J16" s="53"/>
      <c r="K16" s="53"/>
      <c r="L16" s="53"/>
      <c r="M16" s="53"/>
      <c r="N16" s="53"/>
      <c r="O16" s="54"/>
      <c r="P16" s="23"/>
      <c r="Q16" s="23"/>
      <c r="R16" s="23"/>
      <c r="S16" s="19"/>
      <c r="T16" s="19"/>
      <c r="U16" s="19"/>
      <c r="V16" s="19"/>
      <c r="W16" s="19"/>
      <c r="X16" s="19"/>
      <c r="Y16" s="19"/>
      <c r="Z16" s="19"/>
      <c r="AA16" s="19"/>
    </row>
    <row r="17" spans="1:28" x14ac:dyDescent="0.25">
      <c r="T17" s="51" t="s">
        <v>27</v>
      </c>
      <c r="U17" s="51"/>
      <c r="V17" s="51"/>
      <c r="W17" s="51"/>
      <c r="X17" s="51"/>
      <c r="Y17" s="51"/>
      <c r="Z17" s="51"/>
      <c r="AA17" s="51"/>
      <c r="AB17" s="51"/>
    </row>
    <row r="18" spans="1:28" ht="15.75" thickBot="1" x14ac:dyDescent="0.3"/>
    <row r="19" spans="1:28" ht="15" customHeight="1" thickBot="1" x14ac:dyDescent="0.3">
      <c r="F19" s="46"/>
      <c r="G19" s="47"/>
      <c r="H19" s="47"/>
      <c r="I19" s="60" t="s">
        <v>25</v>
      </c>
      <c r="J19" s="60"/>
      <c r="K19" s="60"/>
      <c r="L19" s="61"/>
      <c r="M19" s="29"/>
      <c r="N19" s="29"/>
      <c r="O19" s="29"/>
      <c r="P19" s="29"/>
      <c r="Q19" s="29"/>
      <c r="R19" s="29"/>
      <c r="S19" s="29"/>
    </row>
    <row r="20" spans="1:28" ht="45" x14ac:dyDescent="0.25">
      <c r="A20" s="56" t="s">
        <v>11</v>
      </c>
      <c r="B20" s="59" t="s">
        <v>9</v>
      </c>
      <c r="C20" s="59"/>
      <c r="D20" s="13" t="s">
        <v>10</v>
      </c>
      <c r="F20" s="17" t="s">
        <v>13</v>
      </c>
      <c r="G20" s="1" t="s">
        <v>16</v>
      </c>
      <c r="H20" s="1" t="s">
        <v>20</v>
      </c>
      <c r="I20" s="1" t="s">
        <v>21</v>
      </c>
      <c r="J20" s="1" t="s">
        <v>22</v>
      </c>
      <c r="K20" s="1" t="s">
        <v>23</v>
      </c>
      <c r="L20" s="33" t="s">
        <v>24</v>
      </c>
    </row>
    <row r="21" spans="1:28" x14ac:dyDescent="0.25">
      <c r="A21" s="57"/>
      <c r="B21" s="14">
        <v>0</v>
      </c>
      <c r="C21" s="14">
        <v>100</v>
      </c>
      <c r="D21" s="26">
        <v>50</v>
      </c>
      <c r="F21" s="17" t="s">
        <v>30</v>
      </c>
      <c r="G21" s="25">
        <v>0.27</v>
      </c>
      <c r="H21" s="25">
        <v>3</v>
      </c>
      <c r="I21" s="25">
        <v>30</v>
      </c>
      <c r="J21" s="25">
        <v>60</v>
      </c>
      <c r="K21" s="25">
        <v>10</v>
      </c>
      <c r="L21" s="48">
        <v>0</v>
      </c>
      <c r="M21" s="25"/>
      <c r="N21" s="25"/>
      <c r="O21" s="25"/>
      <c r="P21" s="25"/>
      <c r="Q21" s="25"/>
      <c r="R21" s="25"/>
    </row>
    <row r="22" spans="1:28" x14ac:dyDescent="0.25">
      <c r="A22" s="57"/>
      <c r="B22" s="14">
        <v>100</v>
      </c>
      <c r="C22" s="14">
        <v>200</v>
      </c>
      <c r="D22" s="26">
        <v>100</v>
      </c>
      <c r="F22" s="17" t="s">
        <v>14</v>
      </c>
      <c r="G22" s="25">
        <v>1</v>
      </c>
      <c r="H22" s="25">
        <v>2</v>
      </c>
      <c r="I22" s="25">
        <v>50</v>
      </c>
      <c r="J22" s="25">
        <v>50</v>
      </c>
      <c r="K22" s="25">
        <v>0</v>
      </c>
      <c r="L22" s="48">
        <v>0</v>
      </c>
      <c r="M22" s="25"/>
      <c r="N22" s="25"/>
      <c r="O22" s="25"/>
      <c r="P22" s="25"/>
      <c r="Q22" s="25"/>
      <c r="R22" s="25"/>
    </row>
    <row r="23" spans="1:28" ht="15.75" thickBot="1" x14ac:dyDescent="0.3">
      <c r="A23" s="57"/>
      <c r="B23" s="14">
        <v>200</v>
      </c>
      <c r="C23" s="14">
        <v>300</v>
      </c>
      <c r="D23" s="26">
        <v>150</v>
      </c>
      <c r="F23" s="18" t="s">
        <v>15</v>
      </c>
      <c r="G23" s="49">
        <v>2.7</v>
      </c>
      <c r="H23" s="49">
        <v>4</v>
      </c>
      <c r="I23" s="49">
        <v>20</v>
      </c>
      <c r="J23" s="49">
        <v>20</v>
      </c>
      <c r="K23" s="49">
        <v>40</v>
      </c>
      <c r="L23" s="50">
        <v>20</v>
      </c>
      <c r="M23" s="25"/>
      <c r="N23" s="25"/>
      <c r="O23" s="25"/>
      <c r="P23" s="25"/>
      <c r="Q23" s="25"/>
      <c r="R23" s="25"/>
      <c r="T23" s="24"/>
      <c r="U23" s="24"/>
      <c r="V23" s="24"/>
      <c r="W23" s="24"/>
      <c r="X23" s="24"/>
      <c r="Y23" s="24"/>
    </row>
    <row r="24" spans="1:28" x14ac:dyDescent="0.25">
      <c r="A24" s="57"/>
      <c r="B24" s="14">
        <v>300</v>
      </c>
      <c r="C24" s="14">
        <v>400</v>
      </c>
      <c r="D24" s="26">
        <v>200</v>
      </c>
      <c r="F24" s="24"/>
      <c r="G24" s="24"/>
      <c r="H24" s="24"/>
      <c r="I24" s="24"/>
      <c r="J24" s="24"/>
      <c r="K24" s="24"/>
      <c r="L24" s="24"/>
      <c r="M24" s="24"/>
      <c r="N24" s="24"/>
      <c r="O24" s="24"/>
      <c r="P24" s="24"/>
      <c r="Q24" s="24"/>
      <c r="R24" s="24"/>
      <c r="S24" s="24"/>
      <c r="T24" s="24"/>
      <c r="U24" s="24"/>
      <c r="V24" s="24"/>
      <c r="W24" s="24"/>
      <c r="X24" s="24"/>
      <c r="Y24" s="24"/>
    </row>
    <row r="25" spans="1:28" x14ac:dyDescent="0.25">
      <c r="A25" s="57"/>
      <c r="B25" s="14">
        <f>C24</f>
        <v>400</v>
      </c>
      <c r="C25" s="14">
        <v>500</v>
      </c>
      <c r="D25" s="26">
        <v>220</v>
      </c>
    </row>
    <row r="26" spans="1:28" x14ac:dyDescent="0.25">
      <c r="A26" s="57"/>
      <c r="B26" s="14">
        <f t="shared" ref="B26:B32" si="11">C25</f>
        <v>500</v>
      </c>
      <c r="C26" s="14">
        <v>600</v>
      </c>
      <c r="D26" s="26">
        <v>240</v>
      </c>
    </row>
    <row r="27" spans="1:28" x14ac:dyDescent="0.25">
      <c r="A27" s="57"/>
      <c r="B27" s="14">
        <f t="shared" si="11"/>
        <v>600</v>
      </c>
      <c r="C27" s="14">
        <v>800</v>
      </c>
      <c r="D27" s="26">
        <v>300</v>
      </c>
    </row>
    <row r="28" spans="1:28" x14ac:dyDescent="0.25">
      <c r="A28" s="57"/>
      <c r="B28" s="14">
        <f t="shared" si="11"/>
        <v>800</v>
      </c>
      <c r="C28" s="14">
        <v>1200</v>
      </c>
      <c r="D28" s="26">
        <v>350</v>
      </c>
    </row>
    <row r="29" spans="1:28" x14ac:dyDescent="0.25">
      <c r="A29" s="57"/>
      <c r="B29" s="14">
        <f t="shared" si="11"/>
        <v>1200</v>
      </c>
      <c r="C29" s="14">
        <v>1600</v>
      </c>
      <c r="D29" s="26">
        <v>370</v>
      </c>
    </row>
    <row r="30" spans="1:28" x14ac:dyDescent="0.25">
      <c r="A30" s="57"/>
      <c r="B30" s="14">
        <f t="shared" si="11"/>
        <v>1600</v>
      </c>
      <c r="C30" s="14">
        <v>2000</v>
      </c>
      <c r="D30" s="26">
        <v>400</v>
      </c>
    </row>
    <row r="31" spans="1:28" x14ac:dyDescent="0.25">
      <c r="A31" s="57"/>
      <c r="B31" s="14">
        <f t="shared" si="11"/>
        <v>2000</v>
      </c>
      <c r="C31" s="14">
        <v>2400</v>
      </c>
      <c r="D31" s="26">
        <v>400</v>
      </c>
    </row>
    <row r="32" spans="1:28" ht="15.75" thickBot="1" x14ac:dyDescent="0.3">
      <c r="A32" s="58"/>
      <c r="B32" s="15">
        <f t="shared" si="11"/>
        <v>2400</v>
      </c>
      <c r="C32" s="15">
        <v>2800</v>
      </c>
      <c r="D32" s="27">
        <v>400</v>
      </c>
    </row>
  </sheetData>
  <mergeCells count="8">
    <mergeCell ref="I2:L2"/>
    <mergeCell ref="T17:AB17"/>
    <mergeCell ref="H16:O16"/>
    <mergeCell ref="B16:F16"/>
    <mergeCell ref="A3:A15"/>
    <mergeCell ref="B20:C20"/>
    <mergeCell ref="A20:A32"/>
    <mergeCell ref="I19:L19"/>
  </mergeCells>
  <phoneticPr fontId="2" type="noConversion"/>
  <conditionalFormatting sqref="S4:AA16">
    <cfRule type="expression" dxfId="0" priority="1">
      <formula>S4=3000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BSA</cp:lastModifiedBy>
  <dcterms:created xsi:type="dcterms:W3CDTF">2023-03-18T16:53:02Z</dcterms:created>
  <dcterms:modified xsi:type="dcterms:W3CDTF">2023-03-19T23:48:36Z</dcterms:modified>
</cp:coreProperties>
</file>