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chartsheets/sheet1.xml" ContentType="application/vnd.openxmlformats-officedocument.spreadsheetml.chartsheet+xml"/>
  <Override PartName="/xl/chartsheets/sheet2.xml" ContentType="application/vnd.openxmlformats-officedocument.spreadsheetml.chart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C:\Users\Eigenaar\Downloads\"/>
    </mc:Choice>
  </mc:AlternateContent>
  <xr:revisionPtr revIDLastSave="0" documentId="13_ncr:1_{14065040-E74E-4024-8472-8E985042907E}" xr6:coauthVersionLast="47" xr6:coauthVersionMax="47" xr10:uidLastSave="{00000000-0000-0000-0000-000000000000}"/>
  <bookViews>
    <workbookView xWindow="0" yWindow="0" windowWidth="28800" windowHeight="16200" firstSheet="2" activeTab="5" xr2:uid="{00000000-000D-0000-FFFF-FFFF00000000}"/>
  </bookViews>
  <sheets>
    <sheet name="Sheet1 (2)" sheetId="2" r:id="rId1"/>
    <sheet name="Sheet1" sheetId="1" r:id="rId2"/>
    <sheet name="3-evol" sheetId="8" r:id="rId3"/>
    <sheet name="compaire" sheetId="3" r:id="rId4"/>
    <sheet name="Grafiek1" sheetId="4" r:id="rId5"/>
    <sheet name="Camembert tous" sheetId="6" r:id="rId6"/>
    <sheet name="Données Camembert" sheetId="5" r:id="rId7"/>
  </sheets>
  <definedNames>
    <definedName name="_xlnm._FilterDatabase" localSheetId="3" hidden="1">compaire!$A$1:$J$98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 i="5" l="1"/>
  <c r="N4" i="5"/>
  <c r="N5" i="5"/>
  <c r="N6" i="5"/>
  <c r="N7" i="5"/>
  <c r="N8" i="5" s="1"/>
  <c r="N9" i="5" s="1"/>
  <c r="N10" i="5" s="1"/>
  <c r="N11" i="5" s="1"/>
  <c r="N12" i="5" s="1"/>
  <c r="N13" i="5" s="1"/>
  <c r="N14" i="5" s="1"/>
  <c r="N15" i="5" s="1"/>
  <c r="N16" i="5" s="1"/>
  <c r="N3" i="5"/>
  <c r="N2" i="5"/>
  <c r="K4" i="3" a="1"/>
  <c r="K4" i="3" s="1"/>
  <c r="L4" i="3" a="1"/>
  <c r="L4" i="3" s="1"/>
  <c r="M4" i="3" a="1"/>
  <c r="M4" i="3" s="1"/>
  <c r="N4" i="3" a="1"/>
  <c r="N4" i="3" s="1"/>
  <c r="O4" i="3" a="1"/>
  <c r="O4" i="3" s="1"/>
  <c r="K5" i="3" a="1"/>
  <c r="K5" i="3" s="1"/>
  <c r="L5" i="3" a="1"/>
  <c r="L5" i="3" s="1"/>
  <c r="M5" i="3" a="1"/>
  <c r="M5" i="3" s="1"/>
  <c r="N5" i="3" a="1"/>
  <c r="N5" i="3" s="1"/>
  <c r="O5" i="3" a="1"/>
  <c r="O5" i="3" s="1"/>
  <c r="K6" i="3" a="1"/>
  <c r="K6" i="3" s="1"/>
  <c r="L6" i="3" a="1"/>
  <c r="L6" i="3" s="1"/>
  <c r="M6" i="3" a="1"/>
  <c r="M6" i="3" s="1"/>
  <c r="N6" i="3" a="1"/>
  <c r="N6" i="3" s="1"/>
  <c r="O6" i="3" a="1"/>
  <c r="O6" i="3" s="1"/>
  <c r="K7" i="3" a="1"/>
  <c r="K7" i="3" s="1"/>
  <c r="L7" i="3" a="1"/>
  <c r="L7" i="3" s="1"/>
  <c r="M7" i="3" a="1"/>
  <c r="M7" i="3" s="1"/>
  <c r="N7" i="3" a="1"/>
  <c r="N7" i="3" s="1"/>
  <c r="O7" i="3" a="1"/>
  <c r="O7" i="3" s="1"/>
  <c r="K8" i="3" a="1"/>
  <c r="K8" i="3" s="1"/>
  <c r="L8" i="3" a="1"/>
  <c r="L8" i="3" s="1"/>
  <c r="M8" i="3" a="1"/>
  <c r="M8" i="3" s="1"/>
  <c r="N8" i="3" a="1"/>
  <c r="N8" i="3" s="1"/>
  <c r="O8" i="3" a="1"/>
  <c r="O8" i="3" s="1"/>
  <c r="K9" i="3" a="1"/>
  <c r="K9" i="3" s="1"/>
  <c r="L9" i="3" a="1"/>
  <c r="L9" i="3" s="1"/>
  <c r="M9" i="3" a="1"/>
  <c r="M9" i="3" s="1"/>
  <c r="N9" i="3" a="1"/>
  <c r="N9" i="3" s="1"/>
  <c r="O9" i="3" a="1"/>
  <c r="O9" i="3" s="1"/>
  <c r="K10" i="3" a="1"/>
  <c r="K10" i="3" s="1"/>
  <c r="L10" i="3" a="1"/>
  <c r="L10" i="3" s="1"/>
  <c r="M10" i="3" a="1"/>
  <c r="M10" i="3" s="1"/>
  <c r="N10" i="3" a="1"/>
  <c r="N10" i="3" s="1"/>
  <c r="O10" i="3" a="1"/>
  <c r="O10" i="3" s="1"/>
  <c r="K11" i="3" a="1"/>
  <c r="K11" i="3" s="1"/>
  <c r="L11" i="3" a="1"/>
  <c r="L11" i="3" s="1"/>
  <c r="M11" i="3" a="1"/>
  <c r="M11" i="3" s="1"/>
  <c r="N11" i="3" a="1"/>
  <c r="N11" i="3" s="1"/>
  <c r="O11" i="3" a="1"/>
  <c r="O11" i="3" s="1"/>
  <c r="K12" i="3" a="1"/>
  <c r="K12" i="3" s="1"/>
  <c r="L12" i="3" a="1"/>
  <c r="L12" i="3" s="1"/>
  <c r="M12" i="3" a="1"/>
  <c r="M12" i="3" s="1"/>
  <c r="N12" i="3" a="1"/>
  <c r="N12" i="3" s="1"/>
  <c r="O12" i="3" a="1"/>
  <c r="O12" i="3" s="1"/>
  <c r="K13" i="3" a="1"/>
  <c r="K13" i="3" s="1"/>
  <c r="L13" i="3" a="1"/>
  <c r="L13" i="3" s="1"/>
  <c r="M13" i="3" a="1"/>
  <c r="M13" i="3" s="1"/>
  <c r="N13" i="3" a="1"/>
  <c r="N13" i="3" s="1"/>
  <c r="O13" i="3" a="1"/>
  <c r="O13" i="3" s="1"/>
  <c r="K14" i="3" a="1"/>
  <c r="K14" i="3" s="1"/>
  <c r="L14" i="3" a="1"/>
  <c r="L14" i="3" s="1"/>
  <c r="M14" i="3" a="1"/>
  <c r="M14" i="3" s="1"/>
  <c r="N14" i="3" a="1"/>
  <c r="N14" i="3" s="1"/>
  <c r="O14" i="3" a="1"/>
  <c r="O14" i="3" s="1"/>
  <c r="K15" i="3" a="1"/>
  <c r="K15" i="3" s="1"/>
  <c r="L15" i="3" a="1"/>
  <c r="L15" i="3" s="1"/>
  <c r="M15" i="3" a="1"/>
  <c r="M15" i="3" s="1"/>
  <c r="N15" i="3" a="1"/>
  <c r="N15" i="3" s="1"/>
  <c r="O15" i="3" a="1"/>
  <c r="O15" i="3" s="1"/>
  <c r="K16" i="3" a="1"/>
  <c r="K16" i="3" s="1"/>
  <c r="L16" i="3" a="1"/>
  <c r="L16" i="3" s="1"/>
  <c r="M16" i="3" a="1"/>
  <c r="M16" i="3" s="1"/>
  <c r="N16" i="3" a="1"/>
  <c r="N16" i="3" s="1"/>
  <c r="O16" i="3" a="1"/>
  <c r="O16" i="3" s="1"/>
  <c r="K17" i="3" a="1"/>
  <c r="K17" i="3" s="1"/>
  <c r="L17" i="3" a="1"/>
  <c r="L17" i="3" s="1"/>
  <c r="M17" i="3" a="1"/>
  <c r="M17" i="3" s="1"/>
  <c r="N17" i="3" a="1"/>
  <c r="N17" i="3" s="1"/>
  <c r="O17" i="3" a="1"/>
  <c r="O17" i="3" s="1"/>
  <c r="K18" i="3" a="1"/>
  <c r="K18" i="3" s="1"/>
  <c r="L18" i="3" a="1"/>
  <c r="L18" i="3" s="1"/>
  <c r="M18" i="3" a="1"/>
  <c r="M18" i="3" s="1"/>
  <c r="N18" i="3" a="1"/>
  <c r="N18" i="3" s="1"/>
  <c r="O18" i="3" a="1"/>
  <c r="O18" i="3" s="1"/>
  <c r="K19" i="3" a="1"/>
  <c r="K19" i="3" s="1"/>
  <c r="L19" i="3" a="1"/>
  <c r="L19" i="3" s="1"/>
  <c r="M19" i="3" a="1"/>
  <c r="M19" i="3" s="1"/>
  <c r="N19" i="3" a="1"/>
  <c r="N19" i="3" s="1"/>
  <c r="O19" i="3" a="1"/>
  <c r="O19" i="3" s="1"/>
  <c r="K20" i="3" a="1"/>
  <c r="K20" i="3" s="1"/>
  <c r="L20" i="3" a="1"/>
  <c r="L20" i="3" s="1"/>
  <c r="M20" i="3" a="1"/>
  <c r="M20" i="3" s="1"/>
  <c r="N20" i="3" a="1"/>
  <c r="N20" i="3" s="1"/>
  <c r="O20" i="3" a="1"/>
  <c r="O20" i="3" s="1"/>
  <c r="K21" i="3" a="1"/>
  <c r="K21" i="3" s="1"/>
  <c r="L21" i="3" a="1"/>
  <c r="L21" i="3" s="1"/>
  <c r="M21" i="3" a="1"/>
  <c r="M21" i="3" s="1"/>
  <c r="N21" i="3" a="1"/>
  <c r="N21" i="3" s="1"/>
  <c r="O21" i="3" a="1"/>
  <c r="O21" i="3" s="1"/>
  <c r="K22" i="3" a="1"/>
  <c r="K22" i="3" s="1"/>
  <c r="L22" i="3" a="1"/>
  <c r="L22" i="3" s="1"/>
  <c r="M22" i="3" a="1"/>
  <c r="M22" i="3" s="1"/>
  <c r="N22" i="3" a="1"/>
  <c r="N22" i="3" s="1"/>
  <c r="O22" i="3" a="1"/>
  <c r="O22" i="3" s="1"/>
  <c r="K23" i="3" a="1"/>
  <c r="K23" i="3" s="1"/>
  <c r="L23" i="3" a="1"/>
  <c r="L23" i="3" s="1"/>
  <c r="M23" i="3" a="1"/>
  <c r="M23" i="3" s="1"/>
  <c r="N23" i="3" a="1"/>
  <c r="N23" i="3" s="1"/>
  <c r="O23" i="3" a="1"/>
  <c r="O23" i="3" s="1"/>
  <c r="K24" i="3" a="1"/>
  <c r="K24" i="3" s="1"/>
  <c r="L24" i="3" a="1"/>
  <c r="L24" i="3" s="1"/>
  <c r="M24" i="3" a="1"/>
  <c r="M24" i="3" s="1"/>
  <c r="N24" i="3" a="1"/>
  <c r="N24" i="3" s="1"/>
  <c r="O24" i="3" a="1"/>
  <c r="O24" i="3" s="1"/>
  <c r="K25" i="3" a="1"/>
  <c r="K25" i="3" s="1"/>
  <c r="L25" i="3" a="1"/>
  <c r="L25" i="3" s="1"/>
  <c r="M25" i="3" a="1"/>
  <c r="M25" i="3" s="1"/>
  <c r="N25" i="3" a="1"/>
  <c r="N25" i="3" s="1"/>
  <c r="O25" i="3" a="1"/>
  <c r="O25" i="3" s="1"/>
  <c r="K26" i="3" a="1"/>
  <c r="K26" i="3" s="1"/>
  <c r="L26" i="3" a="1"/>
  <c r="L26" i="3" s="1"/>
  <c r="M26" i="3" a="1"/>
  <c r="M26" i="3" s="1"/>
  <c r="N26" i="3" a="1"/>
  <c r="N26" i="3" s="1"/>
  <c r="O26" i="3" a="1"/>
  <c r="O26" i="3" s="1"/>
  <c r="K27" i="3" a="1"/>
  <c r="K27" i="3" s="1"/>
  <c r="L27" i="3" a="1"/>
  <c r="L27" i="3" s="1"/>
  <c r="M27" i="3" a="1"/>
  <c r="M27" i="3" s="1"/>
  <c r="N27" i="3" a="1"/>
  <c r="N27" i="3" s="1"/>
  <c r="O27" i="3" a="1"/>
  <c r="O27" i="3" s="1"/>
  <c r="K28" i="3" a="1"/>
  <c r="K28" i="3" s="1"/>
  <c r="L28" i="3" a="1"/>
  <c r="L28" i="3" s="1"/>
  <c r="M28" i="3" a="1"/>
  <c r="M28" i="3" s="1"/>
  <c r="N28" i="3" a="1"/>
  <c r="N28" i="3" s="1"/>
  <c r="O28" i="3" a="1"/>
  <c r="O28" i="3" s="1"/>
  <c r="K29" i="3" a="1"/>
  <c r="K29" i="3" s="1"/>
  <c r="L29" i="3" a="1"/>
  <c r="L29" i="3" s="1"/>
  <c r="M29" i="3" a="1"/>
  <c r="M29" i="3" s="1"/>
  <c r="N29" i="3" a="1"/>
  <c r="N29" i="3" s="1"/>
  <c r="O29" i="3" a="1"/>
  <c r="O29" i="3" s="1"/>
  <c r="K30" i="3" a="1"/>
  <c r="K30" i="3" s="1"/>
  <c r="L30" i="3" a="1"/>
  <c r="L30" i="3" s="1"/>
  <c r="M30" i="3" a="1"/>
  <c r="M30" i="3" s="1"/>
  <c r="N30" i="3" a="1"/>
  <c r="N30" i="3" s="1"/>
  <c r="O30" i="3" a="1"/>
  <c r="O30" i="3" s="1"/>
  <c r="K31" i="3" a="1"/>
  <c r="K31" i="3" s="1"/>
  <c r="L31" i="3" a="1"/>
  <c r="L31" i="3" s="1"/>
  <c r="M31" i="3" a="1"/>
  <c r="M31" i="3" s="1"/>
  <c r="N31" i="3" a="1"/>
  <c r="N31" i="3" s="1"/>
  <c r="O31" i="3" a="1"/>
  <c r="O31" i="3" s="1"/>
  <c r="K32" i="3" a="1"/>
  <c r="K32" i="3" s="1"/>
  <c r="L32" i="3" a="1"/>
  <c r="L32" i="3" s="1"/>
  <c r="M32" i="3" a="1"/>
  <c r="M32" i="3" s="1"/>
  <c r="N32" i="3" a="1"/>
  <c r="N32" i="3" s="1"/>
  <c r="O32" i="3" a="1"/>
  <c r="O32" i="3" s="1"/>
  <c r="K33" i="3" a="1"/>
  <c r="K33" i="3" s="1"/>
  <c r="L33" i="3" a="1"/>
  <c r="L33" i="3" s="1"/>
  <c r="M33" i="3" a="1"/>
  <c r="M33" i="3" s="1"/>
  <c r="N33" i="3" a="1"/>
  <c r="N33" i="3" s="1"/>
  <c r="O33" i="3" a="1"/>
  <c r="O33" i="3" s="1"/>
  <c r="K34" i="3" a="1"/>
  <c r="K34" i="3" s="1"/>
  <c r="L34" i="3" a="1"/>
  <c r="L34" i="3" s="1"/>
  <c r="M34" i="3" a="1"/>
  <c r="M34" i="3" s="1"/>
  <c r="N34" i="3" a="1"/>
  <c r="N34" i="3" s="1"/>
  <c r="O34" i="3" a="1"/>
  <c r="O34" i="3" s="1"/>
  <c r="K35" i="3" a="1"/>
  <c r="K35" i="3" s="1"/>
  <c r="L35" i="3" a="1"/>
  <c r="L35" i="3" s="1"/>
  <c r="M35" i="3" a="1"/>
  <c r="M35" i="3" s="1"/>
  <c r="N35" i="3" a="1"/>
  <c r="N35" i="3" s="1"/>
  <c r="O35" i="3" a="1"/>
  <c r="O35" i="3" s="1"/>
  <c r="K36" i="3" a="1"/>
  <c r="K36" i="3" s="1"/>
  <c r="L36" i="3" a="1"/>
  <c r="L36" i="3" s="1"/>
  <c r="M36" i="3" a="1"/>
  <c r="M36" i="3" s="1"/>
  <c r="N36" i="3" a="1"/>
  <c r="N36" i="3" s="1"/>
  <c r="O36" i="3" a="1"/>
  <c r="O36" i="3" s="1"/>
  <c r="K37" i="3" a="1"/>
  <c r="K37" i="3" s="1"/>
  <c r="L37" i="3" a="1"/>
  <c r="L37" i="3" s="1"/>
  <c r="M37" i="3" a="1"/>
  <c r="M37" i="3" s="1"/>
  <c r="N37" i="3" a="1"/>
  <c r="N37" i="3" s="1"/>
  <c r="O37" i="3" a="1"/>
  <c r="O37" i="3" s="1"/>
  <c r="K38" i="3" a="1"/>
  <c r="K38" i="3" s="1"/>
  <c r="L38" i="3" a="1"/>
  <c r="L38" i="3" s="1"/>
  <c r="M38" i="3" a="1"/>
  <c r="M38" i="3" s="1"/>
  <c r="N38" i="3" a="1"/>
  <c r="N38" i="3" s="1"/>
  <c r="O38" i="3" a="1"/>
  <c r="O38" i="3" s="1"/>
  <c r="K39" i="3" a="1"/>
  <c r="K39" i="3" s="1"/>
  <c r="L39" i="3" a="1"/>
  <c r="L39" i="3" s="1"/>
  <c r="M39" i="3" a="1"/>
  <c r="M39" i="3" s="1"/>
  <c r="N39" i="3" a="1"/>
  <c r="N39" i="3" s="1"/>
  <c r="O39" i="3" a="1"/>
  <c r="O39" i="3" s="1"/>
  <c r="K40" i="3" a="1"/>
  <c r="K40" i="3" s="1"/>
  <c r="L40" i="3" a="1"/>
  <c r="L40" i="3" s="1"/>
  <c r="M40" i="3" a="1"/>
  <c r="M40" i="3" s="1"/>
  <c r="N40" i="3" a="1"/>
  <c r="N40" i="3" s="1"/>
  <c r="O40" i="3" a="1"/>
  <c r="O40" i="3" s="1"/>
  <c r="K41" i="3" a="1"/>
  <c r="K41" i="3" s="1"/>
  <c r="L41" i="3" a="1"/>
  <c r="L41" i="3" s="1"/>
  <c r="M41" i="3" a="1"/>
  <c r="M41" i="3" s="1"/>
  <c r="N41" i="3" a="1"/>
  <c r="N41" i="3" s="1"/>
  <c r="O41" i="3" a="1"/>
  <c r="O41" i="3" s="1"/>
  <c r="K42" i="3" a="1"/>
  <c r="K42" i="3" s="1"/>
  <c r="L42" i="3" a="1"/>
  <c r="L42" i="3" s="1"/>
  <c r="M42" i="3" a="1"/>
  <c r="M42" i="3" s="1"/>
  <c r="N42" i="3" a="1"/>
  <c r="N42" i="3" s="1"/>
  <c r="O42" i="3" a="1"/>
  <c r="O42" i="3" s="1"/>
  <c r="K43" i="3" a="1"/>
  <c r="K43" i="3" s="1"/>
  <c r="L43" i="3" a="1"/>
  <c r="L43" i="3" s="1"/>
  <c r="M43" i="3" a="1"/>
  <c r="M43" i="3" s="1"/>
  <c r="N43" i="3" a="1"/>
  <c r="N43" i="3" s="1"/>
  <c r="O43" i="3" a="1"/>
  <c r="O43" i="3" s="1"/>
  <c r="K44" i="3" a="1"/>
  <c r="K44" i="3" s="1"/>
  <c r="L44" i="3" a="1"/>
  <c r="L44" i="3" s="1"/>
  <c r="M44" i="3" a="1"/>
  <c r="M44" i="3" s="1"/>
  <c r="N44" i="3" a="1"/>
  <c r="N44" i="3" s="1"/>
  <c r="O44" i="3" a="1"/>
  <c r="O44" i="3" s="1"/>
  <c r="K45" i="3" a="1"/>
  <c r="K45" i="3" s="1"/>
  <c r="L45" i="3" a="1"/>
  <c r="L45" i="3" s="1"/>
  <c r="M45" i="3" a="1"/>
  <c r="M45" i="3" s="1"/>
  <c r="N45" i="3" a="1"/>
  <c r="N45" i="3" s="1"/>
  <c r="O45" i="3" a="1"/>
  <c r="O45" i="3" s="1"/>
  <c r="K46" i="3" a="1"/>
  <c r="K46" i="3" s="1"/>
  <c r="L46" i="3" a="1"/>
  <c r="L46" i="3" s="1"/>
  <c r="M46" i="3" a="1"/>
  <c r="M46" i="3" s="1"/>
  <c r="N46" i="3" a="1"/>
  <c r="N46" i="3" s="1"/>
  <c r="O46" i="3" a="1"/>
  <c r="O46" i="3" s="1"/>
  <c r="K47" i="3" a="1"/>
  <c r="K47" i="3" s="1"/>
  <c r="L47" i="3" a="1"/>
  <c r="L47" i="3" s="1"/>
  <c r="M47" i="3" a="1"/>
  <c r="M47" i="3" s="1"/>
  <c r="N47" i="3" a="1"/>
  <c r="N47" i="3" s="1"/>
  <c r="O47" i="3" a="1"/>
  <c r="O47" i="3" s="1"/>
  <c r="K48" i="3" a="1"/>
  <c r="K48" i="3" s="1"/>
  <c r="L48" i="3" a="1"/>
  <c r="L48" i="3" s="1"/>
  <c r="M48" i="3" a="1"/>
  <c r="M48" i="3" s="1"/>
  <c r="N48" i="3" a="1"/>
  <c r="N48" i="3" s="1"/>
  <c r="O48" i="3" a="1"/>
  <c r="O48" i="3" s="1"/>
  <c r="K49" i="3" a="1"/>
  <c r="K49" i="3" s="1"/>
  <c r="L49" i="3" a="1"/>
  <c r="L49" i="3" s="1"/>
  <c r="M49" i="3" a="1"/>
  <c r="M49" i="3" s="1"/>
  <c r="N49" i="3" a="1"/>
  <c r="N49" i="3" s="1"/>
  <c r="O49" i="3" a="1"/>
  <c r="O49" i="3" s="1"/>
  <c r="K50" i="3" a="1"/>
  <c r="K50" i="3" s="1"/>
  <c r="L50" i="3" a="1"/>
  <c r="L50" i="3" s="1"/>
  <c r="M50" i="3" a="1"/>
  <c r="M50" i="3" s="1"/>
  <c r="N50" i="3" a="1"/>
  <c r="N50" i="3" s="1"/>
  <c r="O50" i="3" a="1"/>
  <c r="O50" i="3" s="1"/>
  <c r="K51" i="3" a="1"/>
  <c r="K51" i="3" s="1"/>
  <c r="L51" i="3" a="1"/>
  <c r="L51" i="3" s="1"/>
  <c r="M51" i="3" a="1"/>
  <c r="M51" i="3" s="1"/>
  <c r="N51" i="3" a="1"/>
  <c r="N51" i="3" s="1"/>
  <c r="O51" i="3" a="1"/>
  <c r="O51" i="3" s="1"/>
  <c r="K52" i="3" a="1"/>
  <c r="K52" i="3" s="1"/>
  <c r="L52" i="3" a="1"/>
  <c r="L52" i="3" s="1"/>
  <c r="M52" i="3" a="1"/>
  <c r="M52" i="3" s="1"/>
  <c r="N52" i="3" a="1"/>
  <c r="N52" i="3" s="1"/>
  <c r="O52" i="3" a="1"/>
  <c r="O52" i="3" s="1"/>
  <c r="K53" i="3" a="1"/>
  <c r="K53" i="3" s="1"/>
  <c r="L53" i="3" a="1"/>
  <c r="L53" i="3" s="1"/>
  <c r="M53" i="3" a="1"/>
  <c r="M53" i="3" s="1"/>
  <c r="N53" i="3" a="1"/>
  <c r="N53" i="3" s="1"/>
  <c r="O53" i="3" a="1"/>
  <c r="O53" i="3" s="1"/>
  <c r="K54" i="3" a="1"/>
  <c r="K54" i="3" s="1"/>
  <c r="L54" i="3" a="1"/>
  <c r="L54" i="3" s="1"/>
  <c r="M54" i="3" a="1"/>
  <c r="M54" i="3" s="1"/>
  <c r="N54" i="3" a="1"/>
  <c r="N54" i="3" s="1"/>
  <c r="O54" i="3" a="1"/>
  <c r="O54" i="3" s="1"/>
  <c r="K55" i="3" a="1"/>
  <c r="K55" i="3" s="1"/>
  <c r="L55" i="3" a="1"/>
  <c r="L55" i="3" s="1"/>
  <c r="M55" i="3" a="1"/>
  <c r="M55" i="3" s="1"/>
  <c r="N55" i="3" a="1"/>
  <c r="N55" i="3" s="1"/>
  <c r="O55" i="3" a="1"/>
  <c r="O55" i="3" s="1"/>
  <c r="K56" i="3" a="1"/>
  <c r="K56" i="3" s="1"/>
  <c r="L56" i="3" a="1"/>
  <c r="L56" i="3" s="1"/>
  <c r="M56" i="3" a="1"/>
  <c r="M56" i="3" s="1"/>
  <c r="N56" i="3" a="1"/>
  <c r="N56" i="3" s="1"/>
  <c r="O56" i="3" a="1"/>
  <c r="O56" i="3" s="1"/>
  <c r="K57" i="3" a="1"/>
  <c r="K57" i="3" s="1"/>
  <c r="L57" i="3" a="1"/>
  <c r="L57" i="3" s="1"/>
  <c r="M57" i="3" a="1"/>
  <c r="M57" i="3" s="1"/>
  <c r="N57" i="3" a="1"/>
  <c r="N57" i="3" s="1"/>
  <c r="O57" i="3" a="1"/>
  <c r="O57" i="3" s="1"/>
  <c r="K58" i="3" a="1"/>
  <c r="K58" i="3" s="1"/>
  <c r="L58" i="3" a="1"/>
  <c r="L58" i="3" s="1"/>
  <c r="M58" i="3" a="1"/>
  <c r="M58" i="3" s="1"/>
  <c r="N58" i="3" a="1"/>
  <c r="N58" i="3" s="1"/>
  <c r="O58" i="3" a="1"/>
  <c r="O58" i="3" s="1"/>
  <c r="K59" i="3" a="1"/>
  <c r="K59" i="3" s="1"/>
  <c r="L59" i="3" a="1"/>
  <c r="L59" i="3" s="1"/>
  <c r="M59" i="3" a="1"/>
  <c r="M59" i="3" s="1"/>
  <c r="N59" i="3" a="1"/>
  <c r="N59" i="3" s="1"/>
  <c r="O59" i="3" a="1"/>
  <c r="O59" i="3" s="1"/>
  <c r="K60" i="3" a="1"/>
  <c r="K60" i="3" s="1"/>
  <c r="L60" i="3" a="1"/>
  <c r="L60" i="3" s="1"/>
  <c r="M60" i="3" a="1"/>
  <c r="M60" i="3" s="1"/>
  <c r="N60" i="3" a="1"/>
  <c r="N60" i="3" s="1"/>
  <c r="O60" i="3" a="1"/>
  <c r="O60" i="3" s="1"/>
  <c r="K61" i="3" a="1"/>
  <c r="K61" i="3" s="1"/>
  <c r="L61" i="3" a="1"/>
  <c r="L61" i="3" s="1"/>
  <c r="M61" i="3" a="1"/>
  <c r="M61" i="3" s="1"/>
  <c r="N61" i="3" a="1"/>
  <c r="N61" i="3" s="1"/>
  <c r="O61" i="3" a="1"/>
  <c r="O61" i="3" s="1"/>
  <c r="K62" i="3" a="1"/>
  <c r="K62" i="3" s="1"/>
  <c r="L62" i="3" a="1"/>
  <c r="L62" i="3" s="1"/>
  <c r="M62" i="3" a="1"/>
  <c r="M62" i="3" s="1"/>
  <c r="N62" i="3" a="1"/>
  <c r="N62" i="3" s="1"/>
  <c r="O62" i="3" a="1"/>
  <c r="O62" i="3" s="1"/>
  <c r="K63" i="3" a="1"/>
  <c r="K63" i="3" s="1"/>
  <c r="L63" i="3" a="1"/>
  <c r="L63" i="3" s="1"/>
  <c r="M63" i="3" a="1"/>
  <c r="M63" i="3" s="1"/>
  <c r="N63" i="3" a="1"/>
  <c r="N63" i="3" s="1"/>
  <c r="O63" i="3" a="1"/>
  <c r="O63" i="3" s="1"/>
  <c r="K64" i="3" a="1"/>
  <c r="K64" i="3" s="1"/>
  <c r="L64" i="3" a="1"/>
  <c r="L64" i="3" s="1"/>
  <c r="M64" i="3" a="1"/>
  <c r="M64" i="3" s="1"/>
  <c r="N64" i="3" a="1"/>
  <c r="N64" i="3" s="1"/>
  <c r="O64" i="3" a="1"/>
  <c r="O64" i="3" s="1"/>
  <c r="K65" i="3" a="1"/>
  <c r="K65" i="3" s="1"/>
  <c r="L65" i="3" a="1"/>
  <c r="L65" i="3" s="1"/>
  <c r="M65" i="3" a="1"/>
  <c r="M65" i="3" s="1"/>
  <c r="N65" i="3" a="1"/>
  <c r="N65" i="3" s="1"/>
  <c r="O65" i="3" a="1"/>
  <c r="O65" i="3" s="1"/>
  <c r="K66" i="3" a="1"/>
  <c r="K66" i="3" s="1"/>
  <c r="L66" i="3" a="1"/>
  <c r="L66" i="3" s="1"/>
  <c r="M66" i="3" a="1"/>
  <c r="M66" i="3" s="1"/>
  <c r="N66" i="3" a="1"/>
  <c r="N66" i="3" s="1"/>
  <c r="O66" i="3" a="1"/>
  <c r="O66" i="3" s="1"/>
  <c r="K67" i="3" a="1"/>
  <c r="K67" i="3" s="1"/>
  <c r="L67" i="3" a="1"/>
  <c r="L67" i="3" s="1"/>
  <c r="M67" i="3" a="1"/>
  <c r="M67" i="3" s="1"/>
  <c r="N67" i="3" a="1"/>
  <c r="N67" i="3" s="1"/>
  <c r="O67" i="3" a="1"/>
  <c r="O67" i="3" s="1"/>
  <c r="K68" i="3" a="1"/>
  <c r="K68" i="3" s="1"/>
  <c r="L68" i="3" a="1"/>
  <c r="L68" i="3" s="1"/>
  <c r="M68" i="3" a="1"/>
  <c r="M68" i="3" s="1"/>
  <c r="N68" i="3" a="1"/>
  <c r="N68" i="3" s="1"/>
  <c r="O68" i="3" a="1"/>
  <c r="O68" i="3" s="1"/>
  <c r="K69" i="3" a="1"/>
  <c r="K69" i="3" s="1"/>
  <c r="L69" i="3" a="1"/>
  <c r="L69" i="3" s="1"/>
  <c r="M69" i="3" a="1"/>
  <c r="M69" i="3" s="1"/>
  <c r="N69" i="3" a="1"/>
  <c r="N69" i="3" s="1"/>
  <c r="O69" i="3" a="1"/>
  <c r="O69" i="3" s="1"/>
  <c r="K70" i="3" a="1"/>
  <c r="K70" i="3" s="1"/>
  <c r="L70" i="3" a="1"/>
  <c r="L70" i="3" s="1"/>
  <c r="M70" i="3" a="1"/>
  <c r="M70" i="3" s="1"/>
  <c r="N70" i="3" a="1"/>
  <c r="N70" i="3" s="1"/>
  <c r="O70" i="3" a="1"/>
  <c r="O70" i="3" s="1"/>
  <c r="K71" i="3" a="1"/>
  <c r="K71" i="3" s="1"/>
  <c r="L71" i="3" a="1"/>
  <c r="L71" i="3" s="1"/>
  <c r="M71" i="3" a="1"/>
  <c r="M71" i="3" s="1"/>
  <c r="N71" i="3" a="1"/>
  <c r="N71" i="3" s="1"/>
  <c r="O71" i="3" a="1"/>
  <c r="O71" i="3" s="1"/>
  <c r="K72" i="3" a="1"/>
  <c r="K72" i="3" s="1"/>
  <c r="L72" i="3" a="1"/>
  <c r="L72" i="3" s="1"/>
  <c r="M72" i="3" a="1"/>
  <c r="M72" i="3" s="1"/>
  <c r="N72" i="3" a="1"/>
  <c r="N72" i="3" s="1"/>
  <c r="O72" i="3" a="1"/>
  <c r="O72" i="3" s="1"/>
  <c r="K73" i="3" a="1"/>
  <c r="K73" i="3" s="1"/>
  <c r="L73" i="3" a="1"/>
  <c r="L73" i="3" s="1"/>
  <c r="M73" i="3" a="1"/>
  <c r="M73" i="3" s="1"/>
  <c r="N73" i="3" a="1"/>
  <c r="N73" i="3" s="1"/>
  <c r="O73" i="3" a="1"/>
  <c r="O73" i="3" s="1"/>
  <c r="K74" i="3" a="1"/>
  <c r="K74" i="3" s="1"/>
  <c r="L74" i="3" a="1"/>
  <c r="L74" i="3" s="1"/>
  <c r="M74" i="3" a="1"/>
  <c r="M74" i="3" s="1"/>
  <c r="N74" i="3" a="1"/>
  <c r="N74" i="3" s="1"/>
  <c r="O74" i="3" a="1"/>
  <c r="O74" i="3" s="1"/>
  <c r="K75" i="3" a="1"/>
  <c r="K75" i="3" s="1"/>
  <c r="L75" i="3" a="1"/>
  <c r="L75" i="3" s="1"/>
  <c r="M75" i="3" a="1"/>
  <c r="M75" i="3" s="1"/>
  <c r="N75" i="3" a="1"/>
  <c r="N75" i="3" s="1"/>
  <c r="O75" i="3" a="1"/>
  <c r="O75" i="3" s="1"/>
  <c r="K76" i="3" a="1"/>
  <c r="K76" i="3" s="1"/>
  <c r="L76" i="3" a="1"/>
  <c r="L76" i="3" s="1"/>
  <c r="M76" i="3" a="1"/>
  <c r="M76" i="3" s="1"/>
  <c r="N76" i="3" a="1"/>
  <c r="N76" i="3" s="1"/>
  <c r="O76" i="3" a="1"/>
  <c r="O76" i="3" s="1"/>
  <c r="K77" i="3" a="1"/>
  <c r="K77" i="3" s="1"/>
  <c r="L77" i="3" a="1"/>
  <c r="L77" i="3" s="1"/>
  <c r="M77" i="3" a="1"/>
  <c r="M77" i="3" s="1"/>
  <c r="N77" i="3" a="1"/>
  <c r="N77" i="3" s="1"/>
  <c r="O77" i="3" a="1"/>
  <c r="O77" i="3" s="1"/>
  <c r="K78" i="3" a="1"/>
  <c r="K78" i="3" s="1"/>
  <c r="L78" i="3" a="1"/>
  <c r="L78" i="3" s="1"/>
  <c r="M78" i="3" a="1"/>
  <c r="M78" i="3" s="1"/>
  <c r="N78" i="3" a="1"/>
  <c r="N78" i="3" s="1"/>
  <c r="O78" i="3" a="1"/>
  <c r="O78" i="3" s="1"/>
  <c r="K79" i="3" a="1"/>
  <c r="K79" i="3" s="1"/>
  <c r="L79" i="3" a="1"/>
  <c r="L79" i="3" s="1"/>
  <c r="M79" i="3" a="1"/>
  <c r="M79" i="3" s="1"/>
  <c r="N79" i="3" a="1"/>
  <c r="N79" i="3" s="1"/>
  <c r="O79" i="3" a="1"/>
  <c r="O79" i="3" s="1"/>
  <c r="K80" i="3" a="1"/>
  <c r="K80" i="3" s="1"/>
  <c r="L80" i="3" a="1"/>
  <c r="L80" i="3" s="1"/>
  <c r="M80" i="3" a="1"/>
  <c r="M80" i="3" s="1"/>
  <c r="N80" i="3" a="1"/>
  <c r="N80" i="3" s="1"/>
  <c r="O80" i="3" a="1"/>
  <c r="O80" i="3" s="1"/>
  <c r="K81" i="3" a="1"/>
  <c r="K81" i="3" s="1"/>
  <c r="L81" i="3" a="1"/>
  <c r="L81" i="3" s="1"/>
  <c r="M81" i="3" a="1"/>
  <c r="M81" i="3" s="1"/>
  <c r="N81" i="3" a="1"/>
  <c r="N81" i="3" s="1"/>
  <c r="O81" i="3" a="1"/>
  <c r="O81" i="3" s="1"/>
  <c r="K82" i="3" a="1"/>
  <c r="K82" i="3" s="1"/>
  <c r="L82" i="3" a="1"/>
  <c r="L82" i="3" s="1"/>
  <c r="M82" i="3" a="1"/>
  <c r="M82" i="3" s="1"/>
  <c r="N82" i="3" a="1"/>
  <c r="N82" i="3" s="1"/>
  <c r="O82" i="3" a="1"/>
  <c r="O82" i="3" s="1"/>
  <c r="K83" i="3" a="1"/>
  <c r="K83" i="3" s="1"/>
  <c r="L83" i="3" a="1"/>
  <c r="L83" i="3" s="1"/>
  <c r="M83" i="3" a="1"/>
  <c r="M83" i="3" s="1"/>
  <c r="N83" i="3" a="1"/>
  <c r="N83" i="3" s="1"/>
  <c r="O83" i="3" a="1"/>
  <c r="O83" i="3" s="1"/>
  <c r="K84" i="3" a="1"/>
  <c r="K84" i="3" s="1"/>
  <c r="L84" i="3" a="1"/>
  <c r="L84" i="3" s="1"/>
  <c r="M84" i="3" a="1"/>
  <c r="M84" i="3" s="1"/>
  <c r="N84" i="3" a="1"/>
  <c r="N84" i="3" s="1"/>
  <c r="O84" i="3" a="1"/>
  <c r="O84" i="3" s="1"/>
  <c r="K85" i="3" a="1"/>
  <c r="K85" i="3" s="1"/>
  <c r="L85" i="3" a="1"/>
  <c r="L85" i="3" s="1"/>
  <c r="M85" i="3" a="1"/>
  <c r="M85" i="3" s="1"/>
  <c r="N85" i="3" a="1"/>
  <c r="N85" i="3" s="1"/>
  <c r="O85" i="3" a="1"/>
  <c r="O85" i="3" s="1"/>
  <c r="K86" i="3" a="1"/>
  <c r="K86" i="3" s="1"/>
  <c r="L86" i="3" a="1"/>
  <c r="L86" i="3" s="1"/>
  <c r="M86" i="3" a="1"/>
  <c r="M86" i="3" s="1"/>
  <c r="N86" i="3" a="1"/>
  <c r="N86" i="3" s="1"/>
  <c r="O86" i="3" a="1"/>
  <c r="O86" i="3" s="1"/>
  <c r="K87" i="3" a="1"/>
  <c r="K87" i="3" s="1"/>
  <c r="L87" i="3" a="1"/>
  <c r="L87" i="3" s="1"/>
  <c r="M87" i="3" a="1"/>
  <c r="M87" i="3" s="1"/>
  <c r="N87" i="3" a="1"/>
  <c r="N87" i="3" s="1"/>
  <c r="O87" i="3" a="1"/>
  <c r="O87" i="3" s="1"/>
  <c r="K88" i="3" a="1"/>
  <c r="K88" i="3" s="1"/>
  <c r="L88" i="3" a="1"/>
  <c r="L88" i="3" s="1"/>
  <c r="M88" i="3" a="1"/>
  <c r="M88" i="3" s="1"/>
  <c r="N88" i="3" a="1"/>
  <c r="N88" i="3" s="1"/>
  <c r="O88" i="3" a="1"/>
  <c r="O88" i="3" s="1"/>
  <c r="K89" i="3" a="1"/>
  <c r="K89" i="3" s="1"/>
  <c r="L89" i="3" a="1"/>
  <c r="L89" i="3" s="1"/>
  <c r="M89" i="3" a="1"/>
  <c r="M89" i="3" s="1"/>
  <c r="N89" i="3" a="1"/>
  <c r="N89" i="3" s="1"/>
  <c r="O89" i="3" a="1"/>
  <c r="O89" i="3" s="1"/>
  <c r="K90" i="3" a="1"/>
  <c r="K90" i="3" s="1"/>
  <c r="L90" i="3" a="1"/>
  <c r="L90" i="3" s="1"/>
  <c r="M90" i="3" a="1"/>
  <c r="M90" i="3" s="1"/>
  <c r="N90" i="3" a="1"/>
  <c r="N90" i="3" s="1"/>
  <c r="O90" i="3" a="1"/>
  <c r="O90" i="3" s="1"/>
  <c r="K91" i="3" a="1"/>
  <c r="K91" i="3" s="1"/>
  <c r="L91" i="3" a="1"/>
  <c r="L91" i="3" s="1"/>
  <c r="M91" i="3" a="1"/>
  <c r="M91" i="3" s="1"/>
  <c r="N91" i="3" a="1"/>
  <c r="N91" i="3" s="1"/>
  <c r="O91" i="3" a="1"/>
  <c r="O91" i="3" s="1"/>
  <c r="K92" i="3" a="1"/>
  <c r="K92" i="3" s="1"/>
  <c r="L92" i="3" a="1"/>
  <c r="L92" i="3" s="1"/>
  <c r="M92" i="3" a="1"/>
  <c r="M92" i="3" s="1"/>
  <c r="N92" i="3" a="1"/>
  <c r="N92" i="3" s="1"/>
  <c r="O92" i="3" a="1"/>
  <c r="O92" i="3" s="1"/>
  <c r="K93" i="3" a="1"/>
  <c r="K93" i="3" s="1"/>
  <c r="L93" i="3" a="1"/>
  <c r="L93" i="3" s="1"/>
  <c r="M93" i="3" a="1"/>
  <c r="M93" i="3" s="1"/>
  <c r="N93" i="3" a="1"/>
  <c r="N93" i="3" s="1"/>
  <c r="O93" i="3" a="1"/>
  <c r="O93" i="3" s="1"/>
  <c r="K94" i="3" a="1"/>
  <c r="K94" i="3" s="1"/>
  <c r="L94" i="3" a="1"/>
  <c r="L94" i="3" s="1"/>
  <c r="M94" i="3" a="1"/>
  <c r="M94" i="3" s="1"/>
  <c r="N94" i="3" a="1"/>
  <c r="N94" i="3" s="1"/>
  <c r="O94" i="3" a="1"/>
  <c r="O94" i="3" s="1"/>
  <c r="K95" i="3" a="1"/>
  <c r="K95" i="3" s="1"/>
  <c r="L95" i="3" a="1"/>
  <c r="L95" i="3" s="1"/>
  <c r="M95" i="3" a="1"/>
  <c r="M95" i="3" s="1"/>
  <c r="N95" i="3" a="1"/>
  <c r="N95" i="3" s="1"/>
  <c r="O95" i="3" a="1"/>
  <c r="O95" i="3" s="1"/>
  <c r="K96" i="3" a="1"/>
  <c r="K96" i="3" s="1"/>
  <c r="L96" i="3" a="1"/>
  <c r="L96" i="3" s="1"/>
  <c r="M96" i="3" a="1"/>
  <c r="M96" i="3" s="1"/>
  <c r="N96" i="3" a="1"/>
  <c r="N96" i="3" s="1"/>
  <c r="O96" i="3" a="1"/>
  <c r="O96" i="3" s="1"/>
  <c r="K97" i="3" a="1"/>
  <c r="K97" i="3" s="1"/>
  <c r="L97" i="3" a="1"/>
  <c r="L97" i="3" s="1"/>
  <c r="M97" i="3" a="1"/>
  <c r="M97" i="3" s="1"/>
  <c r="N97" i="3" a="1"/>
  <c r="N97" i="3" s="1"/>
  <c r="O97" i="3" a="1"/>
  <c r="O97" i="3" s="1"/>
  <c r="K98" i="3" a="1"/>
  <c r="K98" i="3" s="1"/>
  <c r="L98" i="3" a="1"/>
  <c r="L98" i="3" s="1"/>
  <c r="M98" i="3" a="1"/>
  <c r="M98" i="3" s="1"/>
  <c r="N98" i="3" a="1"/>
  <c r="N98" i="3" s="1"/>
  <c r="O98" i="3" a="1"/>
  <c r="O98" i="3" s="1"/>
  <c r="L3" i="3" a="1"/>
  <c r="L3" i="3" s="1"/>
  <c r="M3" i="3" a="1"/>
  <c r="M3" i="3" s="1"/>
  <c r="N3" i="3" a="1"/>
  <c r="N3" i="3" s="1"/>
  <c r="O3" i="3" a="1"/>
  <c r="O3" i="3" s="1"/>
  <c r="K3" i="3" a="1"/>
  <c r="K3" i="3" s="1"/>
  <c r="L2" i="3" a="1"/>
  <c r="L2" i="3" s="1"/>
  <c r="M2" i="3" a="1"/>
  <c r="M2" i="3" s="1"/>
  <c r="N2" i="3" a="1"/>
  <c r="N2" i="3" s="1"/>
  <c r="O2" i="3" a="1"/>
  <c r="O2" i="3" s="1"/>
  <c r="K2" i="3" a="1"/>
  <c r="K2" i="3" s="1"/>
  <c r="B1" i="8"/>
  <c r="C1" i="8"/>
  <c r="D1" i="8"/>
  <c r="E1" i="8"/>
  <c r="F1" i="8"/>
  <c r="G1" i="8"/>
  <c r="H1" i="8"/>
  <c r="I1" i="8"/>
  <c r="J1" i="8"/>
  <c r="K1" i="8"/>
  <c r="L1" i="8"/>
  <c r="M1" i="8"/>
  <c r="N1" i="8"/>
  <c r="O1" i="8"/>
  <c r="P1" i="8"/>
  <c r="Q1" i="8"/>
  <c r="R1" i="8"/>
  <c r="S1" i="8"/>
  <c r="T1" i="8"/>
  <c r="U1" i="8"/>
  <c r="V1" i="8"/>
  <c r="W1" i="8"/>
  <c r="X1" i="8"/>
  <c r="Y1" i="8"/>
  <c r="Z1" i="8"/>
  <c r="AA1" i="8"/>
  <c r="AB1" i="8"/>
  <c r="AC1" i="8"/>
  <c r="AD1" i="8"/>
  <c r="AE1" i="8"/>
  <c r="AF1" i="8"/>
  <c r="AG1" i="8"/>
  <c r="AH1" i="8"/>
  <c r="AI1" i="8"/>
  <c r="AJ1" i="8"/>
  <c r="AK1" i="8"/>
  <c r="AL1" i="8"/>
  <c r="AM1" i="8"/>
  <c r="AN1" i="8"/>
  <c r="AO1" i="8"/>
  <c r="AP1" i="8"/>
  <c r="AQ1" i="8"/>
  <c r="AR1" i="8"/>
  <c r="AS1" i="8"/>
  <c r="AT1" i="8"/>
  <c r="AU1" i="8"/>
  <c r="AV1" i="8"/>
  <c r="AW1" i="8"/>
  <c r="AX1" i="8"/>
  <c r="AY1" i="8"/>
  <c r="AZ1" i="8"/>
  <c r="BA1" i="8"/>
  <c r="BB1" i="8"/>
  <c r="BC1" i="8"/>
  <c r="BD1" i="8"/>
  <c r="BE1" i="8"/>
  <c r="BF1" i="8"/>
  <c r="BG1" i="8"/>
  <c r="BH1" i="8"/>
  <c r="BI1" i="8"/>
  <c r="BJ1" i="8"/>
  <c r="BK1" i="8"/>
  <c r="BL1" i="8"/>
  <c r="BM1" i="8"/>
  <c r="BN1" i="8"/>
  <c r="BO1" i="8"/>
  <c r="BP1" i="8"/>
  <c r="BQ1" i="8"/>
  <c r="BR1" i="8"/>
  <c r="BS1" i="8"/>
  <c r="BT1" i="8"/>
  <c r="BU1" i="8"/>
  <c r="BV1" i="8"/>
  <c r="BW1" i="8"/>
  <c r="BX1" i="8"/>
  <c r="BY1" i="8"/>
  <c r="BZ1" i="8"/>
  <c r="CA1" i="8"/>
  <c r="CB1" i="8"/>
  <c r="CC1" i="8"/>
  <c r="CD1" i="8"/>
  <c r="CE1" i="8"/>
  <c r="CF1" i="8"/>
  <c r="CG1" i="8"/>
  <c r="CH1" i="8"/>
  <c r="CI1" i="8"/>
  <c r="CJ1" i="8"/>
  <c r="CK1" i="8"/>
  <c r="CL1" i="8"/>
  <c r="CM1" i="8"/>
  <c r="CN1" i="8"/>
  <c r="CO1" i="8"/>
  <c r="CP1" i="8"/>
  <c r="CQ1" i="8"/>
  <c r="CR1" i="8"/>
  <c r="CS1" i="8"/>
  <c r="B2" i="8"/>
  <c r="C2" i="8"/>
  <c r="D2" i="8"/>
  <c r="E2" i="8"/>
  <c r="F2" i="8"/>
  <c r="G2" i="8"/>
  <c r="H2" i="8"/>
  <c r="I2" i="8"/>
  <c r="J2" i="8"/>
  <c r="K2" i="8"/>
  <c r="L2" i="8"/>
  <c r="M2" i="8"/>
  <c r="N2" i="8"/>
  <c r="O2" i="8"/>
  <c r="P2" i="8"/>
  <c r="Q2" i="8"/>
  <c r="R2" i="8"/>
  <c r="S2" i="8"/>
  <c r="T2" i="8"/>
  <c r="U2" i="8"/>
  <c r="V2" i="8"/>
  <c r="W2" i="8"/>
  <c r="X2" i="8"/>
  <c r="Y2" i="8"/>
  <c r="Z2" i="8"/>
  <c r="AA2" i="8"/>
  <c r="AB2" i="8"/>
  <c r="AC2" i="8"/>
  <c r="AD2" i="8"/>
  <c r="AE2" i="8"/>
  <c r="AF2" i="8"/>
  <c r="AG2" i="8"/>
  <c r="AH2" i="8"/>
  <c r="AI2" i="8"/>
  <c r="AJ2" i="8"/>
  <c r="AK2" i="8"/>
  <c r="AL2" i="8"/>
  <c r="AM2" i="8"/>
  <c r="AN2" i="8"/>
  <c r="AO2" i="8"/>
  <c r="AP2" i="8"/>
  <c r="AQ2" i="8"/>
  <c r="AR2" i="8"/>
  <c r="AS2" i="8"/>
  <c r="AT2" i="8"/>
  <c r="AU2" i="8"/>
  <c r="AV2" i="8"/>
  <c r="AW2" i="8"/>
  <c r="AX2" i="8"/>
  <c r="AY2" i="8"/>
  <c r="AZ2" i="8"/>
  <c r="BA2" i="8"/>
  <c r="BB2" i="8"/>
  <c r="BC2" i="8"/>
  <c r="BD2" i="8"/>
  <c r="BE2" i="8"/>
  <c r="BF2" i="8"/>
  <c r="BG2" i="8"/>
  <c r="BH2" i="8"/>
  <c r="BI2" i="8"/>
  <c r="BJ2" i="8"/>
  <c r="BK2" i="8"/>
  <c r="BL2" i="8"/>
  <c r="BM2" i="8"/>
  <c r="BN2" i="8"/>
  <c r="BO2" i="8"/>
  <c r="BP2" i="8"/>
  <c r="BQ2" i="8"/>
  <c r="BR2" i="8"/>
  <c r="BS2" i="8"/>
  <c r="BT2" i="8"/>
  <c r="BU2" i="8"/>
  <c r="BV2" i="8"/>
  <c r="BW2" i="8"/>
  <c r="BX2" i="8"/>
  <c r="BY2" i="8"/>
  <c r="BZ2" i="8"/>
  <c r="CA2" i="8"/>
  <c r="CB2" i="8"/>
  <c r="CC2" i="8"/>
  <c r="CD2" i="8"/>
  <c r="CE2" i="8"/>
  <c r="CF2" i="8"/>
  <c r="CG2" i="8"/>
  <c r="CH2" i="8"/>
  <c r="CI2" i="8"/>
  <c r="CJ2" i="8"/>
  <c r="CK2" i="8"/>
  <c r="CL2" i="8"/>
  <c r="CM2" i="8"/>
  <c r="CN2" i="8"/>
  <c r="CO2" i="8"/>
  <c r="CP2" i="8"/>
  <c r="CQ2" i="8"/>
  <c r="CR2" i="8"/>
  <c r="CS2" i="8"/>
  <c r="B3" i="8"/>
  <c r="C3" i="8"/>
  <c r="D3" i="8"/>
  <c r="E3" i="8"/>
  <c r="F3" i="8"/>
  <c r="G3" i="8"/>
  <c r="H3" i="8"/>
  <c r="I3" i="8"/>
  <c r="J3" i="8"/>
  <c r="K3" i="8"/>
  <c r="L3" i="8"/>
  <c r="M3" i="8"/>
  <c r="N3" i="8"/>
  <c r="O3" i="8"/>
  <c r="P3" i="8"/>
  <c r="Q3" i="8"/>
  <c r="R3" i="8"/>
  <c r="S3" i="8"/>
  <c r="T3" i="8"/>
  <c r="U3" i="8"/>
  <c r="V3" i="8"/>
  <c r="W3" i="8"/>
  <c r="X3" i="8"/>
  <c r="Y3" i="8"/>
  <c r="Z3" i="8"/>
  <c r="AA3" i="8"/>
  <c r="AB3" i="8"/>
  <c r="AC3" i="8"/>
  <c r="AD3" i="8"/>
  <c r="AE3" i="8"/>
  <c r="AF3" i="8"/>
  <c r="AG3" i="8"/>
  <c r="AH3" i="8"/>
  <c r="AI3" i="8"/>
  <c r="AJ3" i="8"/>
  <c r="AK3" i="8"/>
  <c r="AL3" i="8"/>
  <c r="AM3" i="8"/>
  <c r="AN3" i="8"/>
  <c r="AO3" i="8"/>
  <c r="AP3" i="8"/>
  <c r="AQ3" i="8"/>
  <c r="AR3" i="8"/>
  <c r="AS3" i="8"/>
  <c r="AT3" i="8"/>
  <c r="AU3" i="8"/>
  <c r="AV3" i="8"/>
  <c r="AW3" i="8"/>
  <c r="AX3" i="8"/>
  <c r="AY3" i="8"/>
  <c r="AZ3" i="8"/>
  <c r="BA3" i="8"/>
  <c r="BB3" i="8"/>
  <c r="BC3" i="8"/>
  <c r="BD3" i="8"/>
  <c r="BE3" i="8"/>
  <c r="BF3" i="8"/>
  <c r="BG3" i="8"/>
  <c r="BH3" i="8"/>
  <c r="BI3" i="8"/>
  <c r="BJ3" i="8"/>
  <c r="BK3" i="8"/>
  <c r="BL3" i="8"/>
  <c r="BM3" i="8"/>
  <c r="BN3" i="8"/>
  <c r="BO3" i="8"/>
  <c r="BP3" i="8"/>
  <c r="BQ3" i="8"/>
  <c r="BR3" i="8"/>
  <c r="BS3" i="8"/>
  <c r="BT3" i="8"/>
  <c r="BU3" i="8"/>
  <c r="BV3" i="8"/>
  <c r="BW3" i="8"/>
  <c r="BX3" i="8"/>
  <c r="BY3" i="8"/>
  <c r="BZ3" i="8"/>
  <c r="CA3" i="8"/>
  <c r="CB3" i="8"/>
  <c r="CC3" i="8"/>
  <c r="CD3" i="8"/>
  <c r="CE3" i="8"/>
  <c r="CF3" i="8"/>
  <c r="CG3" i="8"/>
  <c r="CH3" i="8"/>
  <c r="CI3" i="8"/>
  <c r="CJ3" i="8"/>
  <c r="CK3" i="8"/>
  <c r="CL3" i="8"/>
  <c r="CM3" i="8"/>
  <c r="CN3" i="8"/>
  <c r="CO3" i="8"/>
  <c r="CP3" i="8"/>
  <c r="CQ3" i="8"/>
  <c r="CR3" i="8"/>
  <c r="CS3" i="8"/>
  <c r="B4" i="8"/>
  <c r="C4" i="8"/>
  <c r="D4" i="8"/>
  <c r="E4" i="8"/>
  <c r="F4" i="8"/>
  <c r="G4" i="8"/>
  <c r="H4" i="8"/>
  <c r="I4" i="8"/>
  <c r="J4" i="8"/>
  <c r="K4" i="8"/>
  <c r="L4" i="8"/>
  <c r="M4" i="8"/>
  <c r="N4" i="8"/>
  <c r="O4" i="8"/>
  <c r="P4" i="8"/>
  <c r="Q4" i="8"/>
  <c r="R4" i="8"/>
  <c r="S4" i="8"/>
  <c r="T4" i="8"/>
  <c r="U4" i="8"/>
  <c r="V4" i="8"/>
  <c r="W4" i="8"/>
  <c r="X4" i="8"/>
  <c r="Y4" i="8"/>
  <c r="Z4" i="8"/>
  <c r="AA4" i="8"/>
  <c r="AB4" i="8"/>
  <c r="AC4" i="8"/>
  <c r="AD4" i="8"/>
  <c r="AE4" i="8"/>
  <c r="AF4" i="8"/>
  <c r="AG4" i="8"/>
  <c r="AH4" i="8"/>
  <c r="AI4" i="8"/>
  <c r="AJ4" i="8"/>
  <c r="AK4" i="8"/>
  <c r="AL4" i="8"/>
  <c r="AM4" i="8"/>
  <c r="AN4" i="8"/>
  <c r="AO4" i="8"/>
  <c r="AP4" i="8"/>
  <c r="AQ4" i="8"/>
  <c r="AR4" i="8"/>
  <c r="AS4" i="8"/>
  <c r="AT4" i="8"/>
  <c r="AU4" i="8"/>
  <c r="AV4" i="8"/>
  <c r="AW4" i="8"/>
  <c r="AX4" i="8"/>
  <c r="AY4" i="8"/>
  <c r="AZ4" i="8"/>
  <c r="BA4" i="8"/>
  <c r="BB4" i="8"/>
  <c r="BC4" i="8"/>
  <c r="BD4" i="8"/>
  <c r="BE4" i="8"/>
  <c r="BF4" i="8"/>
  <c r="BG4" i="8"/>
  <c r="BH4" i="8"/>
  <c r="BI4" i="8"/>
  <c r="BJ4" i="8"/>
  <c r="BK4" i="8"/>
  <c r="BL4" i="8"/>
  <c r="BM4" i="8"/>
  <c r="BN4" i="8"/>
  <c r="BO4" i="8"/>
  <c r="BP4" i="8"/>
  <c r="BQ4" i="8"/>
  <c r="BR4" i="8"/>
  <c r="BS4" i="8"/>
  <c r="BT4" i="8"/>
  <c r="BU4" i="8"/>
  <c r="BV4" i="8"/>
  <c r="BW4" i="8"/>
  <c r="BX4" i="8"/>
  <c r="BY4" i="8"/>
  <c r="BZ4" i="8"/>
  <c r="CA4" i="8"/>
  <c r="CB4" i="8"/>
  <c r="CC4" i="8"/>
  <c r="CD4" i="8"/>
  <c r="CE4" i="8"/>
  <c r="CF4" i="8"/>
  <c r="CG4" i="8"/>
  <c r="CH4" i="8"/>
  <c r="CI4" i="8"/>
  <c r="CJ4" i="8"/>
  <c r="CK4" i="8"/>
  <c r="CL4" i="8"/>
  <c r="CM4" i="8"/>
  <c r="CN4" i="8"/>
  <c r="CO4" i="8"/>
  <c r="CP4" i="8"/>
  <c r="CQ4" i="8"/>
  <c r="CR4" i="8"/>
  <c r="CS4" i="8"/>
  <c r="A4" i="8"/>
  <c r="A3" i="8"/>
  <c r="A2" i="8"/>
  <c r="A1" i="8"/>
  <c r="M2" i="5"/>
  <c r="M3" i="5" s="1"/>
  <c r="M4" i="5" s="1"/>
  <c r="M5" i="5" s="1"/>
  <c r="M6" i="5" s="1"/>
  <c r="M7" i="5" s="1"/>
  <c r="M8" i="5" s="1"/>
  <c r="M9" i="5" s="1"/>
  <c r="M10" i="5" s="1"/>
  <c r="M11" i="5" s="1"/>
  <c r="M12" i="5" s="1"/>
  <c r="M13" i="5" s="1"/>
  <c r="M14" i="5" s="1"/>
  <c r="M15" i="5" s="1"/>
  <c r="M16" i="5" s="1"/>
  <c r="L2" i="5"/>
  <c r="L3" i="5" s="1"/>
  <c r="L4" i="5" s="1"/>
  <c r="L5" i="5" s="1"/>
  <c r="L6" i="5" s="1"/>
  <c r="L7" i="5" s="1"/>
  <c r="L8" i="5" s="1"/>
  <c r="L9" i="5" s="1"/>
  <c r="L10" i="5" s="1"/>
  <c r="L11" i="5" s="1"/>
  <c r="L12" i="5" s="1"/>
  <c r="L13" i="5" s="1"/>
  <c r="L14" i="5" s="1"/>
  <c r="L15" i="5" s="1"/>
  <c r="L16" i="5" s="1"/>
  <c r="F3" i="5"/>
  <c r="F4" i="5"/>
  <c r="F5" i="5"/>
  <c r="F6" i="5"/>
  <c r="F7" i="5"/>
  <c r="F8" i="5"/>
  <c r="F9" i="5"/>
  <c r="F10" i="5"/>
  <c r="F11" i="5"/>
  <c r="F12" i="5"/>
  <c r="F13" i="5"/>
  <c r="F14" i="5"/>
  <c r="F15" i="5"/>
  <c r="F16" i="5"/>
  <c r="F2" i="5"/>
  <c r="B2" i="3" a="1"/>
  <c r="B2" i="3" s="1"/>
  <c r="G2" i="3" a="1"/>
  <c r="G2" i="3" s="1"/>
  <c r="H2" i="3" a="1"/>
  <c r="H2" i="3" s="1"/>
  <c r="I2" i="3" a="1"/>
  <c r="I2" i="3" s="1"/>
  <c r="J2" i="3" a="1"/>
  <c r="J2" i="3" s="1"/>
  <c r="F2" i="3" a="1"/>
  <c r="F2" i="3" s="1"/>
  <c r="C2" i="3" a="1"/>
  <c r="C2" i="3" s="1"/>
  <c r="D2" i="3" a="1"/>
  <c r="D2" i="3" s="1"/>
  <c r="E2" i="3" a="1"/>
  <c r="E2" i="3" s="1"/>
  <c r="A2" i="3" a="1"/>
  <c r="A2" i="3" s="1"/>
  <c r="F3" i="3" a="1"/>
  <c r="F3" i="3" s="1"/>
  <c r="G3" i="3" a="1"/>
  <c r="G3" i="3" s="1"/>
  <c r="H3" i="3" a="1"/>
  <c r="H3" i="3" s="1"/>
  <c r="I3" i="3" a="1"/>
  <c r="I3" i="3" s="1"/>
  <c r="J3" i="3" a="1"/>
  <c r="J3" i="3" s="1"/>
  <c r="F4" i="3" a="1"/>
  <c r="F4" i="3" s="1"/>
  <c r="G4" i="3" a="1"/>
  <c r="G4" i="3" s="1"/>
  <c r="H4" i="3" a="1"/>
  <c r="H4" i="3" s="1"/>
  <c r="I4" i="3" a="1"/>
  <c r="I4" i="3" s="1"/>
  <c r="J4" i="3" a="1"/>
  <c r="J4" i="3" s="1"/>
  <c r="F5" i="3" a="1"/>
  <c r="F5" i="3" s="1"/>
  <c r="G5" i="3" a="1"/>
  <c r="G5" i="3" s="1"/>
  <c r="H5" i="3" a="1"/>
  <c r="H5" i="3" s="1"/>
  <c r="I5" i="3" a="1"/>
  <c r="I5" i="3" s="1"/>
  <c r="J5" i="3" a="1"/>
  <c r="J5" i="3" s="1"/>
  <c r="F6" i="3" a="1"/>
  <c r="F6" i="3" s="1"/>
  <c r="G6" i="3" a="1"/>
  <c r="G6" i="3" s="1"/>
  <c r="H6" i="3" a="1"/>
  <c r="H6" i="3" s="1"/>
  <c r="I6" i="3" a="1"/>
  <c r="I6" i="3" s="1"/>
  <c r="J6" i="3" a="1"/>
  <c r="J6" i="3" s="1"/>
  <c r="F7" i="3" a="1"/>
  <c r="F7" i="3" s="1"/>
  <c r="G7" i="3" a="1"/>
  <c r="G7" i="3" s="1"/>
  <c r="H7" i="3" a="1"/>
  <c r="H7" i="3" s="1"/>
  <c r="I7" i="3" a="1"/>
  <c r="I7" i="3" s="1"/>
  <c r="J7" i="3" a="1"/>
  <c r="J7" i="3" s="1"/>
  <c r="F8" i="3" a="1"/>
  <c r="F8" i="3" s="1"/>
  <c r="G8" i="3" a="1"/>
  <c r="G8" i="3" s="1"/>
  <c r="H8" i="3" a="1"/>
  <c r="H8" i="3" s="1"/>
  <c r="I8" i="3" a="1"/>
  <c r="I8" i="3" s="1"/>
  <c r="J8" i="3" a="1"/>
  <c r="J8" i="3" s="1"/>
  <c r="F9" i="3" a="1"/>
  <c r="F9" i="3" s="1"/>
  <c r="G9" i="3" a="1"/>
  <c r="G9" i="3" s="1"/>
  <c r="H9" i="3" a="1"/>
  <c r="H9" i="3" s="1"/>
  <c r="I9" i="3" a="1"/>
  <c r="I9" i="3" s="1"/>
  <c r="J9" i="3" a="1"/>
  <c r="J9" i="3" s="1"/>
  <c r="F10" i="3" a="1"/>
  <c r="F10" i="3" s="1"/>
  <c r="G10" i="3" a="1"/>
  <c r="G10" i="3" s="1"/>
  <c r="H10" i="3" a="1"/>
  <c r="H10" i="3" s="1"/>
  <c r="I10" i="3" a="1"/>
  <c r="I10" i="3" s="1"/>
  <c r="J10" i="3" a="1"/>
  <c r="J10" i="3" s="1"/>
  <c r="F11" i="3" a="1"/>
  <c r="F11" i="3" s="1"/>
  <c r="G11" i="3" a="1"/>
  <c r="G11" i="3" s="1"/>
  <c r="H11" i="3" a="1"/>
  <c r="H11" i="3" s="1"/>
  <c r="I11" i="3" a="1"/>
  <c r="I11" i="3" s="1"/>
  <c r="J11" i="3" a="1"/>
  <c r="J11" i="3" s="1"/>
  <c r="F12" i="3" a="1"/>
  <c r="F12" i="3" s="1"/>
  <c r="G12" i="3" a="1"/>
  <c r="G12" i="3" s="1"/>
  <c r="H12" i="3" a="1"/>
  <c r="H12" i="3" s="1"/>
  <c r="I12" i="3" a="1"/>
  <c r="I12" i="3" s="1"/>
  <c r="J12" i="3" a="1"/>
  <c r="J12" i="3" s="1"/>
  <c r="F13" i="3" a="1"/>
  <c r="F13" i="3" s="1"/>
  <c r="G13" i="3" a="1"/>
  <c r="G13" i="3" s="1"/>
  <c r="H13" i="3" a="1"/>
  <c r="H13" i="3" s="1"/>
  <c r="I13" i="3" a="1"/>
  <c r="I13" i="3" s="1"/>
  <c r="J13" i="3" a="1"/>
  <c r="J13" i="3" s="1"/>
  <c r="F14" i="3" a="1"/>
  <c r="F14" i="3" s="1"/>
  <c r="G14" i="3" a="1"/>
  <c r="G14" i="3" s="1"/>
  <c r="H14" i="3" a="1"/>
  <c r="H14" i="3" s="1"/>
  <c r="I14" i="3" a="1"/>
  <c r="I14" i="3" s="1"/>
  <c r="J14" i="3" a="1"/>
  <c r="J14" i="3" s="1"/>
  <c r="F15" i="3" a="1"/>
  <c r="F15" i="3" s="1"/>
  <c r="G15" i="3" a="1"/>
  <c r="G15" i="3" s="1"/>
  <c r="H15" i="3" a="1"/>
  <c r="H15" i="3" s="1"/>
  <c r="I15" i="3" a="1"/>
  <c r="I15" i="3" s="1"/>
  <c r="J15" i="3" a="1"/>
  <c r="J15" i="3" s="1"/>
  <c r="F16" i="3" a="1"/>
  <c r="F16" i="3" s="1"/>
  <c r="G16" i="3" a="1"/>
  <c r="G16" i="3" s="1"/>
  <c r="H16" i="3" a="1"/>
  <c r="H16" i="3" s="1"/>
  <c r="I16" i="3" a="1"/>
  <c r="I16" i="3" s="1"/>
  <c r="J16" i="3" a="1"/>
  <c r="J16" i="3" s="1"/>
  <c r="F17" i="3" a="1"/>
  <c r="F17" i="3" s="1"/>
  <c r="G17" i="3" a="1"/>
  <c r="G17" i="3" s="1"/>
  <c r="H17" i="3" a="1"/>
  <c r="H17" i="3" s="1"/>
  <c r="I17" i="3" a="1"/>
  <c r="I17" i="3" s="1"/>
  <c r="J17" i="3" a="1"/>
  <c r="J17" i="3" s="1"/>
  <c r="F18" i="3" a="1"/>
  <c r="F18" i="3" s="1"/>
  <c r="G18" i="3" a="1"/>
  <c r="G18" i="3" s="1"/>
  <c r="H18" i="3" a="1"/>
  <c r="H18" i="3" s="1"/>
  <c r="I18" i="3" a="1"/>
  <c r="I18" i="3" s="1"/>
  <c r="J18" i="3" a="1"/>
  <c r="J18" i="3" s="1"/>
  <c r="F19" i="3" a="1"/>
  <c r="F19" i="3" s="1"/>
  <c r="G19" i="3" a="1"/>
  <c r="G19" i="3" s="1"/>
  <c r="H19" i="3" a="1"/>
  <c r="H19" i="3" s="1"/>
  <c r="I19" i="3" a="1"/>
  <c r="I19" i="3" s="1"/>
  <c r="J19" i="3" a="1"/>
  <c r="J19" i="3" s="1"/>
  <c r="F20" i="3" a="1"/>
  <c r="F20" i="3" s="1"/>
  <c r="G20" i="3" a="1"/>
  <c r="G20" i="3" s="1"/>
  <c r="H20" i="3" a="1"/>
  <c r="H20" i="3" s="1"/>
  <c r="I20" i="3" a="1"/>
  <c r="I20" i="3" s="1"/>
  <c r="J20" i="3" a="1"/>
  <c r="J20" i="3" s="1"/>
  <c r="F21" i="3" a="1"/>
  <c r="F21" i="3" s="1"/>
  <c r="G21" i="3" a="1"/>
  <c r="G21" i="3" s="1"/>
  <c r="H21" i="3" a="1"/>
  <c r="H21" i="3" s="1"/>
  <c r="I21" i="3" a="1"/>
  <c r="I21" i="3" s="1"/>
  <c r="J21" i="3" a="1"/>
  <c r="J21" i="3" s="1"/>
  <c r="F22" i="3" a="1"/>
  <c r="F22" i="3" s="1"/>
  <c r="G22" i="3" a="1"/>
  <c r="G22" i="3" s="1"/>
  <c r="H22" i="3" a="1"/>
  <c r="H22" i="3" s="1"/>
  <c r="I22" i="3" a="1"/>
  <c r="I22" i="3" s="1"/>
  <c r="J22" i="3" a="1"/>
  <c r="J22" i="3" s="1"/>
  <c r="F23" i="3" a="1"/>
  <c r="F23" i="3" s="1"/>
  <c r="G23" i="3" a="1"/>
  <c r="G23" i="3" s="1"/>
  <c r="H23" i="3" a="1"/>
  <c r="H23" i="3" s="1"/>
  <c r="I23" i="3" a="1"/>
  <c r="I23" i="3" s="1"/>
  <c r="J23" i="3" a="1"/>
  <c r="J23" i="3" s="1"/>
  <c r="F24" i="3" a="1"/>
  <c r="F24" i="3" s="1"/>
  <c r="G24" i="3" a="1"/>
  <c r="G24" i="3" s="1"/>
  <c r="H24" i="3" a="1"/>
  <c r="H24" i="3" s="1"/>
  <c r="I24" i="3" a="1"/>
  <c r="I24" i="3" s="1"/>
  <c r="J24" i="3" a="1"/>
  <c r="J24" i="3" s="1"/>
  <c r="F25" i="3" a="1"/>
  <c r="F25" i="3" s="1"/>
  <c r="G25" i="3" a="1"/>
  <c r="G25" i="3" s="1"/>
  <c r="H25" i="3" a="1"/>
  <c r="H25" i="3" s="1"/>
  <c r="I25" i="3" a="1"/>
  <c r="I25" i="3" s="1"/>
  <c r="J25" i="3" a="1"/>
  <c r="J25" i="3" s="1"/>
  <c r="F26" i="3" a="1"/>
  <c r="F26" i="3" s="1"/>
  <c r="G26" i="3" a="1"/>
  <c r="G26" i="3" s="1"/>
  <c r="H26" i="3" a="1"/>
  <c r="H26" i="3" s="1"/>
  <c r="I26" i="3" a="1"/>
  <c r="I26" i="3" s="1"/>
  <c r="J26" i="3" a="1"/>
  <c r="J26" i="3" s="1"/>
  <c r="F27" i="3" a="1"/>
  <c r="F27" i="3" s="1"/>
  <c r="G27" i="3" a="1"/>
  <c r="G27" i="3" s="1"/>
  <c r="H27" i="3" a="1"/>
  <c r="H27" i="3" s="1"/>
  <c r="I27" i="3" a="1"/>
  <c r="I27" i="3" s="1"/>
  <c r="J27" i="3" a="1"/>
  <c r="J27" i="3" s="1"/>
  <c r="F28" i="3" a="1"/>
  <c r="F28" i="3" s="1"/>
  <c r="G28" i="3" a="1"/>
  <c r="G28" i="3" s="1"/>
  <c r="H28" i="3" a="1"/>
  <c r="H28" i="3" s="1"/>
  <c r="I28" i="3" a="1"/>
  <c r="I28" i="3" s="1"/>
  <c r="J28" i="3" a="1"/>
  <c r="J28" i="3" s="1"/>
  <c r="F29" i="3" a="1"/>
  <c r="F29" i="3" s="1"/>
  <c r="G29" i="3" a="1"/>
  <c r="G29" i="3" s="1"/>
  <c r="H29" i="3" a="1"/>
  <c r="H29" i="3" s="1"/>
  <c r="I29" i="3" a="1"/>
  <c r="I29" i="3" s="1"/>
  <c r="J29" i="3" a="1"/>
  <c r="J29" i="3" s="1"/>
  <c r="F30" i="3" a="1"/>
  <c r="F30" i="3" s="1"/>
  <c r="G30" i="3" a="1"/>
  <c r="G30" i="3" s="1"/>
  <c r="H30" i="3" a="1"/>
  <c r="H30" i="3" s="1"/>
  <c r="I30" i="3" a="1"/>
  <c r="I30" i="3" s="1"/>
  <c r="J30" i="3" a="1"/>
  <c r="J30" i="3" s="1"/>
  <c r="F31" i="3" a="1"/>
  <c r="F31" i="3" s="1"/>
  <c r="G31" i="3" a="1"/>
  <c r="G31" i="3" s="1"/>
  <c r="H31" i="3" a="1"/>
  <c r="H31" i="3" s="1"/>
  <c r="I31" i="3" a="1"/>
  <c r="I31" i="3" s="1"/>
  <c r="J31" i="3" a="1"/>
  <c r="J31" i="3" s="1"/>
  <c r="F32" i="3" a="1"/>
  <c r="F32" i="3" s="1"/>
  <c r="G32" i="3" a="1"/>
  <c r="G32" i="3" s="1"/>
  <c r="H32" i="3" a="1"/>
  <c r="H32" i="3" s="1"/>
  <c r="I32" i="3" a="1"/>
  <c r="I32" i="3" s="1"/>
  <c r="J32" i="3" a="1"/>
  <c r="J32" i="3" s="1"/>
  <c r="F33" i="3" a="1"/>
  <c r="F33" i="3" s="1"/>
  <c r="G33" i="3" a="1"/>
  <c r="G33" i="3" s="1"/>
  <c r="H33" i="3" a="1"/>
  <c r="H33" i="3" s="1"/>
  <c r="I33" i="3" a="1"/>
  <c r="I33" i="3" s="1"/>
  <c r="J33" i="3" a="1"/>
  <c r="J33" i="3" s="1"/>
  <c r="F34" i="3" a="1"/>
  <c r="F34" i="3" s="1"/>
  <c r="G34" i="3" a="1"/>
  <c r="G34" i="3" s="1"/>
  <c r="H34" i="3" a="1"/>
  <c r="H34" i="3" s="1"/>
  <c r="I34" i="3" a="1"/>
  <c r="I34" i="3" s="1"/>
  <c r="J34" i="3" a="1"/>
  <c r="J34" i="3" s="1"/>
  <c r="F35" i="3" a="1"/>
  <c r="F35" i="3" s="1"/>
  <c r="G35" i="3" a="1"/>
  <c r="G35" i="3" s="1"/>
  <c r="H35" i="3" a="1"/>
  <c r="H35" i="3" s="1"/>
  <c r="I35" i="3" a="1"/>
  <c r="I35" i="3" s="1"/>
  <c r="J35" i="3" a="1"/>
  <c r="J35" i="3" s="1"/>
  <c r="F36" i="3" a="1"/>
  <c r="F36" i="3" s="1"/>
  <c r="G36" i="3" a="1"/>
  <c r="G36" i="3" s="1"/>
  <c r="H36" i="3" a="1"/>
  <c r="H36" i="3" s="1"/>
  <c r="I36" i="3" a="1"/>
  <c r="I36" i="3" s="1"/>
  <c r="J36" i="3" a="1"/>
  <c r="J36" i="3" s="1"/>
  <c r="F37" i="3" a="1"/>
  <c r="F37" i="3" s="1"/>
  <c r="G37" i="3" a="1"/>
  <c r="G37" i="3" s="1"/>
  <c r="H37" i="3" a="1"/>
  <c r="H37" i="3" s="1"/>
  <c r="I37" i="3" a="1"/>
  <c r="I37" i="3" s="1"/>
  <c r="J37" i="3" a="1"/>
  <c r="J37" i="3" s="1"/>
  <c r="F38" i="3" a="1"/>
  <c r="F38" i="3" s="1"/>
  <c r="G38" i="3" a="1"/>
  <c r="G38" i="3" s="1"/>
  <c r="H38" i="3" a="1"/>
  <c r="H38" i="3" s="1"/>
  <c r="I38" i="3" a="1"/>
  <c r="I38" i="3" s="1"/>
  <c r="J38" i="3" a="1"/>
  <c r="J38" i="3" s="1"/>
  <c r="F39" i="3" a="1"/>
  <c r="F39" i="3" s="1"/>
  <c r="G39" i="3" a="1"/>
  <c r="G39" i="3" s="1"/>
  <c r="H39" i="3" a="1"/>
  <c r="H39" i="3" s="1"/>
  <c r="I39" i="3" a="1"/>
  <c r="I39" i="3" s="1"/>
  <c r="J39" i="3" a="1"/>
  <c r="J39" i="3" s="1"/>
  <c r="F40" i="3" a="1"/>
  <c r="F40" i="3" s="1"/>
  <c r="G40" i="3" a="1"/>
  <c r="G40" i="3" s="1"/>
  <c r="H40" i="3" a="1"/>
  <c r="H40" i="3" s="1"/>
  <c r="I40" i="3" a="1"/>
  <c r="I40" i="3" s="1"/>
  <c r="J40" i="3" a="1"/>
  <c r="J40" i="3" s="1"/>
  <c r="F41" i="3" a="1"/>
  <c r="F41" i="3" s="1"/>
  <c r="G41" i="3" a="1"/>
  <c r="G41" i="3" s="1"/>
  <c r="H41" i="3" a="1"/>
  <c r="H41" i="3" s="1"/>
  <c r="I41" i="3" a="1"/>
  <c r="I41" i="3" s="1"/>
  <c r="J41" i="3" a="1"/>
  <c r="J41" i="3" s="1"/>
  <c r="F42" i="3" a="1"/>
  <c r="F42" i="3" s="1"/>
  <c r="G42" i="3" a="1"/>
  <c r="G42" i="3" s="1"/>
  <c r="H42" i="3" a="1"/>
  <c r="H42" i="3" s="1"/>
  <c r="I42" i="3" a="1"/>
  <c r="I42" i="3" s="1"/>
  <c r="J42" i="3" a="1"/>
  <c r="J42" i="3" s="1"/>
  <c r="F43" i="3" a="1"/>
  <c r="F43" i="3" s="1"/>
  <c r="G43" i="3" a="1"/>
  <c r="G43" i="3" s="1"/>
  <c r="H43" i="3" a="1"/>
  <c r="H43" i="3" s="1"/>
  <c r="I43" i="3" a="1"/>
  <c r="I43" i="3" s="1"/>
  <c r="J43" i="3" a="1"/>
  <c r="J43" i="3" s="1"/>
  <c r="F44" i="3" a="1"/>
  <c r="F44" i="3" s="1"/>
  <c r="G44" i="3" a="1"/>
  <c r="G44" i="3" s="1"/>
  <c r="H44" i="3" a="1"/>
  <c r="H44" i="3" s="1"/>
  <c r="I44" i="3" a="1"/>
  <c r="I44" i="3" s="1"/>
  <c r="J44" i="3" a="1"/>
  <c r="J44" i="3" s="1"/>
  <c r="F45" i="3" a="1"/>
  <c r="F45" i="3" s="1"/>
  <c r="G45" i="3" a="1"/>
  <c r="G45" i="3" s="1"/>
  <c r="H45" i="3" a="1"/>
  <c r="H45" i="3" s="1"/>
  <c r="I45" i="3" a="1"/>
  <c r="I45" i="3" s="1"/>
  <c r="J45" i="3" a="1"/>
  <c r="J45" i="3" s="1"/>
  <c r="F46" i="3" a="1"/>
  <c r="F46" i="3" s="1"/>
  <c r="G46" i="3" a="1"/>
  <c r="G46" i="3" s="1"/>
  <c r="H46" i="3" a="1"/>
  <c r="H46" i="3" s="1"/>
  <c r="I46" i="3" a="1"/>
  <c r="I46" i="3" s="1"/>
  <c r="J46" i="3" a="1"/>
  <c r="J46" i="3" s="1"/>
  <c r="F47" i="3" a="1"/>
  <c r="F47" i="3" s="1"/>
  <c r="G47" i="3" a="1"/>
  <c r="G47" i="3" s="1"/>
  <c r="H47" i="3" a="1"/>
  <c r="H47" i="3" s="1"/>
  <c r="I47" i="3" a="1"/>
  <c r="I47" i="3" s="1"/>
  <c r="J47" i="3" a="1"/>
  <c r="J47" i="3" s="1"/>
  <c r="F48" i="3" a="1"/>
  <c r="F48" i="3" s="1"/>
  <c r="G48" i="3" a="1"/>
  <c r="G48" i="3" s="1"/>
  <c r="H48" i="3" a="1"/>
  <c r="H48" i="3" s="1"/>
  <c r="I48" i="3" a="1"/>
  <c r="I48" i="3" s="1"/>
  <c r="J48" i="3" a="1"/>
  <c r="J48" i="3" s="1"/>
  <c r="F49" i="3" a="1"/>
  <c r="F49" i="3" s="1"/>
  <c r="G49" i="3" a="1"/>
  <c r="G49" i="3" s="1"/>
  <c r="H49" i="3" a="1"/>
  <c r="H49" i="3" s="1"/>
  <c r="I49" i="3" a="1"/>
  <c r="I49" i="3" s="1"/>
  <c r="J49" i="3" a="1"/>
  <c r="J49" i="3" s="1"/>
  <c r="F50" i="3" a="1"/>
  <c r="F50" i="3" s="1"/>
  <c r="G50" i="3" a="1"/>
  <c r="G50" i="3" s="1"/>
  <c r="H50" i="3" a="1"/>
  <c r="H50" i="3" s="1"/>
  <c r="I50" i="3" a="1"/>
  <c r="I50" i="3" s="1"/>
  <c r="J50" i="3" a="1"/>
  <c r="J50" i="3" s="1"/>
  <c r="F51" i="3" a="1"/>
  <c r="F51" i="3" s="1"/>
  <c r="G51" i="3" a="1"/>
  <c r="G51" i="3" s="1"/>
  <c r="H51" i="3" a="1"/>
  <c r="H51" i="3" s="1"/>
  <c r="I51" i="3" a="1"/>
  <c r="I51" i="3" s="1"/>
  <c r="J51" i="3" a="1"/>
  <c r="J51" i="3" s="1"/>
  <c r="F52" i="3" a="1"/>
  <c r="F52" i="3" s="1"/>
  <c r="G52" i="3" a="1"/>
  <c r="G52" i="3" s="1"/>
  <c r="H52" i="3" a="1"/>
  <c r="H52" i="3" s="1"/>
  <c r="I52" i="3" a="1"/>
  <c r="I52" i="3" s="1"/>
  <c r="J52" i="3" a="1"/>
  <c r="J52" i="3" s="1"/>
  <c r="F53" i="3" a="1"/>
  <c r="F53" i="3" s="1"/>
  <c r="G53" i="3" a="1"/>
  <c r="G53" i="3" s="1"/>
  <c r="H53" i="3" a="1"/>
  <c r="H53" i="3" s="1"/>
  <c r="I53" i="3" a="1"/>
  <c r="I53" i="3" s="1"/>
  <c r="J53" i="3" a="1"/>
  <c r="J53" i="3" s="1"/>
  <c r="F54" i="3" a="1"/>
  <c r="F54" i="3" s="1"/>
  <c r="G54" i="3" a="1"/>
  <c r="G54" i="3" s="1"/>
  <c r="H54" i="3" a="1"/>
  <c r="H54" i="3" s="1"/>
  <c r="I54" i="3" a="1"/>
  <c r="I54" i="3" s="1"/>
  <c r="J54" i="3" a="1"/>
  <c r="J54" i="3" s="1"/>
  <c r="F55" i="3" a="1"/>
  <c r="F55" i="3" s="1"/>
  <c r="G55" i="3" a="1"/>
  <c r="G55" i="3" s="1"/>
  <c r="H55" i="3" a="1"/>
  <c r="H55" i="3" s="1"/>
  <c r="I55" i="3" a="1"/>
  <c r="I55" i="3" s="1"/>
  <c r="J55" i="3" a="1"/>
  <c r="J55" i="3" s="1"/>
  <c r="F56" i="3" a="1"/>
  <c r="F56" i="3" s="1"/>
  <c r="G56" i="3" a="1"/>
  <c r="G56" i="3" s="1"/>
  <c r="H56" i="3" a="1"/>
  <c r="H56" i="3" s="1"/>
  <c r="I56" i="3" a="1"/>
  <c r="I56" i="3" s="1"/>
  <c r="J56" i="3" a="1"/>
  <c r="J56" i="3" s="1"/>
  <c r="F57" i="3" a="1"/>
  <c r="F57" i="3" s="1"/>
  <c r="G57" i="3" a="1"/>
  <c r="G57" i="3" s="1"/>
  <c r="H57" i="3" a="1"/>
  <c r="H57" i="3" s="1"/>
  <c r="I57" i="3" a="1"/>
  <c r="I57" i="3" s="1"/>
  <c r="J57" i="3" a="1"/>
  <c r="J57" i="3" s="1"/>
  <c r="F58" i="3" a="1"/>
  <c r="F58" i="3" s="1"/>
  <c r="G58" i="3" a="1"/>
  <c r="G58" i="3" s="1"/>
  <c r="H58" i="3" a="1"/>
  <c r="H58" i="3" s="1"/>
  <c r="I58" i="3" a="1"/>
  <c r="I58" i="3" s="1"/>
  <c r="J58" i="3" a="1"/>
  <c r="J58" i="3" s="1"/>
  <c r="F59" i="3" a="1"/>
  <c r="F59" i="3" s="1"/>
  <c r="G59" i="3" a="1"/>
  <c r="G59" i="3" s="1"/>
  <c r="H59" i="3" a="1"/>
  <c r="H59" i="3" s="1"/>
  <c r="I59" i="3" a="1"/>
  <c r="I59" i="3" s="1"/>
  <c r="J59" i="3" a="1"/>
  <c r="J59" i="3" s="1"/>
  <c r="F60" i="3" a="1"/>
  <c r="F60" i="3" s="1"/>
  <c r="G60" i="3" a="1"/>
  <c r="G60" i="3" s="1"/>
  <c r="H60" i="3" a="1"/>
  <c r="H60" i="3" s="1"/>
  <c r="I60" i="3" a="1"/>
  <c r="I60" i="3" s="1"/>
  <c r="J60" i="3" a="1"/>
  <c r="J60" i="3" s="1"/>
  <c r="F61" i="3" a="1"/>
  <c r="F61" i="3" s="1"/>
  <c r="G61" i="3" a="1"/>
  <c r="G61" i="3" s="1"/>
  <c r="H61" i="3" a="1"/>
  <c r="H61" i="3" s="1"/>
  <c r="I61" i="3" a="1"/>
  <c r="I61" i="3" s="1"/>
  <c r="J61" i="3" a="1"/>
  <c r="J61" i="3" s="1"/>
  <c r="F62" i="3" a="1"/>
  <c r="F62" i="3" s="1"/>
  <c r="G62" i="3" a="1"/>
  <c r="G62" i="3" s="1"/>
  <c r="H62" i="3" a="1"/>
  <c r="H62" i="3" s="1"/>
  <c r="I62" i="3" a="1"/>
  <c r="I62" i="3" s="1"/>
  <c r="J62" i="3" a="1"/>
  <c r="J62" i="3" s="1"/>
  <c r="F63" i="3" a="1"/>
  <c r="F63" i="3" s="1"/>
  <c r="G63" i="3" a="1"/>
  <c r="G63" i="3" s="1"/>
  <c r="H63" i="3" a="1"/>
  <c r="H63" i="3" s="1"/>
  <c r="I63" i="3" a="1"/>
  <c r="I63" i="3" s="1"/>
  <c r="J63" i="3" a="1"/>
  <c r="J63" i="3" s="1"/>
  <c r="F64" i="3" a="1"/>
  <c r="F64" i="3" s="1"/>
  <c r="G64" i="3" a="1"/>
  <c r="G64" i="3" s="1"/>
  <c r="H64" i="3" a="1"/>
  <c r="H64" i="3" s="1"/>
  <c r="I64" i="3" a="1"/>
  <c r="I64" i="3" s="1"/>
  <c r="J64" i="3" a="1"/>
  <c r="J64" i="3" s="1"/>
  <c r="F65" i="3" a="1"/>
  <c r="F65" i="3" s="1"/>
  <c r="G65" i="3" a="1"/>
  <c r="G65" i="3" s="1"/>
  <c r="H65" i="3" a="1"/>
  <c r="H65" i="3" s="1"/>
  <c r="I65" i="3" a="1"/>
  <c r="I65" i="3" s="1"/>
  <c r="J65" i="3" a="1"/>
  <c r="J65" i="3" s="1"/>
  <c r="F66" i="3" a="1"/>
  <c r="F66" i="3" s="1"/>
  <c r="G66" i="3" a="1"/>
  <c r="G66" i="3" s="1"/>
  <c r="H66" i="3" a="1"/>
  <c r="H66" i="3" s="1"/>
  <c r="I66" i="3" a="1"/>
  <c r="I66" i="3" s="1"/>
  <c r="J66" i="3" a="1"/>
  <c r="J66" i="3" s="1"/>
  <c r="F67" i="3" a="1"/>
  <c r="F67" i="3" s="1"/>
  <c r="G67" i="3" a="1"/>
  <c r="G67" i="3" s="1"/>
  <c r="H67" i="3" a="1"/>
  <c r="H67" i="3" s="1"/>
  <c r="I67" i="3" a="1"/>
  <c r="I67" i="3" s="1"/>
  <c r="J67" i="3" a="1"/>
  <c r="J67" i="3" s="1"/>
  <c r="F68" i="3" a="1"/>
  <c r="F68" i="3" s="1"/>
  <c r="G68" i="3" a="1"/>
  <c r="G68" i="3" s="1"/>
  <c r="H68" i="3" a="1"/>
  <c r="H68" i="3" s="1"/>
  <c r="I68" i="3" a="1"/>
  <c r="I68" i="3" s="1"/>
  <c r="J68" i="3" a="1"/>
  <c r="J68" i="3" s="1"/>
  <c r="F69" i="3" a="1"/>
  <c r="F69" i="3" s="1"/>
  <c r="G69" i="3" a="1"/>
  <c r="G69" i="3" s="1"/>
  <c r="H69" i="3" a="1"/>
  <c r="H69" i="3" s="1"/>
  <c r="I69" i="3" a="1"/>
  <c r="I69" i="3" s="1"/>
  <c r="J69" i="3" a="1"/>
  <c r="J69" i="3" s="1"/>
  <c r="F70" i="3" a="1"/>
  <c r="F70" i="3" s="1"/>
  <c r="G70" i="3" a="1"/>
  <c r="G70" i="3" s="1"/>
  <c r="H70" i="3" a="1"/>
  <c r="H70" i="3" s="1"/>
  <c r="I70" i="3" a="1"/>
  <c r="I70" i="3" s="1"/>
  <c r="J70" i="3" a="1"/>
  <c r="J70" i="3" s="1"/>
  <c r="F71" i="3" a="1"/>
  <c r="F71" i="3" s="1"/>
  <c r="G71" i="3" a="1"/>
  <c r="G71" i="3" s="1"/>
  <c r="H71" i="3" a="1"/>
  <c r="H71" i="3" s="1"/>
  <c r="I71" i="3" a="1"/>
  <c r="I71" i="3" s="1"/>
  <c r="J71" i="3" a="1"/>
  <c r="J71" i="3" s="1"/>
  <c r="F72" i="3" a="1"/>
  <c r="F72" i="3" s="1"/>
  <c r="G72" i="3" a="1"/>
  <c r="G72" i="3" s="1"/>
  <c r="H72" i="3" a="1"/>
  <c r="H72" i="3" s="1"/>
  <c r="I72" i="3" a="1"/>
  <c r="I72" i="3" s="1"/>
  <c r="J72" i="3" a="1"/>
  <c r="J72" i="3" s="1"/>
  <c r="F73" i="3" a="1"/>
  <c r="F73" i="3" s="1"/>
  <c r="G73" i="3" a="1"/>
  <c r="G73" i="3" s="1"/>
  <c r="H73" i="3" a="1"/>
  <c r="H73" i="3" s="1"/>
  <c r="I73" i="3" a="1"/>
  <c r="I73" i="3" s="1"/>
  <c r="J73" i="3" a="1"/>
  <c r="J73" i="3" s="1"/>
  <c r="F74" i="3" a="1"/>
  <c r="F74" i="3" s="1"/>
  <c r="G74" i="3" a="1"/>
  <c r="G74" i="3" s="1"/>
  <c r="H74" i="3" a="1"/>
  <c r="H74" i="3" s="1"/>
  <c r="I74" i="3" a="1"/>
  <c r="I74" i="3" s="1"/>
  <c r="J74" i="3" a="1"/>
  <c r="J74" i="3" s="1"/>
  <c r="F75" i="3" a="1"/>
  <c r="F75" i="3" s="1"/>
  <c r="G75" i="3" a="1"/>
  <c r="G75" i="3" s="1"/>
  <c r="H75" i="3" a="1"/>
  <c r="H75" i="3" s="1"/>
  <c r="I75" i="3" a="1"/>
  <c r="I75" i="3" s="1"/>
  <c r="J75" i="3" a="1"/>
  <c r="J75" i="3" s="1"/>
  <c r="F76" i="3" a="1"/>
  <c r="F76" i="3" s="1"/>
  <c r="G76" i="3" a="1"/>
  <c r="G76" i="3" s="1"/>
  <c r="H76" i="3" a="1"/>
  <c r="H76" i="3" s="1"/>
  <c r="I76" i="3" a="1"/>
  <c r="I76" i="3" s="1"/>
  <c r="J76" i="3" a="1"/>
  <c r="J76" i="3" s="1"/>
  <c r="F77" i="3" a="1"/>
  <c r="F77" i="3" s="1"/>
  <c r="G77" i="3" a="1"/>
  <c r="G77" i="3" s="1"/>
  <c r="H77" i="3" a="1"/>
  <c r="H77" i="3" s="1"/>
  <c r="I77" i="3" a="1"/>
  <c r="I77" i="3" s="1"/>
  <c r="J77" i="3" a="1"/>
  <c r="J77" i="3" s="1"/>
  <c r="F78" i="3" a="1"/>
  <c r="F78" i="3" s="1"/>
  <c r="G78" i="3" a="1"/>
  <c r="G78" i="3" s="1"/>
  <c r="H78" i="3" a="1"/>
  <c r="H78" i="3" s="1"/>
  <c r="I78" i="3" a="1"/>
  <c r="I78" i="3" s="1"/>
  <c r="J78" i="3" a="1"/>
  <c r="J78" i="3" s="1"/>
  <c r="F79" i="3" a="1"/>
  <c r="F79" i="3" s="1"/>
  <c r="G79" i="3" a="1"/>
  <c r="G79" i="3" s="1"/>
  <c r="H79" i="3" a="1"/>
  <c r="H79" i="3" s="1"/>
  <c r="I79" i="3" a="1"/>
  <c r="I79" i="3" s="1"/>
  <c r="J79" i="3" a="1"/>
  <c r="J79" i="3" s="1"/>
  <c r="F80" i="3" a="1"/>
  <c r="F80" i="3" s="1"/>
  <c r="G80" i="3" a="1"/>
  <c r="G80" i="3" s="1"/>
  <c r="H80" i="3" a="1"/>
  <c r="H80" i="3" s="1"/>
  <c r="I80" i="3" a="1"/>
  <c r="I80" i="3" s="1"/>
  <c r="J80" i="3" a="1"/>
  <c r="J80" i="3" s="1"/>
  <c r="F81" i="3" a="1"/>
  <c r="F81" i="3" s="1"/>
  <c r="G81" i="3" a="1"/>
  <c r="G81" i="3" s="1"/>
  <c r="H81" i="3" a="1"/>
  <c r="H81" i="3" s="1"/>
  <c r="I81" i="3" a="1"/>
  <c r="I81" i="3" s="1"/>
  <c r="J81" i="3" a="1"/>
  <c r="J81" i="3" s="1"/>
  <c r="F82" i="3" a="1"/>
  <c r="F82" i="3" s="1"/>
  <c r="G82" i="3" a="1"/>
  <c r="G82" i="3" s="1"/>
  <c r="H82" i="3" a="1"/>
  <c r="H82" i="3" s="1"/>
  <c r="I82" i="3" a="1"/>
  <c r="I82" i="3" s="1"/>
  <c r="J82" i="3" a="1"/>
  <c r="J82" i="3" s="1"/>
  <c r="F83" i="3" a="1"/>
  <c r="F83" i="3" s="1"/>
  <c r="G83" i="3" a="1"/>
  <c r="G83" i="3" s="1"/>
  <c r="H83" i="3" a="1"/>
  <c r="H83" i="3" s="1"/>
  <c r="I83" i="3" a="1"/>
  <c r="I83" i="3" s="1"/>
  <c r="J83" i="3" a="1"/>
  <c r="J83" i="3" s="1"/>
  <c r="F84" i="3" a="1"/>
  <c r="F84" i="3" s="1"/>
  <c r="G84" i="3" a="1"/>
  <c r="G84" i="3" s="1"/>
  <c r="H84" i="3" a="1"/>
  <c r="H84" i="3" s="1"/>
  <c r="I84" i="3" a="1"/>
  <c r="I84" i="3" s="1"/>
  <c r="J84" i="3" a="1"/>
  <c r="J84" i="3" s="1"/>
  <c r="F85" i="3" a="1"/>
  <c r="F85" i="3" s="1"/>
  <c r="G85" i="3" a="1"/>
  <c r="G85" i="3" s="1"/>
  <c r="H85" i="3" a="1"/>
  <c r="H85" i="3" s="1"/>
  <c r="I85" i="3" a="1"/>
  <c r="I85" i="3" s="1"/>
  <c r="J85" i="3" a="1"/>
  <c r="J85" i="3" s="1"/>
  <c r="F86" i="3" a="1"/>
  <c r="F86" i="3" s="1"/>
  <c r="G86" i="3" a="1"/>
  <c r="G86" i="3" s="1"/>
  <c r="H86" i="3" a="1"/>
  <c r="H86" i="3" s="1"/>
  <c r="I86" i="3" a="1"/>
  <c r="I86" i="3" s="1"/>
  <c r="J86" i="3" a="1"/>
  <c r="J86" i="3" s="1"/>
  <c r="F87" i="3" a="1"/>
  <c r="F87" i="3" s="1"/>
  <c r="G87" i="3" a="1"/>
  <c r="G87" i="3" s="1"/>
  <c r="H87" i="3" a="1"/>
  <c r="H87" i="3" s="1"/>
  <c r="I87" i="3" a="1"/>
  <c r="I87" i="3" s="1"/>
  <c r="J87" i="3" a="1"/>
  <c r="J87" i="3" s="1"/>
  <c r="F88" i="3" a="1"/>
  <c r="F88" i="3" s="1"/>
  <c r="G88" i="3" a="1"/>
  <c r="G88" i="3" s="1"/>
  <c r="H88" i="3" a="1"/>
  <c r="H88" i="3" s="1"/>
  <c r="I88" i="3" a="1"/>
  <c r="I88" i="3" s="1"/>
  <c r="J88" i="3" a="1"/>
  <c r="J88" i="3" s="1"/>
  <c r="F89" i="3" a="1"/>
  <c r="F89" i="3" s="1"/>
  <c r="G89" i="3" a="1"/>
  <c r="G89" i="3" s="1"/>
  <c r="H89" i="3" a="1"/>
  <c r="H89" i="3" s="1"/>
  <c r="I89" i="3" a="1"/>
  <c r="I89" i="3" s="1"/>
  <c r="J89" i="3" a="1"/>
  <c r="J89" i="3" s="1"/>
  <c r="F90" i="3" a="1"/>
  <c r="F90" i="3" s="1"/>
  <c r="G90" i="3" a="1"/>
  <c r="G90" i="3" s="1"/>
  <c r="H90" i="3" a="1"/>
  <c r="H90" i="3" s="1"/>
  <c r="I90" i="3" a="1"/>
  <c r="I90" i="3" s="1"/>
  <c r="J90" i="3" a="1"/>
  <c r="J90" i="3" s="1"/>
  <c r="F91" i="3" a="1"/>
  <c r="F91" i="3" s="1"/>
  <c r="G91" i="3" a="1"/>
  <c r="G91" i="3" s="1"/>
  <c r="H91" i="3" a="1"/>
  <c r="H91" i="3" s="1"/>
  <c r="I91" i="3" a="1"/>
  <c r="I91" i="3" s="1"/>
  <c r="J91" i="3" a="1"/>
  <c r="J91" i="3" s="1"/>
  <c r="F92" i="3" a="1"/>
  <c r="F92" i="3" s="1"/>
  <c r="G92" i="3" a="1"/>
  <c r="G92" i="3" s="1"/>
  <c r="H92" i="3" a="1"/>
  <c r="H92" i="3" s="1"/>
  <c r="I92" i="3" a="1"/>
  <c r="I92" i="3" s="1"/>
  <c r="J92" i="3" a="1"/>
  <c r="J92" i="3" s="1"/>
  <c r="F93" i="3" a="1"/>
  <c r="F93" i="3" s="1"/>
  <c r="G93" i="3" a="1"/>
  <c r="G93" i="3" s="1"/>
  <c r="H93" i="3" a="1"/>
  <c r="H93" i="3" s="1"/>
  <c r="I93" i="3" a="1"/>
  <c r="I93" i="3" s="1"/>
  <c r="J93" i="3" a="1"/>
  <c r="J93" i="3" s="1"/>
  <c r="F94" i="3" a="1"/>
  <c r="F94" i="3" s="1"/>
  <c r="G94" i="3" a="1"/>
  <c r="G94" i="3" s="1"/>
  <c r="H94" i="3" a="1"/>
  <c r="H94" i="3" s="1"/>
  <c r="I94" i="3" a="1"/>
  <c r="I94" i="3" s="1"/>
  <c r="J94" i="3" a="1"/>
  <c r="J94" i="3" s="1"/>
  <c r="F95" i="3" a="1"/>
  <c r="F95" i="3" s="1"/>
  <c r="G95" i="3" a="1"/>
  <c r="G95" i="3" s="1"/>
  <c r="H95" i="3" a="1"/>
  <c r="H95" i="3" s="1"/>
  <c r="I95" i="3" a="1"/>
  <c r="I95" i="3" s="1"/>
  <c r="J95" i="3" a="1"/>
  <c r="J95" i="3" s="1"/>
  <c r="F96" i="3" a="1"/>
  <c r="F96" i="3" s="1"/>
  <c r="G96" i="3" a="1"/>
  <c r="G96" i="3" s="1"/>
  <c r="H96" i="3" a="1"/>
  <c r="H96" i="3" s="1"/>
  <c r="I96" i="3" a="1"/>
  <c r="I96" i="3" s="1"/>
  <c r="J96" i="3" a="1"/>
  <c r="J96" i="3" s="1"/>
  <c r="F97" i="3" a="1"/>
  <c r="F97" i="3" s="1"/>
  <c r="G97" i="3" a="1"/>
  <c r="G97" i="3" s="1"/>
  <c r="H97" i="3" a="1"/>
  <c r="H97" i="3" s="1"/>
  <c r="I97" i="3" a="1"/>
  <c r="I97" i="3" s="1"/>
  <c r="J97" i="3" a="1"/>
  <c r="J97" i="3" s="1"/>
  <c r="F98" i="3" a="1"/>
  <c r="F98" i="3" s="1"/>
  <c r="G98" i="3" a="1"/>
  <c r="G98" i="3" s="1"/>
  <c r="H98" i="3" a="1"/>
  <c r="H98" i="3" s="1"/>
  <c r="I98" i="3" a="1"/>
  <c r="I98" i="3" s="1"/>
  <c r="J98" i="3" a="1"/>
  <c r="J98" i="3" s="1"/>
  <c r="A3" i="3" a="1"/>
  <c r="A3" i="3" s="1"/>
  <c r="B3" i="3" a="1"/>
  <c r="B3" i="3" s="1"/>
  <c r="C3" i="3" a="1"/>
  <c r="C3" i="3" s="1"/>
  <c r="D3" i="3" a="1"/>
  <c r="D3" i="3" s="1"/>
  <c r="E3" i="3" a="1"/>
  <c r="E3" i="3" s="1"/>
  <c r="A4" i="3" a="1"/>
  <c r="A4" i="3" s="1"/>
  <c r="B4" i="3" a="1"/>
  <c r="B4" i="3" s="1"/>
  <c r="C4" i="3" a="1"/>
  <c r="C4" i="3" s="1"/>
  <c r="D4" i="3" a="1"/>
  <c r="D4" i="3" s="1"/>
  <c r="E4" i="3" a="1"/>
  <c r="E4" i="3" s="1"/>
  <c r="A5" i="3" a="1"/>
  <c r="A5" i="3" s="1"/>
  <c r="B5" i="3" a="1"/>
  <c r="B5" i="3" s="1"/>
  <c r="C5" i="3" a="1"/>
  <c r="C5" i="3" s="1"/>
  <c r="D5" i="3" a="1"/>
  <c r="D5" i="3" s="1"/>
  <c r="E5" i="3" a="1"/>
  <c r="E5" i="3" s="1"/>
  <c r="A6" i="3" a="1"/>
  <c r="A6" i="3" s="1"/>
  <c r="B6" i="3" a="1"/>
  <c r="B6" i="3" s="1"/>
  <c r="C6" i="3" a="1"/>
  <c r="C6" i="3" s="1"/>
  <c r="D6" i="3" a="1"/>
  <c r="D6" i="3" s="1"/>
  <c r="E6" i="3" a="1"/>
  <c r="E6" i="3" s="1"/>
  <c r="A7" i="3" a="1"/>
  <c r="A7" i="3" s="1"/>
  <c r="B7" i="3" a="1"/>
  <c r="B7" i="3" s="1"/>
  <c r="C7" i="3" a="1"/>
  <c r="C7" i="3" s="1"/>
  <c r="D7" i="3" a="1"/>
  <c r="D7" i="3" s="1"/>
  <c r="E7" i="3" a="1"/>
  <c r="E7" i="3" s="1"/>
  <c r="A8" i="3" a="1"/>
  <c r="A8" i="3" s="1"/>
  <c r="B8" i="3" a="1"/>
  <c r="B8" i="3" s="1"/>
  <c r="C8" i="3" a="1"/>
  <c r="C8" i="3" s="1"/>
  <c r="D8" i="3" a="1"/>
  <c r="D8" i="3" s="1"/>
  <c r="E8" i="3" a="1"/>
  <c r="E8" i="3" s="1"/>
  <c r="A9" i="3" a="1"/>
  <c r="A9" i="3" s="1"/>
  <c r="B9" i="3" a="1"/>
  <c r="B9" i="3" s="1"/>
  <c r="C9" i="3" a="1"/>
  <c r="C9" i="3" s="1"/>
  <c r="D9" i="3" a="1"/>
  <c r="D9" i="3" s="1"/>
  <c r="E9" i="3" a="1"/>
  <c r="E9" i="3" s="1"/>
  <c r="A10" i="3" a="1"/>
  <c r="A10" i="3" s="1"/>
  <c r="B10" i="3" a="1"/>
  <c r="B10" i="3" s="1"/>
  <c r="C10" i="3" a="1"/>
  <c r="C10" i="3" s="1"/>
  <c r="D10" i="3" a="1"/>
  <c r="D10" i="3" s="1"/>
  <c r="E10" i="3" a="1"/>
  <c r="E10" i="3" s="1"/>
  <c r="A11" i="3" a="1"/>
  <c r="A11" i="3" s="1"/>
  <c r="B11" i="3" a="1"/>
  <c r="B11" i="3" s="1"/>
  <c r="C11" i="3" a="1"/>
  <c r="C11" i="3" s="1"/>
  <c r="D11" i="3" a="1"/>
  <c r="D11" i="3" s="1"/>
  <c r="E11" i="3" a="1"/>
  <c r="E11" i="3" s="1"/>
  <c r="A12" i="3" a="1"/>
  <c r="A12" i="3" s="1"/>
  <c r="B12" i="3" a="1"/>
  <c r="B12" i="3" s="1"/>
  <c r="C12" i="3" a="1"/>
  <c r="C12" i="3" s="1"/>
  <c r="D12" i="3" a="1"/>
  <c r="D12" i="3" s="1"/>
  <c r="E12" i="3" a="1"/>
  <c r="E12" i="3" s="1"/>
  <c r="A13" i="3" a="1"/>
  <c r="A13" i="3" s="1"/>
  <c r="B13" i="3" a="1"/>
  <c r="B13" i="3" s="1"/>
  <c r="C13" i="3" a="1"/>
  <c r="C13" i="3" s="1"/>
  <c r="D13" i="3" a="1"/>
  <c r="D13" i="3" s="1"/>
  <c r="E13" i="3" a="1"/>
  <c r="E13" i="3" s="1"/>
  <c r="A14" i="3" a="1"/>
  <c r="A14" i="3" s="1"/>
  <c r="B14" i="3" a="1"/>
  <c r="B14" i="3" s="1"/>
  <c r="C14" i="3" a="1"/>
  <c r="C14" i="3" s="1"/>
  <c r="D14" i="3" a="1"/>
  <c r="D14" i="3" s="1"/>
  <c r="E14" i="3" a="1"/>
  <c r="E14" i="3" s="1"/>
  <c r="A15" i="3" a="1"/>
  <c r="A15" i="3" s="1"/>
  <c r="B15" i="3" a="1"/>
  <c r="B15" i="3" s="1"/>
  <c r="C15" i="3" a="1"/>
  <c r="C15" i="3" s="1"/>
  <c r="D15" i="3" a="1"/>
  <c r="D15" i="3" s="1"/>
  <c r="E15" i="3" a="1"/>
  <c r="E15" i="3" s="1"/>
  <c r="A16" i="3" a="1"/>
  <c r="A16" i="3" s="1"/>
  <c r="B16" i="3" a="1"/>
  <c r="B16" i="3" s="1"/>
  <c r="C16" i="3" a="1"/>
  <c r="C16" i="3" s="1"/>
  <c r="D16" i="3" a="1"/>
  <c r="D16" i="3" s="1"/>
  <c r="E16" i="3" a="1"/>
  <c r="E16" i="3" s="1"/>
  <c r="A17" i="3" a="1"/>
  <c r="A17" i="3" s="1"/>
  <c r="B17" i="3" a="1"/>
  <c r="B17" i="3" s="1"/>
  <c r="C17" i="3" a="1"/>
  <c r="C17" i="3" s="1"/>
  <c r="D17" i="3" a="1"/>
  <c r="D17" i="3" s="1"/>
  <c r="E17" i="3" a="1"/>
  <c r="E17" i="3" s="1"/>
  <c r="A18" i="3" a="1"/>
  <c r="A18" i="3" s="1"/>
  <c r="B18" i="3" a="1"/>
  <c r="B18" i="3" s="1"/>
  <c r="C18" i="3" a="1"/>
  <c r="C18" i="3" s="1"/>
  <c r="D18" i="3" a="1"/>
  <c r="D18" i="3" s="1"/>
  <c r="E18" i="3" a="1"/>
  <c r="E18" i="3" s="1"/>
  <c r="A19" i="3" a="1"/>
  <c r="A19" i="3" s="1"/>
  <c r="B19" i="3" a="1"/>
  <c r="B19" i="3" s="1"/>
  <c r="C19" i="3" a="1"/>
  <c r="C19" i="3" s="1"/>
  <c r="D19" i="3" a="1"/>
  <c r="D19" i="3" s="1"/>
  <c r="E19" i="3" a="1"/>
  <c r="E19" i="3" s="1"/>
  <c r="A20" i="3" a="1"/>
  <c r="A20" i="3" s="1"/>
  <c r="B20" i="3" a="1"/>
  <c r="B20" i="3" s="1"/>
  <c r="C20" i="3" a="1"/>
  <c r="C20" i="3" s="1"/>
  <c r="D20" i="3" a="1"/>
  <c r="D20" i="3" s="1"/>
  <c r="E20" i="3" a="1"/>
  <c r="E20" i="3" s="1"/>
  <c r="A21" i="3" a="1"/>
  <c r="A21" i="3" s="1"/>
  <c r="B21" i="3" a="1"/>
  <c r="B21" i="3" s="1"/>
  <c r="C21" i="3" a="1"/>
  <c r="C21" i="3" s="1"/>
  <c r="D21" i="3" a="1"/>
  <c r="D21" i="3" s="1"/>
  <c r="E21" i="3" a="1"/>
  <c r="E21" i="3" s="1"/>
  <c r="A22" i="3" a="1"/>
  <c r="A22" i="3" s="1"/>
  <c r="B22" i="3" a="1"/>
  <c r="B22" i="3" s="1"/>
  <c r="C22" i="3" a="1"/>
  <c r="C22" i="3" s="1"/>
  <c r="D22" i="3" a="1"/>
  <c r="D22" i="3" s="1"/>
  <c r="E22" i="3" a="1"/>
  <c r="E22" i="3" s="1"/>
  <c r="A23" i="3" a="1"/>
  <c r="A23" i="3" s="1"/>
  <c r="B23" i="3" a="1"/>
  <c r="B23" i="3" s="1"/>
  <c r="C23" i="3" a="1"/>
  <c r="C23" i="3" s="1"/>
  <c r="D23" i="3" a="1"/>
  <c r="D23" i="3" s="1"/>
  <c r="E23" i="3" a="1"/>
  <c r="E23" i="3" s="1"/>
  <c r="A24" i="3" a="1"/>
  <c r="A24" i="3" s="1"/>
  <c r="B24" i="3" a="1"/>
  <c r="B24" i="3" s="1"/>
  <c r="C24" i="3" a="1"/>
  <c r="C24" i="3" s="1"/>
  <c r="D24" i="3" a="1"/>
  <c r="D24" i="3" s="1"/>
  <c r="E24" i="3" a="1"/>
  <c r="E24" i="3" s="1"/>
  <c r="A25" i="3" a="1"/>
  <c r="A25" i="3" s="1"/>
  <c r="B25" i="3" a="1"/>
  <c r="B25" i="3" s="1"/>
  <c r="C25" i="3" a="1"/>
  <c r="C25" i="3" s="1"/>
  <c r="D25" i="3" a="1"/>
  <c r="D25" i="3" s="1"/>
  <c r="E25" i="3" a="1"/>
  <c r="E25" i="3" s="1"/>
  <c r="A26" i="3" a="1"/>
  <c r="A26" i="3" s="1"/>
  <c r="B26" i="3" a="1"/>
  <c r="B26" i="3" s="1"/>
  <c r="C26" i="3" a="1"/>
  <c r="C26" i="3" s="1"/>
  <c r="D26" i="3" a="1"/>
  <c r="D26" i="3" s="1"/>
  <c r="E26" i="3" a="1"/>
  <c r="E26" i="3" s="1"/>
  <c r="A27" i="3" a="1"/>
  <c r="A27" i="3" s="1"/>
  <c r="B27" i="3" a="1"/>
  <c r="B27" i="3" s="1"/>
  <c r="C27" i="3" a="1"/>
  <c r="C27" i="3" s="1"/>
  <c r="D27" i="3" a="1"/>
  <c r="D27" i="3" s="1"/>
  <c r="E27" i="3" a="1"/>
  <c r="E27" i="3" s="1"/>
  <c r="A28" i="3" a="1"/>
  <c r="A28" i="3" s="1"/>
  <c r="B28" i="3" a="1"/>
  <c r="B28" i="3" s="1"/>
  <c r="C28" i="3" a="1"/>
  <c r="C28" i="3" s="1"/>
  <c r="D28" i="3" a="1"/>
  <c r="D28" i="3" s="1"/>
  <c r="E28" i="3" a="1"/>
  <c r="E28" i="3" s="1"/>
  <c r="A29" i="3" a="1"/>
  <c r="A29" i="3" s="1"/>
  <c r="B29" i="3" a="1"/>
  <c r="B29" i="3" s="1"/>
  <c r="C29" i="3" a="1"/>
  <c r="C29" i="3" s="1"/>
  <c r="D29" i="3" a="1"/>
  <c r="D29" i="3" s="1"/>
  <c r="E29" i="3" a="1"/>
  <c r="E29" i="3" s="1"/>
  <c r="A30" i="3" a="1"/>
  <c r="A30" i="3" s="1"/>
  <c r="B30" i="3" a="1"/>
  <c r="B30" i="3" s="1"/>
  <c r="C30" i="3" a="1"/>
  <c r="C30" i="3" s="1"/>
  <c r="D30" i="3" a="1"/>
  <c r="D30" i="3" s="1"/>
  <c r="E30" i="3" a="1"/>
  <c r="E30" i="3" s="1"/>
  <c r="A31" i="3" a="1"/>
  <c r="A31" i="3" s="1"/>
  <c r="B31" i="3" a="1"/>
  <c r="B31" i="3" s="1"/>
  <c r="C31" i="3" a="1"/>
  <c r="C31" i="3" s="1"/>
  <c r="D31" i="3" a="1"/>
  <c r="D31" i="3" s="1"/>
  <c r="E31" i="3" a="1"/>
  <c r="E31" i="3" s="1"/>
  <c r="A32" i="3" a="1"/>
  <c r="A32" i="3" s="1"/>
  <c r="B32" i="3" a="1"/>
  <c r="B32" i="3" s="1"/>
  <c r="C32" i="3" a="1"/>
  <c r="C32" i="3" s="1"/>
  <c r="D32" i="3" a="1"/>
  <c r="D32" i="3" s="1"/>
  <c r="E32" i="3" a="1"/>
  <c r="E32" i="3" s="1"/>
  <c r="A33" i="3" a="1"/>
  <c r="A33" i="3" s="1"/>
  <c r="B33" i="3" a="1"/>
  <c r="B33" i="3" s="1"/>
  <c r="C33" i="3" a="1"/>
  <c r="C33" i="3" s="1"/>
  <c r="D33" i="3" a="1"/>
  <c r="D33" i="3" s="1"/>
  <c r="E33" i="3" a="1"/>
  <c r="E33" i="3" s="1"/>
  <c r="A34" i="3" a="1"/>
  <c r="A34" i="3" s="1"/>
  <c r="B34" i="3" a="1"/>
  <c r="B34" i="3" s="1"/>
  <c r="C34" i="3" a="1"/>
  <c r="C34" i="3" s="1"/>
  <c r="D34" i="3" a="1"/>
  <c r="D34" i="3" s="1"/>
  <c r="E34" i="3" a="1"/>
  <c r="E34" i="3" s="1"/>
  <c r="A35" i="3" a="1"/>
  <c r="A35" i="3" s="1"/>
  <c r="B35" i="3" a="1"/>
  <c r="B35" i="3" s="1"/>
  <c r="C35" i="3" a="1"/>
  <c r="C35" i="3" s="1"/>
  <c r="D35" i="3" a="1"/>
  <c r="D35" i="3" s="1"/>
  <c r="E35" i="3" a="1"/>
  <c r="E35" i="3" s="1"/>
  <c r="A36" i="3" a="1"/>
  <c r="A36" i="3" s="1"/>
  <c r="B36" i="3" a="1"/>
  <c r="B36" i="3" s="1"/>
  <c r="C36" i="3" a="1"/>
  <c r="C36" i="3" s="1"/>
  <c r="D36" i="3" a="1"/>
  <c r="D36" i="3" s="1"/>
  <c r="E36" i="3" a="1"/>
  <c r="E36" i="3" s="1"/>
  <c r="A37" i="3" a="1"/>
  <c r="A37" i="3" s="1"/>
  <c r="B37" i="3" a="1"/>
  <c r="B37" i="3" s="1"/>
  <c r="C37" i="3" a="1"/>
  <c r="C37" i="3" s="1"/>
  <c r="D37" i="3" a="1"/>
  <c r="D37" i="3" s="1"/>
  <c r="E37" i="3" a="1"/>
  <c r="E37" i="3" s="1"/>
  <c r="A38" i="3" a="1"/>
  <c r="A38" i="3" s="1"/>
  <c r="B38" i="3" a="1"/>
  <c r="B38" i="3" s="1"/>
  <c r="C38" i="3" a="1"/>
  <c r="C38" i="3" s="1"/>
  <c r="D38" i="3" a="1"/>
  <c r="D38" i="3" s="1"/>
  <c r="E38" i="3" a="1"/>
  <c r="E38" i="3" s="1"/>
  <c r="A39" i="3" a="1"/>
  <c r="A39" i="3" s="1"/>
  <c r="B39" i="3" a="1"/>
  <c r="B39" i="3" s="1"/>
  <c r="C39" i="3" a="1"/>
  <c r="C39" i="3" s="1"/>
  <c r="D39" i="3" a="1"/>
  <c r="D39" i="3" s="1"/>
  <c r="E39" i="3" a="1"/>
  <c r="E39" i="3" s="1"/>
  <c r="A40" i="3" a="1"/>
  <c r="A40" i="3" s="1"/>
  <c r="B40" i="3" a="1"/>
  <c r="B40" i="3" s="1"/>
  <c r="C40" i="3" a="1"/>
  <c r="C40" i="3" s="1"/>
  <c r="D40" i="3" a="1"/>
  <c r="D40" i="3" s="1"/>
  <c r="E40" i="3" a="1"/>
  <c r="E40" i="3" s="1"/>
  <c r="A41" i="3" a="1"/>
  <c r="A41" i="3" s="1"/>
  <c r="B41" i="3" a="1"/>
  <c r="B41" i="3" s="1"/>
  <c r="C41" i="3" a="1"/>
  <c r="C41" i="3" s="1"/>
  <c r="D41" i="3" a="1"/>
  <c r="D41" i="3" s="1"/>
  <c r="E41" i="3" a="1"/>
  <c r="E41" i="3" s="1"/>
  <c r="A42" i="3" a="1"/>
  <c r="A42" i="3" s="1"/>
  <c r="B42" i="3" a="1"/>
  <c r="B42" i="3" s="1"/>
  <c r="C42" i="3" a="1"/>
  <c r="C42" i="3" s="1"/>
  <c r="D42" i="3" a="1"/>
  <c r="D42" i="3" s="1"/>
  <c r="E42" i="3" a="1"/>
  <c r="E42" i="3" s="1"/>
  <c r="A43" i="3" a="1"/>
  <c r="A43" i="3" s="1"/>
  <c r="B43" i="3" a="1"/>
  <c r="B43" i="3" s="1"/>
  <c r="C43" i="3" a="1"/>
  <c r="C43" i="3" s="1"/>
  <c r="D43" i="3" a="1"/>
  <c r="D43" i="3" s="1"/>
  <c r="E43" i="3" a="1"/>
  <c r="E43" i="3" s="1"/>
  <c r="A44" i="3" a="1"/>
  <c r="A44" i="3" s="1"/>
  <c r="B44" i="3" a="1"/>
  <c r="B44" i="3" s="1"/>
  <c r="C44" i="3" a="1"/>
  <c r="C44" i="3" s="1"/>
  <c r="D44" i="3" a="1"/>
  <c r="D44" i="3" s="1"/>
  <c r="E44" i="3" a="1"/>
  <c r="E44" i="3" s="1"/>
  <c r="A45" i="3" a="1"/>
  <c r="A45" i="3" s="1"/>
  <c r="B45" i="3" a="1"/>
  <c r="B45" i="3" s="1"/>
  <c r="C45" i="3" a="1"/>
  <c r="C45" i="3" s="1"/>
  <c r="D45" i="3" a="1"/>
  <c r="D45" i="3" s="1"/>
  <c r="E45" i="3" a="1"/>
  <c r="E45" i="3" s="1"/>
  <c r="A46" i="3" a="1"/>
  <c r="A46" i="3" s="1"/>
  <c r="B46" i="3" a="1"/>
  <c r="B46" i="3" s="1"/>
  <c r="C46" i="3" a="1"/>
  <c r="C46" i="3" s="1"/>
  <c r="D46" i="3" a="1"/>
  <c r="D46" i="3" s="1"/>
  <c r="E46" i="3" a="1"/>
  <c r="E46" i="3" s="1"/>
  <c r="A47" i="3" a="1"/>
  <c r="A47" i="3" s="1"/>
  <c r="B47" i="3" a="1"/>
  <c r="B47" i="3" s="1"/>
  <c r="C47" i="3" a="1"/>
  <c r="C47" i="3" s="1"/>
  <c r="D47" i="3" a="1"/>
  <c r="D47" i="3" s="1"/>
  <c r="E47" i="3" a="1"/>
  <c r="E47" i="3" s="1"/>
  <c r="A48" i="3" a="1"/>
  <c r="A48" i="3" s="1"/>
  <c r="B48" i="3" a="1"/>
  <c r="B48" i="3" s="1"/>
  <c r="C48" i="3" a="1"/>
  <c r="C48" i="3" s="1"/>
  <c r="D48" i="3" a="1"/>
  <c r="D48" i="3" s="1"/>
  <c r="E48" i="3" a="1"/>
  <c r="E48" i="3" s="1"/>
  <c r="A49" i="3" a="1"/>
  <c r="A49" i="3" s="1"/>
  <c r="B49" i="3" a="1"/>
  <c r="B49" i="3" s="1"/>
  <c r="C49" i="3" a="1"/>
  <c r="C49" i="3" s="1"/>
  <c r="D49" i="3" a="1"/>
  <c r="D49" i="3" s="1"/>
  <c r="E49" i="3" a="1"/>
  <c r="E49" i="3" s="1"/>
  <c r="A50" i="3" a="1"/>
  <c r="A50" i="3" s="1"/>
  <c r="B50" i="3" a="1"/>
  <c r="B50" i="3" s="1"/>
  <c r="C50" i="3" a="1"/>
  <c r="C50" i="3" s="1"/>
  <c r="D50" i="3" a="1"/>
  <c r="D50" i="3" s="1"/>
  <c r="E50" i="3" a="1"/>
  <c r="E50" i="3" s="1"/>
  <c r="A51" i="3" a="1"/>
  <c r="A51" i="3" s="1"/>
  <c r="B51" i="3" a="1"/>
  <c r="B51" i="3" s="1"/>
  <c r="C51" i="3" a="1"/>
  <c r="C51" i="3" s="1"/>
  <c r="D51" i="3" a="1"/>
  <c r="D51" i="3" s="1"/>
  <c r="E51" i="3" a="1"/>
  <c r="E51" i="3" s="1"/>
  <c r="A52" i="3" a="1"/>
  <c r="A52" i="3" s="1"/>
  <c r="B52" i="3" a="1"/>
  <c r="B52" i="3" s="1"/>
  <c r="C52" i="3" a="1"/>
  <c r="C52" i="3" s="1"/>
  <c r="D52" i="3" a="1"/>
  <c r="D52" i="3" s="1"/>
  <c r="E52" i="3" a="1"/>
  <c r="E52" i="3" s="1"/>
  <c r="A53" i="3" a="1"/>
  <c r="A53" i="3" s="1"/>
  <c r="B53" i="3" a="1"/>
  <c r="B53" i="3" s="1"/>
  <c r="C53" i="3" a="1"/>
  <c r="C53" i="3" s="1"/>
  <c r="D53" i="3" a="1"/>
  <c r="D53" i="3" s="1"/>
  <c r="E53" i="3" a="1"/>
  <c r="E53" i="3" s="1"/>
  <c r="A54" i="3" a="1"/>
  <c r="A54" i="3" s="1"/>
  <c r="B54" i="3" a="1"/>
  <c r="B54" i="3" s="1"/>
  <c r="C54" i="3" a="1"/>
  <c r="C54" i="3" s="1"/>
  <c r="D54" i="3" a="1"/>
  <c r="D54" i="3" s="1"/>
  <c r="E54" i="3" a="1"/>
  <c r="E54" i="3" s="1"/>
  <c r="A55" i="3" a="1"/>
  <c r="A55" i="3" s="1"/>
  <c r="B55" i="3" a="1"/>
  <c r="B55" i="3" s="1"/>
  <c r="C55" i="3" a="1"/>
  <c r="C55" i="3" s="1"/>
  <c r="D55" i="3" a="1"/>
  <c r="D55" i="3" s="1"/>
  <c r="E55" i="3" a="1"/>
  <c r="E55" i="3" s="1"/>
  <c r="A56" i="3" a="1"/>
  <c r="A56" i="3" s="1"/>
  <c r="B56" i="3" a="1"/>
  <c r="B56" i="3" s="1"/>
  <c r="C56" i="3" a="1"/>
  <c r="C56" i="3" s="1"/>
  <c r="D56" i="3" a="1"/>
  <c r="D56" i="3" s="1"/>
  <c r="E56" i="3" a="1"/>
  <c r="E56" i="3" s="1"/>
  <c r="A57" i="3" a="1"/>
  <c r="A57" i="3" s="1"/>
  <c r="B57" i="3" a="1"/>
  <c r="B57" i="3" s="1"/>
  <c r="C57" i="3" a="1"/>
  <c r="C57" i="3" s="1"/>
  <c r="D57" i="3" a="1"/>
  <c r="D57" i="3" s="1"/>
  <c r="E57" i="3" a="1"/>
  <c r="E57" i="3" s="1"/>
  <c r="A58" i="3" a="1"/>
  <c r="A58" i="3" s="1"/>
  <c r="B58" i="3" a="1"/>
  <c r="B58" i="3" s="1"/>
  <c r="C58" i="3" a="1"/>
  <c r="C58" i="3" s="1"/>
  <c r="D58" i="3" a="1"/>
  <c r="D58" i="3" s="1"/>
  <c r="E58" i="3" a="1"/>
  <c r="E58" i="3" s="1"/>
  <c r="A59" i="3" a="1"/>
  <c r="A59" i="3" s="1"/>
  <c r="B59" i="3" a="1"/>
  <c r="B59" i="3" s="1"/>
  <c r="C59" i="3" a="1"/>
  <c r="C59" i="3" s="1"/>
  <c r="D59" i="3" a="1"/>
  <c r="D59" i="3" s="1"/>
  <c r="E59" i="3" a="1"/>
  <c r="E59" i="3" s="1"/>
  <c r="A60" i="3" a="1"/>
  <c r="A60" i="3" s="1"/>
  <c r="B60" i="3" a="1"/>
  <c r="B60" i="3" s="1"/>
  <c r="C60" i="3" a="1"/>
  <c r="C60" i="3" s="1"/>
  <c r="D60" i="3" a="1"/>
  <c r="D60" i="3" s="1"/>
  <c r="E60" i="3" a="1"/>
  <c r="E60" i="3" s="1"/>
  <c r="A61" i="3" a="1"/>
  <c r="A61" i="3" s="1"/>
  <c r="B61" i="3" a="1"/>
  <c r="B61" i="3" s="1"/>
  <c r="C61" i="3" a="1"/>
  <c r="C61" i="3" s="1"/>
  <c r="D61" i="3" a="1"/>
  <c r="D61" i="3" s="1"/>
  <c r="E61" i="3" a="1"/>
  <c r="E61" i="3" s="1"/>
  <c r="A62" i="3" a="1"/>
  <c r="A62" i="3" s="1"/>
  <c r="B62" i="3" a="1"/>
  <c r="B62" i="3" s="1"/>
  <c r="C62" i="3" a="1"/>
  <c r="C62" i="3" s="1"/>
  <c r="D62" i="3" a="1"/>
  <c r="D62" i="3" s="1"/>
  <c r="E62" i="3" a="1"/>
  <c r="E62" i="3" s="1"/>
  <c r="A63" i="3" a="1"/>
  <c r="A63" i="3" s="1"/>
  <c r="B63" i="3" a="1"/>
  <c r="B63" i="3" s="1"/>
  <c r="C63" i="3" a="1"/>
  <c r="C63" i="3" s="1"/>
  <c r="D63" i="3" a="1"/>
  <c r="D63" i="3" s="1"/>
  <c r="E63" i="3" a="1"/>
  <c r="E63" i="3" s="1"/>
  <c r="A64" i="3" a="1"/>
  <c r="A64" i="3" s="1"/>
  <c r="B64" i="3" a="1"/>
  <c r="B64" i="3" s="1"/>
  <c r="C64" i="3" a="1"/>
  <c r="C64" i="3" s="1"/>
  <c r="D64" i="3" a="1"/>
  <c r="D64" i="3" s="1"/>
  <c r="E64" i="3" a="1"/>
  <c r="E64" i="3" s="1"/>
  <c r="A65" i="3" a="1"/>
  <c r="A65" i="3" s="1"/>
  <c r="B65" i="3" a="1"/>
  <c r="B65" i="3" s="1"/>
  <c r="C65" i="3" a="1"/>
  <c r="C65" i="3" s="1"/>
  <c r="D65" i="3" a="1"/>
  <c r="D65" i="3" s="1"/>
  <c r="E65" i="3" a="1"/>
  <c r="E65" i="3" s="1"/>
  <c r="A66" i="3" a="1"/>
  <c r="A66" i="3" s="1"/>
  <c r="B66" i="3" a="1"/>
  <c r="B66" i="3" s="1"/>
  <c r="C66" i="3" a="1"/>
  <c r="C66" i="3" s="1"/>
  <c r="D66" i="3" a="1"/>
  <c r="D66" i="3" s="1"/>
  <c r="E66" i="3" a="1"/>
  <c r="E66" i="3" s="1"/>
  <c r="A67" i="3" a="1"/>
  <c r="A67" i="3" s="1"/>
  <c r="B67" i="3" a="1"/>
  <c r="B67" i="3" s="1"/>
  <c r="C67" i="3" a="1"/>
  <c r="C67" i="3" s="1"/>
  <c r="D67" i="3" a="1"/>
  <c r="D67" i="3" s="1"/>
  <c r="E67" i="3" a="1"/>
  <c r="E67" i="3" s="1"/>
  <c r="A68" i="3" a="1"/>
  <c r="A68" i="3" s="1"/>
  <c r="B68" i="3" a="1"/>
  <c r="B68" i="3" s="1"/>
  <c r="C68" i="3" a="1"/>
  <c r="C68" i="3" s="1"/>
  <c r="D68" i="3" a="1"/>
  <c r="D68" i="3" s="1"/>
  <c r="E68" i="3" a="1"/>
  <c r="E68" i="3" s="1"/>
  <c r="A69" i="3" a="1"/>
  <c r="A69" i="3" s="1"/>
  <c r="B69" i="3" a="1"/>
  <c r="B69" i="3" s="1"/>
  <c r="C69" i="3" a="1"/>
  <c r="C69" i="3" s="1"/>
  <c r="D69" i="3" a="1"/>
  <c r="D69" i="3" s="1"/>
  <c r="E69" i="3" a="1"/>
  <c r="E69" i="3" s="1"/>
  <c r="A70" i="3" a="1"/>
  <c r="A70" i="3" s="1"/>
  <c r="B70" i="3" a="1"/>
  <c r="B70" i="3" s="1"/>
  <c r="C70" i="3" a="1"/>
  <c r="C70" i="3" s="1"/>
  <c r="D70" i="3" a="1"/>
  <c r="D70" i="3" s="1"/>
  <c r="E70" i="3" a="1"/>
  <c r="E70" i="3" s="1"/>
  <c r="A71" i="3" a="1"/>
  <c r="A71" i="3" s="1"/>
  <c r="B71" i="3" a="1"/>
  <c r="B71" i="3" s="1"/>
  <c r="C71" i="3" a="1"/>
  <c r="C71" i="3" s="1"/>
  <c r="D71" i="3" a="1"/>
  <c r="D71" i="3" s="1"/>
  <c r="E71" i="3" a="1"/>
  <c r="E71" i="3" s="1"/>
  <c r="A72" i="3" a="1"/>
  <c r="A72" i="3" s="1"/>
  <c r="B72" i="3" a="1"/>
  <c r="B72" i="3" s="1"/>
  <c r="C72" i="3" a="1"/>
  <c r="C72" i="3" s="1"/>
  <c r="D72" i="3" a="1"/>
  <c r="D72" i="3" s="1"/>
  <c r="E72" i="3" a="1"/>
  <c r="E72" i="3" s="1"/>
  <c r="A73" i="3" a="1"/>
  <c r="A73" i="3" s="1"/>
  <c r="B73" i="3" a="1"/>
  <c r="B73" i="3" s="1"/>
  <c r="C73" i="3" a="1"/>
  <c r="C73" i="3" s="1"/>
  <c r="D73" i="3" a="1"/>
  <c r="D73" i="3" s="1"/>
  <c r="E73" i="3" a="1"/>
  <c r="E73" i="3" s="1"/>
  <c r="A74" i="3" a="1"/>
  <c r="A74" i="3" s="1"/>
  <c r="B74" i="3" a="1"/>
  <c r="B74" i="3" s="1"/>
  <c r="C74" i="3" a="1"/>
  <c r="C74" i="3" s="1"/>
  <c r="D74" i="3" a="1"/>
  <c r="D74" i="3" s="1"/>
  <c r="E74" i="3" a="1"/>
  <c r="E74" i="3" s="1"/>
  <c r="A75" i="3" a="1"/>
  <c r="A75" i="3" s="1"/>
  <c r="B75" i="3" a="1"/>
  <c r="B75" i="3" s="1"/>
  <c r="C75" i="3" a="1"/>
  <c r="C75" i="3" s="1"/>
  <c r="D75" i="3" a="1"/>
  <c r="D75" i="3" s="1"/>
  <c r="E75" i="3" a="1"/>
  <c r="E75" i="3" s="1"/>
  <c r="A76" i="3" a="1"/>
  <c r="A76" i="3" s="1"/>
  <c r="B76" i="3" a="1"/>
  <c r="B76" i="3" s="1"/>
  <c r="C76" i="3" a="1"/>
  <c r="C76" i="3" s="1"/>
  <c r="D76" i="3" a="1"/>
  <c r="D76" i="3" s="1"/>
  <c r="E76" i="3" a="1"/>
  <c r="E76" i="3" s="1"/>
  <c r="A77" i="3" a="1"/>
  <c r="A77" i="3" s="1"/>
  <c r="B77" i="3" a="1"/>
  <c r="B77" i="3" s="1"/>
  <c r="C77" i="3" a="1"/>
  <c r="C77" i="3" s="1"/>
  <c r="D77" i="3" a="1"/>
  <c r="D77" i="3" s="1"/>
  <c r="E77" i="3" a="1"/>
  <c r="E77" i="3" s="1"/>
  <c r="A78" i="3" a="1"/>
  <c r="A78" i="3" s="1"/>
  <c r="B78" i="3" a="1"/>
  <c r="B78" i="3" s="1"/>
  <c r="C78" i="3" a="1"/>
  <c r="C78" i="3" s="1"/>
  <c r="D78" i="3" a="1"/>
  <c r="D78" i="3" s="1"/>
  <c r="E78" i="3" a="1"/>
  <c r="E78" i="3" s="1"/>
  <c r="A79" i="3" a="1"/>
  <c r="A79" i="3" s="1"/>
  <c r="B79" i="3" a="1"/>
  <c r="B79" i="3" s="1"/>
  <c r="C79" i="3" a="1"/>
  <c r="C79" i="3" s="1"/>
  <c r="D79" i="3" a="1"/>
  <c r="D79" i="3" s="1"/>
  <c r="E79" i="3" a="1"/>
  <c r="E79" i="3" s="1"/>
  <c r="A80" i="3" a="1"/>
  <c r="A80" i="3" s="1"/>
  <c r="B80" i="3" a="1"/>
  <c r="B80" i="3" s="1"/>
  <c r="C80" i="3" a="1"/>
  <c r="C80" i="3" s="1"/>
  <c r="D80" i="3" a="1"/>
  <c r="D80" i="3" s="1"/>
  <c r="E80" i="3" a="1"/>
  <c r="E80" i="3" s="1"/>
  <c r="A81" i="3" a="1"/>
  <c r="A81" i="3" s="1"/>
  <c r="B81" i="3" a="1"/>
  <c r="B81" i="3" s="1"/>
  <c r="C81" i="3" a="1"/>
  <c r="C81" i="3" s="1"/>
  <c r="D81" i="3" a="1"/>
  <c r="D81" i="3" s="1"/>
  <c r="E81" i="3" a="1"/>
  <c r="E81" i="3" s="1"/>
  <c r="A82" i="3" a="1"/>
  <c r="A82" i="3" s="1"/>
  <c r="B82" i="3" a="1"/>
  <c r="B82" i="3" s="1"/>
  <c r="C82" i="3" a="1"/>
  <c r="C82" i="3" s="1"/>
  <c r="D82" i="3" a="1"/>
  <c r="D82" i="3" s="1"/>
  <c r="E82" i="3" a="1"/>
  <c r="E82" i="3" s="1"/>
  <c r="A83" i="3" a="1"/>
  <c r="A83" i="3" s="1"/>
  <c r="B83" i="3" a="1"/>
  <c r="B83" i="3" s="1"/>
  <c r="C83" i="3" a="1"/>
  <c r="C83" i="3" s="1"/>
  <c r="D83" i="3" a="1"/>
  <c r="D83" i="3" s="1"/>
  <c r="E83" i="3" a="1"/>
  <c r="E83" i="3" s="1"/>
  <c r="A84" i="3" a="1"/>
  <c r="A84" i="3" s="1"/>
  <c r="B84" i="3" a="1"/>
  <c r="B84" i="3" s="1"/>
  <c r="C84" i="3" a="1"/>
  <c r="C84" i="3" s="1"/>
  <c r="D84" i="3" a="1"/>
  <c r="D84" i="3" s="1"/>
  <c r="E84" i="3" a="1"/>
  <c r="E84" i="3" s="1"/>
  <c r="A85" i="3" a="1"/>
  <c r="A85" i="3" s="1"/>
  <c r="B85" i="3" a="1"/>
  <c r="B85" i="3" s="1"/>
  <c r="C85" i="3" a="1"/>
  <c r="C85" i="3" s="1"/>
  <c r="D85" i="3" a="1"/>
  <c r="D85" i="3" s="1"/>
  <c r="E85" i="3" a="1"/>
  <c r="E85" i="3" s="1"/>
  <c r="A86" i="3" a="1"/>
  <c r="A86" i="3" s="1"/>
  <c r="B86" i="3" a="1"/>
  <c r="B86" i="3" s="1"/>
  <c r="C86" i="3" a="1"/>
  <c r="C86" i="3" s="1"/>
  <c r="D86" i="3" a="1"/>
  <c r="D86" i="3" s="1"/>
  <c r="E86" i="3" a="1"/>
  <c r="E86" i="3" s="1"/>
  <c r="A87" i="3" a="1"/>
  <c r="A87" i="3" s="1"/>
  <c r="B87" i="3" a="1"/>
  <c r="B87" i="3" s="1"/>
  <c r="C87" i="3" a="1"/>
  <c r="C87" i="3" s="1"/>
  <c r="D87" i="3" a="1"/>
  <c r="D87" i="3" s="1"/>
  <c r="E87" i="3" a="1"/>
  <c r="E87" i="3" s="1"/>
  <c r="A88" i="3" a="1"/>
  <c r="A88" i="3" s="1"/>
  <c r="B88" i="3" a="1"/>
  <c r="B88" i="3" s="1"/>
  <c r="C88" i="3" a="1"/>
  <c r="C88" i="3" s="1"/>
  <c r="D88" i="3" a="1"/>
  <c r="D88" i="3" s="1"/>
  <c r="E88" i="3" a="1"/>
  <c r="E88" i="3" s="1"/>
  <c r="A89" i="3" a="1"/>
  <c r="A89" i="3" s="1"/>
  <c r="B89" i="3" a="1"/>
  <c r="B89" i="3" s="1"/>
  <c r="C89" i="3" a="1"/>
  <c r="C89" i="3" s="1"/>
  <c r="D89" i="3" a="1"/>
  <c r="D89" i="3" s="1"/>
  <c r="E89" i="3" a="1"/>
  <c r="E89" i="3" s="1"/>
  <c r="A90" i="3" a="1"/>
  <c r="A90" i="3" s="1"/>
  <c r="B90" i="3" a="1"/>
  <c r="B90" i="3" s="1"/>
  <c r="C90" i="3" a="1"/>
  <c r="C90" i="3" s="1"/>
  <c r="D90" i="3" a="1"/>
  <c r="D90" i="3" s="1"/>
  <c r="E90" i="3" a="1"/>
  <c r="E90" i="3" s="1"/>
  <c r="A91" i="3" a="1"/>
  <c r="A91" i="3" s="1"/>
  <c r="B91" i="3" a="1"/>
  <c r="B91" i="3" s="1"/>
  <c r="C91" i="3" a="1"/>
  <c r="C91" i="3" s="1"/>
  <c r="D91" i="3" a="1"/>
  <c r="D91" i="3" s="1"/>
  <c r="E91" i="3" a="1"/>
  <c r="E91" i="3" s="1"/>
  <c r="A92" i="3" a="1"/>
  <c r="A92" i="3" s="1"/>
  <c r="B92" i="3" a="1"/>
  <c r="B92" i="3" s="1"/>
  <c r="C92" i="3" a="1"/>
  <c r="C92" i="3" s="1"/>
  <c r="D92" i="3" a="1"/>
  <c r="D92" i="3" s="1"/>
  <c r="E92" i="3" a="1"/>
  <c r="E92" i="3" s="1"/>
  <c r="A93" i="3" a="1"/>
  <c r="A93" i="3" s="1"/>
  <c r="B93" i="3" a="1"/>
  <c r="B93" i="3" s="1"/>
  <c r="C93" i="3" a="1"/>
  <c r="C93" i="3" s="1"/>
  <c r="D93" i="3" a="1"/>
  <c r="D93" i="3" s="1"/>
  <c r="E93" i="3" a="1"/>
  <c r="E93" i="3" s="1"/>
  <c r="A94" i="3" a="1"/>
  <c r="A94" i="3" s="1"/>
  <c r="B94" i="3" a="1"/>
  <c r="B94" i="3" s="1"/>
  <c r="C94" i="3" a="1"/>
  <c r="C94" i="3" s="1"/>
  <c r="D94" i="3" a="1"/>
  <c r="D94" i="3" s="1"/>
  <c r="E94" i="3" a="1"/>
  <c r="E94" i="3" s="1"/>
  <c r="A95" i="3" a="1"/>
  <c r="A95" i="3" s="1"/>
  <c r="B95" i="3" a="1"/>
  <c r="B95" i="3" s="1"/>
  <c r="C95" i="3" a="1"/>
  <c r="C95" i="3" s="1"/>
  <c r="D95" i="3" a="1"/>
  <c r="D95" i="3" s="1"/>
  <c r="E95" i="3" a="1"/>
  <c r="E95" i="3" s="1"/>
  <c r="A96" i="3" a="1"/>
  <c r="A96" i="3" s="1"/>
  <c r="B96" i="3" a="1"/>
  <c r="B96" i="3" s="1"/>
  <c r="C96" i="3" a="1"/>
  <c r="C96" i="3" s="1"/>
  <c r="D96" i="3" a="1"/>
  <c r="D96" i="3" s="1"/>
  <c r="E96" i="3" a="1"/>
  <c r="E96" i="3" s="1"/>
  <c r="A97" i="3" a="1"/>
  <c r="A97" i="3" s="1"/>
  <c r="B97" i="3" a="1"/>
  <c r="B97" i="3" s="1"/>
  <c r="C97" i="3" a="1"/>
  <c r="C97" i="3" s="1"/>
  <c r="D97" i="3" a="1"/>
  <c r="D97" i="3" s="1"/>
  <c r="E97" i="3" a="1"/>
  <c r="E97" i="3" s="1"/>
  <c r="A98" i="3" a="1"/>
  <c r="A98" i="3" s="1"/>
  <c r="B98" i="3" a="1"/>
  <c r="B98" i="3" s="1"/>
  <c r="C98" i="3" a="1"/>
  <c r="C98" i="3" s="1"/>
  <c r="D98" i="3" a="1"/>
  <c r="D98" i="3" s="1"/>
  <c r="E98" i="3" a="1"/>
  <c r="E98" i="3" s="1"/>
  <c r="B1" i="2"/>
  <c r="C1" i="2"/>
  <c r="D1" i="2"/>
  <c r="E1" i="2"/>
  <c r="F1" i="2"/>
  <c r="G1" i="2"/>
  <c r="H1" i="2"/>
  <c r="I1" i="2"/>
  <c r="J1" i="2"/>
  <c r="K1" i="2"/>
  <c r="L1" i="2"/>
  <c r="M1" i="2"/>
  <c r="N1" i="2"/>
  <c r="O1" i="2"/>
  <c r="P1" i="2"/>
  <c r="Q1" i="2"/>
  <c r="R1" i="2"/>
  <c r="S1" i="2"/>
  <c r="T1" i="2"/>
  <c r="U1" i="2"/>
  <c r="V1" i="2"/>
  <c r="W1" i="2"/>
  <c r="X1" i="2"/>
  <c r="Y1" i="2"/>
  <c r="Z1" i="2"/>
  <c r="AA1" i="2"/>
  <c r="AB1" i="2"/>
  <c r="AC1" i="2"/>
  <c r="AD1" i="2"/>
  <c r="AE1" i="2"/>
  <c r="AF1" i="2"/>
  <c r="AG1" i="2"/>
  <c r="AH1" i="2"/>
  <c r="AI1" i="2"/>
  <c r="AJ1" i="2"/>
  <c r="AK1" i="2"/>
  <c r="AL1" i="2"/>
  <c r="AM1" i="2"/>
  <c r="AN1" i="2"/>
  <c r="AO1" i="2"/>
  <c r="AP1" i="2"/>
  <c r="AQ1" i="2"/>
  <c r="AR1" i="2"/>
  <c r="AS1" i="2"/>
  <c r="AT1" i="2"/>
  <c r="AU1" i="2"/>
  <c r="AV1" i="2"/>
  <c r="AW1" i="2"/>
  <c r="AX1" i="2"/>
  <c r="AY1" i="2"/>
  <c r="AZ1" i="2"/>
  <c r="BA1" i="2"/>
  <c r="BB1" i="2"/>
  <c r="BC1" i="2"/>
  <c r="BD1" i="2"/>
  <c r="BE1" i="2"/>
  <c r="BF1" i="2"/>
  <c r="BG1" i="2"/>
  <c r="BH1" i="2"/>
  <c r="BI1" i="2"/>
  <c r="BJ1" i="2"/>
  <c r="BK1" i="2"/>
  <c r="BL1" i="2"/>
  <c r="BM1" i="2"/>
  <c r="BN1" i="2"/>
  <c r="BO1" i="2"/>
  <c r="BP1" i="2"/>
  <c r="BQ1" i="2"/>
  <c r="BR1" i="2"/>
  <c r="BS1" i="2"/>
  <c r="BT1" i="2"/>
  <c r="BU1" i="2"/>
  <c r="BV1" i="2"/>
  <c r="BW1" i="2"/>
  <c r="BX1" i="2"/>
  <c r="BY1" i="2"/>
  <c r="BZ1" i="2"/>
  <c r="CA1" i="2"/>
  <c r="CB1" i="2"/>
  <c r="CC1" i="2"/>
  <c r="CD1" i="2"/>
  <c r="CE1" i="2"/>
  <c r="CF1" i="2"/>
  <c r="CG1" i="2"/>
  <c r="CH1" i="2"/>
  <c r="CI1" i="2"/>
  <c r="CJ1" i="2"/>
  <c r="CK1" i="2"/>
  <c r="CL1" i="2"/>
  <c r="CM1" i="2"/>
  <c r="CN1" i="2"/>
  <c r="CO1" i="2"/>
  <c r="CP1" i="2"/>
  <c r="CQ1" i="2"/>
  <c r="CR1" i="2"/>
  <c r="CS1" i="2"/>
  <c r="B2" i="2"/>
  <c r="C2" i="2"/>
  <c r="D2" i="2"/>
  <c r="E2" i="2"/>
  <c r="F2" i="2"/>
  <c r="G2" i="2"/>
  <c r="H2" i="2"/>
  <c r="I2" i="2"/>
  <c r="J2" i="2"/>
  <c r="K2" i="2"/>
  <c r="L2" i="2"/>
  <c r="M2" i="2"/>
  <c r="N2" i="2"/>
  <c r="O2" i="2"/>
  <c r="P2" i="2"/>
  <c r="Q2" i="2"/>
  <c r="R2" i="2"/>
  <c r="S2" i="2"/>
  <c r="T2" i="2"/>
  <c r="U2" i="2"/>
  <c r="V2" i="2"/>
  <c r="W2" i="2"/>
  <c r="X2" i="2"/>
  <c r="Y2" i="2"/>
  <c r="Z2" i="2"/>
  <c r="AA2" i="2"/>
  <c r="AB2" i="2"/>
  <c r="AC2" i="2"/>
  <c r="AD2" i="2"/>
  <c r="AE2" i="2"/>
  <c r="AF2" i="2"/>
  <c r="AG2" i="2"/>
  <c r="AH2" i="2"/>
  <c r="AI2" i="2"/>
  <c r="AJ2" i="2"/>
  <c r="AK2" i="2"/>
  <c r="AL2" i="2"/>
  <c r="AM2" i="2"/>
  <c r="AN2" i="2"/>
  <c r="AO2" i="2"/>
  <c r="AP2" i="2"/>
  <c r="AQ2" i="2"/>
  <c r="AR2" i="2"/>
  <c r="AS2" i="2"/>
  <c r="AT2" i="2"/>
  <c r="AU2" i="2"/>
  <c r="AV2" i="2"/>
  <c r="AW2" i="2"/>
  <c r="AX2" i="2"/>
  <c r="AY2" i="2"/>
  <c r="AZ2" i="2"/>
  <c r="BA2" i="2"/>
  <c r="BB2" i="2"/>
  <c r="BC2" i="2"/>
  <c r="BD2" i="2"/>
  <c r="BE2" i="2"/>
  <c r="BF2" i="2"/>
  <c r="BG2" i="2"/>
  <c r="BH2" i="2"/>
  <c r="BI2" i="2"/>
  <c r="BJ2" i="2"/>
  <c r="BK2" i="2"/>
  <c r="BL2" i="2"/>
  <c r="BM2" i="2"/>
  <c r="BN2" i="2"/>
  <c r="BO2" i="2"/>
  <c r="BP2" i="2"/>
  <c r="BQ2" i="2"/>
  <c r="BR2" i="2"/>
  <c r="BS2" i="2"/>
  <c r="BT2" i="2"/>
  <c r="BU2" i="2"/>
  <c r="BV2" i="2"/>
  <c r="BW2" i="2"/>
  <c r="BX2" i="2"/>
  <c r="BY2" i="2"/>
  <c r="BZ2" i="2"/>
  <c r="CA2" i="2"/>
  <c r="CB2" i="2"/>
  <c r="CC2" i="2"/>
  <c r="CD2" i="2"/>
  <c r="CE2" i="2"/>
  <c r="CF2" i="2"/>
  <c r="CG2" i="2"/>
  <c r="CH2" i="2"/>
  <c r="CI2" i="2"/>
  <c r="CJ2" i="2"/>
  <c r="CK2" i="2"/>
  <c r="CL2" i="2"/>
  <c r="CM2" i="2"/>
  <c r="CN2" i="2"/>
  <c r="CO2" i="2"/>
  <c r="CP2" i="2"/>
  <c r="CQ2" i="2"/>
  <c r="CR2" i="2"/>
  <c r="CS2" i="2"/>
  <c r="B3" i="2"/>
  <c r="C3" i="2"/>
  <c r="D3" i="2"/>
  <c r="E3" i="2"/>
  <c r="F3" i="2"/>
  <c r="G3" i="2"/>
  <c r="H3" i="2"/>
  <c r="I3" i="2"/>
  <c r="J3" i="2"/>
  <c r="K3" i="2"/>
  <c r="L3" i="2"/>
  <c r="M3" i="2"/>
  <c r="N3" i="2"/>
  <c r="O3" i="2"/>
  <c r="P3" i="2"/>
  <c r="Q3" i="2"/>
  <c r="R3" i="2"/>
  <c r="S3" i="2"/>
  <c r="T3" i="2"/>
  <c r="U3" i="2"/>
  <c r="V3" i="2"/>
  <c r="W3" i="2"/>
  <c r="X3" i="2"/>
  <c r="Y3" i="2"/>
  <c r="Z3" i="2"/>
  <c r="AA3" i="2"/>
  <c r="AB3" i="2"/>
  <c r="AC3" i="2"/>
  <c r="AD3" i="2"/>
  <c r="AE3" i="2"/>
  <c r="AF3" i="2"/>
  <c r="AG3" i="2"/>
  <c r="AH3" i="2"/>
  <c r="AI3" i="2"/>
  <c r="AJ3" i="2"/>
  <c r="AK3" i="2"/>
  <c r="AL3" i="2"/>
  <c r="AM3" i="2"/>
  <c r="AN3" i="2"/>
  <c r="AO3" i="2"/>
  <c r="AP3" i="2"/>
  <c r="AQ3" i="2"/>
  <c r="AR3" i="2"/>
  <c r="AS3" i="2"/>
  <c r="AT3" i="2"/>
  <c r="AU3" i="2"/>
  <c r="AV3" i="2"/>
  <c r="AW3" i="2"/>
  <c r="AX3" i="2"/>
  <c r="AY3" i="2"/>
  <c r="AZ3" i="2"/>
  <c r="BA3" i="2"/>
  <c r="BB3" i="2"/>
  <c r="BC3" i="2"/>
  <c r="BD3" i="2"/>
  <c r="BE3" i="2"/>
  <c r="BF3" i="2"/>
  <c r="BG3" i="2"/>
  <c r="BH3" i="2"/>
  <c r="BI3" i="2"/>
  <c r="BJ3" i="2"/>
  <c r="BK3" i="2"/>
  <c r="BL3" i="2"/>
  <c r="BM3" i="2"/>
  <c r="BN3" i="2"/>
  <c r="BO3" i="2"/>
  <c r="BP3" i="2"/>
  <c r="BQ3" i="2"/>
  <c r="BR3" i="2"/>
  <c r="BS3" i="2"/>
  <c r="BT3" i="2"/>
  <c r="BU3" i="2"/>
  <c r="BV3" i="2"/>
  <c r="BW3" i="2"/>
  <c r="BX3" i="2"/>
  <c r="BY3" i="2"/>
  <c r="BZ3" i="2"/>
  <c r="CA3" i="2"/>
  <c r="CB3" i="2"/>
  <c r="CC3" i="2"/>
  <c r="CD3" i="2"/>
  <c r="CE3" i="2"/>
  <c r="CF3" i="2"/>
  <c r="CG3" i="2"/>
  <c r="CH3" i="2"/>
  <c r="CI3" i="2"/>
  <c r="CJ3" i="2"/>
  <c r="CK3" i="2"/>
  <c r="CL3" i="2"/>
  <c r="CM3" i="2"/>
  <c r="CN3" i="2"/>
  <c r="CO3" i="2"/>
  <c r="CP3" i="2"/>
  <c r="CQ3" i="2"/>
  <c r="CR3" i="2"/>
  <c r="CS3" i="2"/>
  <c r="B4" i="2"/>
  <c r="C4" i="2"/>
  <c r="D4" i="2"/>
  <c r="E4" i="2"/>
  <c r="F4" i="2"/>
  <c r="G4" i="2"/>
  <c r="H4" i="2"/>
  <c r="I4" i="2"/>
  <c r="J4" i="2"/>
  <c r="K4" i="2"/>
  <c r="L4" i="2"/>
  <c r="M4" i="2"/>
  <c r="N4" i="2"/>
  <c r="O4" i="2"/>
  <c r="P4" i="2"/>
  <c r="Q4" i="2"/>
  <c r="R4" i="2"/>
  <c r="S4" i="2"/>
  <c r="T4" i="2"/>
  <c r="U4" i="2"/>
  <c r="V4" i="2"/>
  <c r="W4" i="2"/>
  <c r="X4" i="2"/>
  <c r="Y4" i="2"/>
  <c r="Z4" i="2"/>
  <c r="AA4" i="2"/>
  <c r="AB4" i="2"/>
  <c r="AC4" i="2"/>
  <c r="AD4" i="2"/>
  <c r="AE4" i="2"/>
  <c r="AF4" i="2"/>
  <c r="AG4" i="2"/>
  <c r="AH4" i="2"/>
  <c r="AI4" i="2"/>
  <c r="AJ4" i="2"/>
  <c r="AK4" i="2"/>
  <c r="AL4" i="2"/>
  <c r="AM4" i="2"/>
  <c r="AN4" i="2"/>
  <c r="AO4" i="2"/>
  <c r="AP4" i="2"/>
  <c r="AQ4" i="2"/>
  <c r="AR4" i="2"/>
  <c r="AS4" i="2"/>
  <c r="AT4" i="2"/>
  <c r="AU4" i="2"/>
  <c r="AV4" i="2"/>
  <c r="AW4" i="2"/>
  <c r="AX4" i="2"/>
  <c r="AY4" i="2"/>
  <c r="AZ4" i="2"/>
  <c r="BA4" i="2"/>
  <c r="BB4" i="2"/>
  <c r="BC4" i="2"/>
  <c r="BD4" i="2"/>
  <c r="BE4" i="2"/>
  <c r="BF4" i="2"/>
  <c r="BG4" i="2"/>
  <c r="BH4" i="2"/>
  <c r="BI4" i="2"/>
  <c r="BJ4" i="2"/>
  <c r="BK4" i="2"/>
  <c r="BL4" i="2"/>
  <c r="BM4" i="2"/>
  <c r="BN4" i="2"/>
  <c r="BO4" i="2"/>
  <c r="BP4" i="2"/>
  <c r="BQ4" i="2"/>
  <c r="BR4" i="2"/>
  <c r="BS4" i="2"/>
  <c r="BT4" i="2"/>
  <c r="BU4" i="2"/>
  <c r="BV4" i="2"/>
  <c r="BW4" i="2"/>
  <c r="BX4" i="2"/>
  <c r="BY4" i="2"/>
  <c r="BZ4" i="2"/>
  <c r="CA4" i="2"/>
  <c r="CB4" i="2"/>
  <c r="CC4" i="2"/>
  <c r="CD4" i="2"/>
  <c r="CE4" i="2"/>
  <c r="CF4" i="2"/>
  <c r="CG4" i="2"/>
  <c r="CH4" i="2"/>
  <c r="CI4" i="2"/>
  <c r="CJ4" i="2"/>
  <c r="CK4" i="2"/>
  <c r="CL4" i="2"/>
  <c r="CM4" i="2"/>
  <c r="CN4" i="2"/>
  <c r="CO4" i="2"/>
  <c r="CP4" i="2"/>
  <c r="CQ4" i="2"/>
  <c r="CR4" i="2"/>
  <c r="CS4" i="2"/>
  <c r="A4" i="2"/>
  <c r="A3" i="2"/>
  <c r="A2" i="2"/>
  <c r="A1" i="2"/>
  <c r="B1" i="1"/>
  <c r="C1" i="1"/>
  <c r="D1" i="1"/>
  <c r="E1" i="1"/>
  <c r="F1" i="1"/>
  <c r="G1" i="1"/>
  <c r="H1" i="1"/>
  <c r="I1" i="1"/>
  <c r="J1" i="1"/>
  <c r="K1" i="1"/>
  <c r="L1" i="1"/>
  <c r="M1" i="1"/>
  <c r="N1" i="1"/>
  <c r="O1" i="1"/>
  <c r="P1" i="1"/>
  <c r="Q1" i="1"/>
  <c r="R1" i="1"/>
  <c r="S1" i="1"/>
  <c r="T1" i="1"/>
  <c r="U1" i="1"/>
  <c r="V1" i="1"/>
  <c r="W1" i="1"/>
  <c r="X1" i="1"/>
  <c r="Y1" i="1"/>
  <c r="Z1" i="1"/>
  <c r="AA1" i="1"/>
  <c r="AB1" i="1"/>
  <c r="AC1" i="1"/>
  <c r="AD1" i="1"/>
  <c r="AE1" i="1"/>
  <c r="AF1" i="1"/>
  <c r="AG1" i="1"/>
  <c r="AH1" i="1"/>
  <c r="AI1" i="1"/>
  <c r="AJ1" i="1"/>
  <c r="AK1" i="1"/>
  <c r="AL1" i="1"/>
  <c r="AM1" i="1"/>
  <c r="AN1" i="1"/>
  <c r="AO1" i="1"/>
  <c r="AP1" i="1"/>
  <c r="AQ1" i="1"/>
  <c r="AR1" i="1"/>
  <c r="AS1" i="1"/>
  <c r="AT1" i="1"/>
  <c r="AU1" i="1"/>
  <c r="AV1" i="1"/>
  <c r="AW1" i="1"/>
  <c r="AX1" i="1"/>
  <c r="AY1" i="1"/>
  <c r="AZ1" i="1"/>
  <c r="BA1" i="1"/>
  <c r="BB1" i="1"/>
  <c r="BC1" i="1"/>
  <c r="BD1" i="1"/>
  <c r="BE1" i="1"/>
  <c r="BF1" i="1"/>
  <c r="BG1" i="1"/>
  <c r="BH1" i="1"/>
  <c r="BI1" i="1"/>
  <c r="BJ1" i="1"/>
  <c r="BK1" i="1"/>
  <c r="BL1" i="1"/>
  <c r="BM1" i="1"/>
  <c r="BN1" i="1"/>
  <c r="BO1" i="1"/>
  <c r="BP1" i="1"/>
  <c r="BQ1" i="1"/>
  <c r="BR1" i="1"/>
  <c r="BS1" i="1"/>
  <c r="BT1" i="1"/>
  <c r="BU1" i="1"/>
  <c r="BV1" i="1"/>
  <c r="BW1" i="1"/>
  <c r="BX1" i="1"/>
  <c r="BY1" i="1"/>
  <c r="BZ1" i="1"/>
  <c r="CA1" i="1"/>
  <c r="CB1" i="1"/>
  <c r="CC1" i="1"/>
  <c r="CD1" i="1"/>
  <c r="CE1" i="1"/>
  <c r="CF1" i="1"/>
  <c r="CG1" i="1"/>
  <c r="CH1" i="1"/>
  <c r="CI1" i="1"/>
  <c r="CJ1" i="1"/>
  <c r="CK1" i="1"/>
  <c r="CL1" i="1"/>
  <c r="CM1" i="1"/>
  <c r="CN1" i="1"/>
  <c r="CO1" i="1"/>
  <c r="CP1" i="1"/>
  <c r="CQ1" i="1"/>
  <c r="CR1" i="1"/>
  <c r="CS1" i="1"/>
  <c r="B2" i="1"/>
  <c r="C2" i="1"/>
  <c r="D2" i="1"/>
  <c r="E2" i="1"/>
  <c r="F2" i="1"/>
  <c r="G2" i="1"/>
  <c r="H2" i="1"/>
  <c r="I2" i="1"/>
  <c r="J2" i="1"/>
  <c r="K2" i="1"/>
  <c r="L2" i="1"/>
  <c r="M2" i="1"/>
  <c r="N2" i="1"/>
  <c r="O2" i="1"/>
  <c r="P2" i="1"/>
  <c r="Q2" i="1"/>
  <c r="R2" i="1"/>
  <c r="S2" i="1"/>
  <c r="T2" i="1"/>
  <c r="U2" i="1"/>
  <c r="V2" i="1"/>
  <c r="W2" i="1"/>
  <c r="X2" i="1"/>
  <c r="Y2" i="1"/>
  <c r="Z2" i="1"/>
  <c r="AA2" i="1"/>
  <c r="AB2" i="1"/>
  <c r="AC2" i="1"/>
  <c r="AD2" i="1"/>
  <c r="AE2" i="1"/>
  <c r="AF2" i="1"/>
  <c r="AG2" i="1"/>
  <c r="AH2" i="1"/>
  <c r="AI2" i="1"/>
  <c r="AJ2" i="1"/>
  <c r="AK2" i="1"/>
  <c r="AL2" i="1"/>
  <c r="AM2" i="1"/>
  <c r="AN2" i="1"/>
  <c r="AO2" i="1"/>
  <c r="AP2" i="1"/>
  <c r="AQ2" i="1"/>
  <c r="AR2" i="1"/>
  <c r="AS2" i="1"/>
  <c r="AT2" i="1"/>
  <c r="AU2" i="1"/>
  <c r="AV2" i="1"/>
  <c r="AW2" i="1"/>
  <c r="AX2" i="1"/>
  <c r="AY2" i="1"/>
  <c r="AZ2" i="1"/>
  <c r="BA2" i="1"/>
  <c r="BB2" i="1"/>
  <c r="BC2" i="1"/>
  <c r="BD2" i="1"/>
  <c r="BE2" i="1"/>
  <c r="BF2" i="1"/>
  <c r="BG2" i="1"/>
  <c r="BH2" i="1"/>
  <c r="BI2" i="1"/>
  <c r="BJ2" i="1"/>
  <c r="BK2" i="1"/>
  <c r="BL2" i="1"/>
  <c r="BM2" i="1"/>
  <c r="BN2" i="1"/>
  <c r="BO2" i="1"/>
  <c r="BP2" i="1"/>
  <c r="BQ2" i="1"/>
  <c r="BR2" i="1"/>
  <c r="BS2" i="1"/>
  <c r="BT2" i="1"/>
  <c r="BU2" i="1"/>
  <c r="BV2" i="1"/>
  <c r="BW2" i="1"/>
  <c r="BX2" i="1"/>
  <c r="BY2" i="1"/>
  <c r="BZ2" i="1"/>
  <c r="CA2" i="1"/>
  <c r="CB2" i="1"/>
  <c r="CC2" i="1"/>
  <c r="CD2" i="1"/>
  <c r="CE2" i="1"/>
  <c r="CF2" i="1"/>
  <c r="CG2" i="1"/>
  <c r="CH2" i="1"/>
  <c r="CI2" i="1"/>
  <c r="CJ2" i="1"/>
  <c r="CK2" i="1"/>
  <c r="CL2" i="1"/>
  <c r="CM2" i="1"/>
  <c r="CN2" i="1"/>
  <c r="CO2" i="1"/>
  <c r="CP2" i="1"/>
  <c r="CQ2" i="1"/>
  <c r="CR2" i="1"/>
  <c r="CS2" i="1"/>
  <c r="B3" i="1"/>
  <c r="C3" i="1"/>
  <c r="D3" i="1"/>
  <c r="E3" i="1"/>
  <c r="F3" i="1"/>
  <c r="G3" i="1"/>
  <c r="H3" i="1"/>
  <c r="I3" i="1"/>
  <c r="J3" i="1"/>
  <c r="K3" i="1"/>
  <c r="L3" i="1"/>
  <c r="M3" i="1"/>
  <c r="N3" i="1"/>
  <c r="O3" i="1"/>
  <c r="P3" i="1"/>
  <c r="Q3" i="1"/>
  <c r="R3" i="1"/>
  <c r="S3" i="1"/>
  <c r="T3" i="1"/>
  <c r="U3" i="1"/>
  <c r="V3" i="1"/>
  <c r="W3" i="1"/>
  <c r="X3" i="1"/>
  <c r="Y3" i="1"/>
  <c r="Z3" i="1"/>
  <c r="AA3" i="1"/>
  <c r="AB3" i="1"/>
  <c r="AC3" i="1"/>
  <c r="AD3" i="1"/>
  <c r="AE3" i="1"/>
  <c r="AF3" i="1"/>
  <c r="AG3" i="1"/>
  <c r="AH3" i="1"/>
  <c r="AI3" i="1"/>
  <c r="AJ3" i="1"/>
  <c r="AK3" i="1"/>
  <c r="AL3" i="1"/>
  <c r="AM3" i="1"/>
  <c r="AN3" i="1"/>
  <c r="AO3" i="1"/>
  <c r="AP3" i="1"/>
  <c r="AQ3" i="1"/>
  <c r="AR3" i="1"/>
  <c r="AS3" i="1"/>
  <c r="AT3" i="1"/>
  <c r="AU3" i="1"/>
  <c r="AV3" i="1"/>
  <c r="AW3" i="1"/>
  <c r="AX3" i="1"/>
  <c r="AY3" i="1"/>
  <c r="AZ3" i="1"/>
  <c r="BA3" i="1"/>
  <c r="BB3" i="1"/>
  <c r="BC3" i="1"/>
  <c r="BD3" i="1"/>
  <c r="BE3" i="1"/>
  <c r="BF3" i="1"/>
  <c r="BG3" i="1"/>
  <c r="BH3" i="1"/>
  <c r="BI3" i="1"/>
  <c r="BJ3" i="1"/>
  <c r="BK3" i="1"/>
  <c r="BL3" i="1"/>
  <c r="BM3" i="1"/>
  <c r="BN3" i="1"/>
  <c r="BO3" i="1"/>
  <c r="BP3" i="1"/>
  <c r="BQ3" i="1"/>
  <c r="BR3" i="1"/>
  <c r="BS3" i="1"/>
  <c r="BT3" i="1"/>
  <c r="BU3" i="1"/>
  <c r="BV3" i="1"/>
  <c r="BW3" i="1"/>
  <c r="BX3" i="1"/>
  <c r="BY3" i="1"/>
  <c r="BZ3" i="1"/>
  <c r="CA3" i="1"/>
  <c r="CB3" i="1"/>
  <c r="CC3" i="1"/>
  <c r="CD3" i="1"/>
  <c r="CE3" i="1"/>
  <c r="CF3" i="1"/>
  <c r="CG3" i="1"/>
  <c r="CH3" i="1"/>
  <c r="CI3" i="1"/>
  <c r="CJ3" i="1"/>
  <c r="CK3" i="1"/>
  <c r="CL3" i="1"/>
  <c r="CM3" i="1"/>
  <c r="CN3" i="1"/>
  <c r="CO3" i="1"/>
  <c r="CP3" i="1"/>
  <c r="CQ3" i="1"/>
  <c r="CR3" i="1"/>
  <c r="CS3" i="1"/>
  <c r="B4" i="1"/>
  <c r="C4" i="1"/>
  <c r="D4" i="1"/>
  <c r="E4" i="1"/>
  <c r="F4" i="1"/>
  <c r="G4" i="1"/>
  <c r="H4" i="1"/>
  <c r="I4" i="1"/>
  <c r="J4" i="1"/>
  <c r="K4" i="1"/>
  <c r="L4" i="1"/>
  <c r="M4" i="1"/>
  <c r="N4" i="1"/>
  <c r="O4" i="1"/>
  <c r="P4" i="1"/>
  <c r="Q4" i="1"/>
  <c r="R4" i="1"/>
  <c r="S4" i="1"/>
  <c r="T4" i="1"/>
  <c r="U4" i="1"/>
  <c r="V4" i="1"/>
  <c r="W4" i="1"/>
  <c r="X4" i="1"/>
  <c r="Y4" i="1"/>
  <c r="Z4" i="1"/>
  <c r="AA4" i="1"/>
  <c r="AB4" i="1"/>
  <c r="AC4" i="1"/>
  <c r="AD4" i="1"/>
  <c r="AE4" i="1"/>
  <c r="AF4" i="1"/>
  <c r="AG4" i="1"/>
  <c r="AH4" i="1"/>
  <c r="AI4" i="1"/>
  <c r="AJ4" i="1"/>
  <c r="AK4" i="1"/>
  <c r="AL4" i="1"/>
  <c r="AM4" i="1"/>
  <c r="AN4" i="1"/>
  <c r="AO4" i="1"/>
  <c r="AP4" i="1"/>
  <c r="AQ4" i="1"/>
  <c r="AR4" i="1"/>
  <c r="AS4" i="1"/>
  <c r="AT4" i="1"/>
  <c r="AU4" i="1"/>
  <c r="AV4" i="1"/>
  <c r="AW4" i="1"/>
  <c r="AX4" i="1"/>
  <c r="AY4" i="1"/>
  <c r="AZ4" i="1"/>
  <c r="BA4" i="1"/>
  <c r="BB4" i="1"/>
  <c r="BC4" i="1"/>
  <c r="BD4" i="1"/>
  <c r="BE4" i="1"/>
  <c r="BF4" i="1"/>
  <c r="BG4" i="1"/>
  <c r="BH4" i="1"/>
  <c r="BI4" i="1"/>
  <c r="BJ4" i="1"/>
  <c r="BK4" i="1"/>
  <c r="BL4" i="1"/>
  <c r="BM4" i="1"/>
  <c r="BN4" i="1"/>
  <c r="BO4" i="1"/>
  <c r="BP4" i="1"/>
  <c r="BQ4" i="1"/>
  <c r="BR4" i="1"/>
  <c r="BS4" i="1"/>
  <c r="BT4" i="1"/>
  <c r="BU4" i="1"/>
  <c r="BV4" i="1"/>
  <c r="BW4" i="1"/>
  <c r="BX4" i="1"/>
  <c r="BY4" i="1"/>
  <c r="BZ4" i="1"/>
  <c r="CA4" i="1"/>
  <c r="CB4" i="1"/>
  <c r="CC4" i="1"/>
  <c r="CD4" i="1"/>
  <c r="CE4" i="1"/>
  <c r="CF4" i="1"/>
  <c r="CG4" i="1"/>
  <c r="CH4" i="1"/>
  <c r="CI4" i="1"/>
  <c r="CJ4" i="1"/>
  <c r="CK4" i="1"/>
  <c r="CL4" i="1"/>
  <c r="CM4" i="1"/>
  <c r="CN4" i="1"/>
  <c r="CO4" i="1"/>
  <c r="CP4" i="1"/>
  <c r="CQ4" i="1"/>
  <c r="CR4" i="1"/>
  <c r="CS4" i="1"/>
  <c r="A4" i="1"/>
  <c r="A1" i="1"/>
  <c r="A3" i="1"/>
  <c r="A2"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<sst xmlns="http://schemas.openxmlformats.org/spreadsheetml/2006/main" count="532" uniqueCount="208">
  <si>
    <t>ID</t>
  </si>
  <si>
    <t>Heure de début</t>
  </si>
  <si>
    <t>Heure de fin</t>
  </si>
  <si>
    <t>Adresse de messagerie</t>
  </si>
  <si>
    <t>Nom</t>
  </si>
  <si>
    <t>Total points</t>
  </si>
  <si>
    <t>Quiz feedback</t>
  </si>
  <si>
    <t>CLARTE : J'ai une vision claire de l’objectif final du programme</t>
  </si>
  <si>
    <t>Points - CLARTE : J'ai une vision claire de l’objectif final du programme</t>
  </si>
  <si>
    <t>Feedback - CLARTE : J'ai une vision claire de l’objectif final du programme</t>
  </si>
  <si>
    <t>Si la réponse comporte moins de 2 étoiles OUI, merci de préciser votre réponse dans le champs ci-dessous :</t>
  </si>
  <si>
    <t>Points - Si la réponse comporte moins de 2 étoiles OUI, merci de préciser votre réponse dans le champs ci-dessous :</t>
  </si>
  <si>
    <t>Feedback - Si la réponse comporte moins de 2 étoiles OUI, merci de préciser votre réponse dans le champs ci-dessous :</t>
  </si>
  <si>
    <t>ALIGNEMENT : Je suis aligné sur l’objectif final du programme</t>
  </si>
  <si>
    <t>Points - ALIGNEMENT : Je suis aligné sur l’objectif final du programme</t>
  </si>
  <si>
    <t>Feedback - ALIGNEMENT : Je suis aligné sur l’objectif final du programme</t>
  </si>
  <si>
    <t>Si la réponse comporte moins de 2 étoiles OUI, merci de préciser votre réponse dans le champs ci-dessous :2</t>
  </si>
  <si>
    <t>Points - Si la réponse comporte moins de 2 étoiles OUI, merci de préciser votre réponse dans le champs ci-dessous :2</t>
  </si>
  <si>
    <t>Feedback - Si la réponse comporte moins de 2 étoiles OUI, merci de préciser votre réponse dans le champs ci-dessous :2</t>
  </si>
  <si>
    <t>ENGAGEMENT  : Je supporte l’objectif du programme</t>
  </si>
  <si>
    <t>Points - ENGAGEMENT  : Je supporte l’objectif du programme</t>
  </si>
  <si>
    <t>Feedback - ENGAGEMENT  : Je supporte l’objectif du programme</t>
  </si>
  <si>
    <t>Si la réponse comporte moins de 2 étoiles OUI, merci de préciser votre réponse dans le champs ci-dessous :3</t>
  </si>
  <si>
    <t>Points - Si la réponse comporte moins de 2 étoiles OUI, merci de préciser votre réponse dans le champs ci-dessous :3</t>
  </si>
  <si>
    <t>Feedback - Si la réponse comporte moins de 2 étoiles OUI, merci de préciser votre réponse dans le champs ci-dessous :3</t>
  </si>
  <si>
    <t>SOLUTION  : L’approche pour atteindre l’objectif du programme est solide</t>
  </si>
  <si>
    <t>Points - SOLUTION  : L’approche pour atteindre l’objectif du programme est solide</t>
  </si>
  <si>
    <t>Feedback - SOLUTION  : L’approche pour atteindre l’objectif du programme est solide</t>
  </si>
  <si>
    <t>Si la réponse comporte moins de 2 étoiles OUI, merci de préciser votre réponse dans le champs ci-dessous :4</t>
  </si>
  <si>
    <t>Points - Si la réponse comporte moins de 2 étoiles OUI, merci de préciser votre réponse dans le champs ci-dessous :4</t>
  </si>
  <si>
    <t>Feedback - Si la réponse comporte moins de 2 étoiles OUI, merci de préciser votre réponse dans le champs ci-dessous :4</t>
  </si>
  <si>
    <t>INTEGRITE : Les objectifs initiaux du programme restent les mêmes</t>
  </si>
  <si>
    <t>Points - INTEGRITE : Les objectifs initiaux du programme restent les mêmes</t>
  </si>
  <si>
    <t>Feedback - INTEGRITE : Les objectifs initiaux du programme restent les mêmes</t>
  </si>
  <si>
    <t>Si la réponse comporte moins de 2 étoiles OUI, merci de préciser votre réponse dans le champs ci-dessous :5</t>
  </si>
  <si>
    <t>Points - Si la réponse comporte moins de 2 étoiles OUI, merci de préciser votre réponse dans le champs ci-dessous :5</t>
  </si>
  <si>
    <t>Feedback - Si la réponse comporte moins de 2 étoiles OUI, merci de préciser votre réponse dans le champs ci-dessous :5</t>
  </si>
  <si>
    <t>SPONSORSHIP  : Les leaders fournissent le niveau de sponsorship suffisant pour supporter le programme</t>
  </si>
  <si>
    <t>Points - SPONSORSHIP  : Les leaders fournissent le niveau de sponsorship suffisant pour supporter le programme</t>
  </si>
  <si>
    <t>Feedback - SPONSORSHIP  : Les leaders fournissent le niveau de sponsorship suffisant pour supporter le programme</t>
  </si>
  <si>
    <t>Si la réponse comporte moins de 2 étoiles OUI, merci de préciser votre réponse dans le champs ci-dessous :6</t>
  </si>
  <si>
    <t>Points - Si la réponse comporte moins de 2 étoiles OUI, merci de préciser votre réponse dans le champs ci-dessous :6</t>
  </si>
  <si>
    <t>Feedback - Si la réponse comporte moins de 2 étoiles OUI, merci de préciser votre réponse dans le champs ci-dessous :6</t>
  </si>
  <si>
    <t>CAPACITE : Ce changement entraine une charge de travail que nous pouvons absorber sur le site</t>
  </si>
  <si>
    <t>Points - CAPACITE : Ce changement entraine une charge de travail que nous pouvons absorber sur le site</t>
  </si>
  <si>
    <t>Feedback - CAPACITE : Ce changement entraine une charge de travail que nous pouvons absorber sur le site</t>
  </si>
  <si>
    <t>Si la réponse comporte moins de 2 étoiles OUI, merci de préciser votre réponse dans le champs ci-dessous :7</t>
  </si>
  <si>
    <t>Points - Si la réponse comporte moins de 2 étoiles OUI, merci de préciser votre réponse dans le champs ci-dessous :7</t>
  </si>
  <si>
    <t>Feedback - Si la réponse comporte moins de 2 étoiles OUI, merci de préciser votre réponse dans le champs ci-dessous :7</t>
  </si>
  <si>
    <t>CULTURE  : Nous avons la culture appropriée pour absorber ce changement</t>
  </si>
  <si>
    <t>Points - CULTURE  : Nous avons la culture appropriée pour absorber ce changement</t>
  </si>
  <si>
    <t>Feedback - CULTURE  : Nous avons la culture appropriée pour absorber ce changement</t>
  </si>
  <si>
    <t>Si la réponse comporte moins de 2 étoiles OUI, merci de préciser votre réponse dans le champs ci-dessous :8</t>
  </si>
  <si>
    <t>Feedback - Si la réponse comporte moins de 2 étoiles OUI, merci de préciser votre réponse dans le champs ci-dessous :8</t>
  </si>
  <si>
    <t>Points - Si la réponse comporte moins de 2 étoiles OUI, merci de préciser votre réponse dans le champs ci-dessous :8</t>
  </si>
  <si>
    <t>RESISTANCE  : Les personnes impactées par ce changement démontrent l'engagement nécessaire pour réussir sa mise en place</t>
  </si>
  <si>
    <t>Feedback - RESISTANCE  : Les personnes impactées par ce changement démontrent l'engagement nécessaire pour réussir sa mise en place</t>
  </si>
  <si>
    <t>Points - RESISTANCE  : Les personnes impactées par ce changement démontrent l'engagement nécessaire pour réussir sa mise en place</t>
  </si>
  <si>
    <t>Si la réponse comporte moins de 2 étoiles OUI, merci de préciser votre réponse dans le champs ci-dessous :9</t>
  </si>
  <si>
    <t>Feedback - Si la réponse comporte moins de 2 étoiles OUI, merci de préciser votre réponse dans le champs ci-dessous :9</t>
  </si>
  <si>
    <t>Points - Si la réponse comporte moins de 2 étoiles OUI, merci de préciser votre réponse dans le champs ci-dessous :9</t>
  </si>
  <si>
    <t>SYNERGIE : Nos efforts de collaboration pour ce projet nous font gagner du temps plus qu’il n’en coute</t>
  </si>
  <si>
    <t>Feedback - SYNERGIE : Nos efforts de collaboration pour ce projet nous font gagner du temps plus qu’il n’en coute</t>
  </si>
  <si>
    <t>Points - SYNERGIE : Nos efforts de collaboration pour ce projet nous font gagner du temps plus qu’il n’en coute</t>
  </si>
  <si>
    <t>Si la réponse comporte moins de 2 étoiles OUI, merci de préciser votre réponse dans le champs ci-dessous :10</t>
  </si>
  <si>
    <t>Feedback - Si la réponse comporte moins de 2 étoiles OUI, merci de préciser votre réponse dans le champs ci-dessous :10</t>
  </si>
  <si>
    <t>Points - Si la réponse comporte moins de 2 étoiles OUI, merci de préciser votre réponse dans le champs ci-dessous :10</t>
  </si>
  <si>
    <t>PARTENARIAT : Nos interactions avec des partenaires externes sont suffisantes pour supporter ce changement</t>
  </si>
  <si>
    <t>Feedback - PARTENARIAT : Nos interactions avec des partenaires externes sont suffisantes pour supporter ce changement</t>
  </si>
  <si>
    <t>Points - PARTENARIAT : Nos interactions avec des partenaires externes sont suffisantes pour supporter ce changement</t>
  </si>
  <si>
    <t>Si la réponse comporte moins de 2 étoiles OUI, merci de préciser votre réponse dans le champs ci-dessous :11</t>
  </si>
  <si>
    <t>Feedback - Si la réponse comporte moins de 2 étoiles OUI, merci de préciser votre réponse dans le champs ci-dessous :11</t>
  </si>
  <si>
    <t>Points - Si la réponse comporte moins de 2 étoiles OUI, merci de préciser votre réponse dans le champs ci-dessous :11</t>
  </si>
  <si>
    <t>SUPERVISION : Les instances de pilotage permettent de prendre des décisions rapides et efficaces</t>
  </si>
  <si>
    <t>Points - SUPERVISION : Les instances de pilotage permettent de prendre des décisions rapides et efficaces</t>
  </si>
  <si>
    <t>Feedback - SUPERVISION : Les instances de pilotage permettent de prendre des décisions rapides et efficaces</t>
  </si>
  <si>
    <t>Si la réponse comporte moins de 2 étoiles OUI, merci de préciser votre réponse dans le champs ci-dessous :12</t>
  </si>
  <si>
    <t>Points - Si la réponse comporte moins de 2 étoiles OUI, merci de préciser votre réponse dans le champs ci-dessous :12</t>
  </si>
  <si>
    <t>Feedback - Si la réponse comporte moins de 2 étoiles OUI, merci de préciser votre réponse dans le champs ci-dessous :12</t>
  </si>
  <si>
    <t>RESSOURCES : Les ressources sont suffisantes pour absorber ce changement</t>
  </si>
  <si>
    <t>Points - RESSOURCES : Les ressources sont suffisantes pour absorber ce changement</t>
  </si>
  <si>
    <t>Feedback - RESSOURCES : Les ressources sont suffisantes pour absorber ce changement</t>
  </si>
  <si>
    <t>Si la réponse comporte moins de 2 étoiles OUI, merci de préciser votre réponse dans le champs ci-dessous :13</t>
  </si>
  <si>
    <t>Points - Si la réponse comporte moins de 2 étoiles OUI, merci de préciser votre réponse dans le champs ci-dessous :13</t>
  </si>
  <si>
    <t>Feedback - Si la réponse comporte moins de 2 étoiles OUI, merci de préciser votre réponse dans le champs ci-dessous :13</t>
  </si>
  <si>
    <t>PORTFOLIO : Les interactions de ce projet avec les autres initiatives sont gérées correctement</t>
  </si>
  <si>
    <t>Points - PORTFOLIO : Les interactions de ce projet avec les autres initiatives sont gérées correctement</t>
  </si>
  <si>
    <t>Feedback - PORTFOLIO : Les interactions de ce projet avec les autres initiatives sont gérées correctement</t>
  </si>
  <si>
    <t>Si la réponse comporte moins de 2 étoiles OUI, merci de préciser votre réponse dans le champs ci-dessous :14</t>
  </si>
  <si>
    <t>Points - Si la réponse comporte moins de 2 étoiles OUI, merci de préciser votre réponse dans le champs ci-dessous :14</t>
  </si>
  <si>
    <t>Feedback - Si la réponse comporte moins de 2 étoiles OUI, merci de préciser votre réponse dans le champs ci-dessous :14</t>
  </si>
  <si>
    <t>CHEMIN CRITIQUE : Les délais et ressources à travers de ce projet sont gérés efficacement</t>
  </si>
  <si>
    <t>Points - CHEMIN CRITIQUE : Les délais et ressources à travers de ce projet sont gérés efficacement</t>
  </si>
  <si>
    <t>Feedback - CHEMIN CRITIQUE : Les délais et ressources à travers de ce projet sont gérés efficacement</t>
  </si>
  <si>
    <t>Si la réponse comporte moins de 2 étoiles OUI, merci de préciser votre réponse dans le champs ci-dessous :15</t>
  </si>
  <si>
    <t>Points - Si la réponse comporte moins de 2 étoiles OUI, merci de préciser votre réponse dans le champs ci-dessous :15</t>
  </si>
  <si>
    <t>Feedback - Si la réponse comporte moins de 2 étoiles OUI, merci de préciser votre réponse dans le champs ci-dessous :15</t>
  </si>
  <si>
    <t>anonymous</t>
  </si>
  <si>
    <t>beaucoup de modifications de périmètre, des activités s'ajoutent qui n'étaient pas prévues au départ et augmentent la charge de travail</t>
  </si>
  <si>
    <t>la charge de travail liée à l'apprentissage des nouveaux outils a été sous-évaluée</t>
  </si>
  <si>
    <t>manque de visibilité sur les activités hors programme et d'évaluation des interactions entre le programme et ces activités, notamment en ce qui concerne le partage des ressources</t>
  </si>
  <si>
    <t>Je ne suis pas inquiète sur la rapidité des prises de décision mais sur le temps nécessaires à regrouper les informations pour que Fareva puisse décider. SOA doit fournir plus de visibilité quand on capacité de l'outil SAP.</t>
  </si>
  <si>
    <t>Attention aux périodes de formations et aux périodes de congés. Les congés n'ont pas été pris en compte dans le planning et les formations seront à faire à des périodes adéquates, c'est-à-dire juste avant la mise en production.</t>
  </si>
  <si>
    <t>Quelques réticences par rapport à l'avancement de SOA</t>
  </si>
  <si>
    <t>Réalisation en 2 phases (été 2022 + été 2023) au lieu d'une seule (été 2022)</t>
  </si>
  <si>
    <t>Manque de visibilité des projets hors PASSADOR</t>
  </si>
  <si>
    <t>Certains projets sont pilotés avec le Corporate et cela peut entrainer des retards sur des projets du au temps de réponse de ces derniers.</t>
  </si>
  <si>
    <t>Certains processus tel que les stabilités restent à définir en tant que pilotage par différents systèmes (SAP/LIMS)</t>
  </si>
  <si>
    <t>Peu d'échange avec l'équipe de direction et les managers des secteurs sur le projet Passador</t>
  </si>
  <si>
    <t>La charge d'activité du projet Passador n'est pas corrélée/analysée avec celle existante sur les autres projets du site (ex : OFM, changes clients)</t>
  </si>
  <si>
    <t>L'absence de la mise en place d'une phase d'engagement des collaborateurs du site est un risque majeur pour le projet</t>
  </si>
  <si>
    <t>A ce stade, pas d'échange avec les personnes impactées par ce changement (processus toujours en cours de définition)</t>
  </si>
  <si>
    <t>Manque de visibilité sur la stratégie de test, les formations à réaliser et la liste des documents BPF à réviser afin d'avoir une vision claire de l'adéquation des ressources aux besoins.
Beaucoup de chevauchement d'activités sur début 2023.</t>
  </si>
  <si>
    <t>Manque d'une visibilité claire sur ces interactions et absence d'un planning global site</t>
  </si>
  <si>
    <t>Nouvelle stratégie concernant la gestion des données dynamiques.</t>
  </si>
  <si>
    <t xml:space="preserve">La mise en place du système LIMS implique une prise en charge totale à Mirabel sans support MSD ainsi qu'une réorganisation des activités des SME. Cette charge de travail et cette réorganisation sont en grande partie connues mais à ce jour la mise à disposition des ressources n'a pas été clairement validée par le management. </t>
  </si>
  <si>
    <t>Voir commentaire ci-dessus</t>
  </si>
  <si>
    <t xml:space="preserve">Manque de temps aux experts pour participer pleinement aux étapes du projet. Les SME ne peuvent pas s'imprégner des sujets à traiter et donc n'ont pas la possibilité d'évaluer et d'approfondir leur approche. </t>
  </si>
  <si>
    <t>Le détachement des experts métiers nécessite des remplacements qui doivent se faire avec des moyens (recrutement) et de la formation au poste parfois même impossible à mettre en œuvre. Cette formation nécessite de prendre des recrues de manière anticipée et les besoins du projet ne sont pas toujours suffisamment anticipés.</t>
  </si>
  <si>
    <t>Pour l'instant il est impossible de mesurer un gain de temps</t>
  </si>
  <si>
    <t>Pas d'avis car pas en prise avec des partenaires externes !</t>
  </si>
  <si>
    <t xml:space="preserve">Pas d'avis sur le sujet car pas impliqué au sein du projet </t>
  </si>
  <si>
    <t>Sollicitation très importante des Process Stewards et SME qui doivent absorber la charge de routine ainsi que la charge liée à l'introduction des nouveaux produits =&gt; risque pour le projet Passador mais aussi pour les autres produits du site</t>
  </si>
  <si>
    <t>Pas d'avis sur cette question</t>
  </si>
  <si>
    <t>Voir point 13 par rapport aux ressources Process Stewards et SME</t>
  </si>
  <si>
    <t>Voir point 13 par rapport aux ressources Process Stewards et SME: mode dégradé mis en place pour les nouveaux produits du fait du manque de ressources SAP / LIMS</t>
  </si>
  <si>
    <t>Parfois à défaut d'une charge de travail conséquente à cause d'un planning serré et d'un manque de ressource pour répartir la charge</t>
  </si>
  <si>
    <t>Oui sauf travail sur nouveaux produits pas possible à enclencher avec les consultants car planning trop serré.</t>
  </si>
  <si>
    <t>Aucune coordination entre les projets sites, , peu ou pas d'info des "sponsors" hors chef de projet, pas de recherche d'info de leur part.</t>
  </si>
  <si>
    <t>Aucune coordination entre les projets sites, aucune prise en compte de la charge de travail des membres travaillant sur le projet, rechallenge permanent pour ajouter des activités au fur et à mesure que d'autres projets avancent. Les objectifs du CODIR  semblent minimiser que sans SAP il ne se passera rien.</t>
  </si>
  <si>
    <t>L'engagement de tout le site doit être travaillé pour que SAP ne soit pas l'outil de quelques experts, mais l'outil de gestion au quotidien de presque tous (objectif : chaque personne doit être autonome au minimum pour la consultation des informations et génération des rapports dont elle peut avoir besoin)</t>
  </si>
  <si>
    <t>Les membres impliqués dans le projet : oui
Pour les autres je ne sais pas dire, mais en tant que membre du projet on entend souvent dire "Alors, ça avance VOTRE SAP?"</t>
  </si>
  <si>
    <t>Pour l'instant oui, à voir comment les interactions se passeront quand nous aurons besoin d'aide, de clarification , ou qu'on nous réexplique au moment de l'écriture des SOP et formations.
A voir aussi au moment des UAT.</t>
  </si>
  <si>
    <t>Aucune idée</t>
  </si>
  <si>
    <t>Le planning n'est pas réaliste pour des personnes non-dédiées au projet PASSADOR.</t>
  </si>
  <si>
    <t>Chaque chef de projet site nouveau produit prend ses décisions de planning individuellement, il n'y a aucune revue au niveau CODIR des impacts sur les autres projets et sur les charges d'activités des membres du projet Passador.
Mauvaise évaluation par le CODIR et donc mauvaise communication aux chefs de projets nouveaux produits des impacts autours du cutover (freeze, remédiation manuelle,  démarrage, hypercare). Ma perception est que pour le CODIR c'est 6 semaines d'arrêt et avant/après tout se passe normalement.</t>
  </si>
  <si>
    <t>Dans le planning purement S4, de nombreuses activités doivent être gérées en parallèles par les mêmes personnes (non-dédiées), je pense que l'on est vraiment à risque. Ecrire les SOP et formations en même temps que l'on fait les UAT... Pas de prise en compte des congés dans le planning.</t>
  </si>
  <si>
    <t>pas tout à fait aligné</t>
  </si>
  <si>
    <t xml:space="preserve">souvent oui souvent non. On a pas toujours une visibilité globale de l'objectif. </t>
  </si>
  <si>
    <t>Pas toujours.</t>
  </si>
  <si>
    <t>Mitiger</t>
  </si>
  <si>
    <t>Pas toujour</t>
  </si>
  <si>
    <t>Non</t>
  </si>
  <si>
    <t>Attention à la charge pour les phases de test _ Prévoir des testeurs qui pourront ensuite devenir des supers utilisateurs pour augmenter le nombre de formateur.</t>
  </si>
  <si>
    <t>Equipes pilotages doivent gagner en proactivité</t>
  </si>
  <si>
    <t>Organisation pour maintenir la solution SAP
Architecture SAP sécurisée</t>
  </si>
  <si>
    <t>Vigilance avec les SME</t>
  </si>
  <si>
    <t>Pas de plan de charge commun avec les autres projets site.</t>
  </si>
  <si>
    <t>Fortes exigences de la VSI pourraient entrainer des ralentissements projet.</t>
  </si>
  <si>
    <t>moyenne</t>
  </si>
  <si>
    <t>min</t>
  </si>
  <si>
    <t>max</t>
  </si>
  <si>
    <t>nombre</t>
  </si>
  <si>
    <t>quoi</t>
  </si>
  <si>
    <t>rubrique</t>
  </si>
  <si>
    <t>Je n'ai pas de visibilité  sur la solution , je ne peux donc pas répondre à cette question, pour passer à la question suivante j'ai tout de même dû mettre une étoile</t>
  </si>
  <si>
    <t>Un renfort de certaines équipes devra certainement être envisagé</t>
  </si>
  <si>
    <t xml:space="preserve">là encore je n'ai pas suffisamment de visibilité sur le projet dans son intégralité pour etre en mesure de répondre </t>
  </si>
  <si>
    <t>je ne sais pas - pas de visibilité directe sur ce point</t>
  </si>
  <si>
    <t>même chose - pas de visibilité directe sur cette question</t>
  </si>
  <si>
    <t xml:space="preserve">cF réponse précédente sur le besoin de renfort à certains moments du projet. </t>
  </si>
  <si>
    <t>pas suffisamment de visibilité pour répondre</t>
  </si>
  <si>
    <t>Remplacer les personnes détachées sur le programme par des effectifs temporaires, ne les remplacent que numériquement... il faut former ces personnes tout en sachant qu'on ne capitalise pas pour le futur et qu'on les remerciera au bout du compte.
Quand à nous autres, avons-nous vraiment le choix ? Donc OUI nous pouvons absorber cette charge au détriment de la qualité de notre travail quotidien et en sacrifiant certaines de nos caches de notre routine, mais tout cela n'avait pas été évalué suffisamment tôt, et toute façon vous auriez géré de la même façon, donc peu importe nos avis, maintenant il faut avancer !</t>
  </si>
  <si>
    <t>Absolument pas convaincu... ne sommes-nous pas un centre de production de produits pharmaceutiques stériles ?
Nous n'avions pas pensé faire partie d'une startup informatique... notre mission n'est-elle pas de livrer nos patients afin de les soigner ?
Je n'avais pas décelé nos grandes qualités d'informaticiens en devenir pour réaliser un tel projet....</t>
  </si>
  <si>
    <t>Le choix des partenaires n'apparaît pas terrible, quand on se souvient avoir été lâché au bout de quelques mois par celui de la première heure...</t>
  </si>
  <si>
    <t>Pour que le projet avance les ressources sont suffisantes, pendant que les autres triment par ces détachements de ressources... chacun ses priorités</t>
  </si>
  <si>
    <t>Je ne suis pas directement impliquée à ce stade dans le projet et avec un niveau d'infos qui fait que je ne les recascade pas régulièrement</t>
  </si>
  <si>
    <t>L'approche n'est pas partagée. Par exemple, tout ce qui est tests et formation est pour moi très flou à ce stade</t>
  </si>
  <si>
    <t>Peu d'effectifs complémentaires pour participer au projet et un ressenti qu'il va en manquer dans les phases de test et de formation</t>
  </si>
  <si>
    <t>Il va falloir accompagner les personnes dans les changements. Pas de vision sur ce qui est prévu à ce jour
Prévoir des comms pour "préparer" les personnes avant les formations?</t>
  </si>
  <si>
    <t>Aujourd'hui, je ne sais pas personnellement à quel niveau je serai impactée et je ne le sais pas non plus pour mes équipes. Il est donc difficile de répondre</t>
  </si>
  <si>
    <t>je ne sais pas répondre</t>
  </si>
  <si>
    <t>aucune idée</t>
  </si>
  <si>
    <t>voir réponse sur capacité</t>
  </si>
  <si>
    <t>je ne sais pas</t>
  </si>
  <si>
    <t>Je ne connais pas les modalités concernant l'approche.</t>
  </si>
  <si>
    <t>Je suppose, je ne suis pas impliqué dans le programme.</t>
  </si>
  <si>
    <t>Je ne suis pas impliqué dans le programme. A voir quand nous ferons la transition et que nous serons formés.</t>
  </si>
  <si>
    <t>Pas impliqué dans le programme.</t>
  </si>
  <si>
    <t>Aucune idée.</t>
  </si>
  <si>
    <t>aucune idée.</t>
  </si>
  <si>
    <t>Pas d'interaction.</t>
  </si>
  <si>
    <t>Pas impliqué dans le programme donc pas de vue sur les délais et les ressources.</t>
  </si>
  <si>
    <t>je ne sais pas, je ne fais pas parti du projet</t>
  </si>
  <si>
    <t>je ne fais pas parti du projet</t>
  </si>
  <si>
    <t xml:space="preserve">je ne sais pas </t>
  </si>
  <si>
    <t>je ne connait pas la charge de travail</t>
  </si>
  <si>
    <t>Pas d'information pour le moment sur quels seront les changements de pratique</t>
  </si>
  <si>
    <t>je ne participe pas à ce projet</t>
  </si>
  <si>
    <t>Je n'ai pas les éléments pour répondre</t>
  </si>
  <si>
    <t>Cela me semble difficile avec le peu de vision que j'ai</t>
  </si>
  <si>
    <t>A ce stade, l'équipe projet est très impliqué mais les personnes impliquées de mon service pas du tout. Donc on ne peut pas vraiment dire qu'il y a de la résistance mais si l'implication est trop tardive et le changement trop important (je ne sais pas évaluer le niveau de changement), les résistances risquent d'apparaitre</t>
  </si>
  <si>
    <t>Les ressources impliquées sont peu nombreuses et la charge me semble importante</t>
  </si>
  <si>
    <t>Pas di vision de cet aspect</t>
  </si>
  <si>
    <t xml:space="preserve">peu de communication auprès des managers détachant des personnes sur le sujet 
peu ou pas de communication sur les plannings à venir ( arret/ formation / planning de redemarrage ) </t>
  </si>
  <si>
    <t xml:space="preserve">pas sans ressources supplémentaires </t>
  </si>
  <si>
    <t>peu de communication pour favoriser la collaboration</t>
  </si>
  <si>
    <t xml:space="preserve">aucune idée , je ne sais pas quelles sont les interactions avec les partenaires externes </t>
  </si>
  <si>
    <t xml:space="preserve">aucune idée , je n'ai pas connaissances des instances de pilotage ( qui/quoi / quand / ou ? ) -- donc je ne sais pas si les instances permettent de prendre les décisions rapides et efficaces </t>
  </si>
  <si>
    <t xml:space="preserve">aucune idée : peu de communication de la part du projet sur la situation du projet ( avance /retard ? aucune idée ) </t>
  </si>
  <si>
    <t xml:space="preserve">aucune idée : pas de communication et de ce fait je n'ai pas la visibilité si cela interfère ou s'inscrit par rapport aux autres initiatives </t>
  </si>
  <si>
    <t xml:space="preserve">aucune idée ( voir toutes les réponses au dessus) </t>
  </si>
  <si>
    <t>L'approche semble solide. Mais à confirmer pendant les tests.</t>
  </si>
  <si>
    <t xml:space="preserve">Ok pour les interactions avec SOA. </t>
  </si>
  <si>
    <t>Malheureusement l'ensemble des projets sites et leurs interactions ne semblent pas du tout gérés et pilotés en CODIR. C'est donc difficile ensuite au niveau du terrain...</t>
  </si>
  <si>
    <t>Manager et Direct Report</t>
  </si>
  <si>
    <t>Moyenne direction</t>
  </si>
  <si>
    <t>Moyenne Equipe Pass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</si>
</sst>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h:mm:ss"/>
  </numFmts>
  <fonts count="2" x14ac:knownFonts="1">
    <font>
      <sz val="11"/>
      <color theme="1"/>
      <name val="Calibri"/>
      <family val="2"/>
      <scheme val="minor"/>
    </font>
    <font>
      <sz val="11"/>
      <color rgb="FF34373A"/>
      <name val="Arial"/>
      <family val="2"/>
    </font>
  </fonts>
  <fills count="2">
    <fill>
      <patternFill patternType="none"/>
    </fill>
    <fill>
      <patternFill patternType="gray125"/>
    </fill>
  </fills>
  <borders count="3">
    <border>
      <left/>
      <right/>
      <top/>
      <bottom/>
      <diagonal/>
    </border>
    <border>
      <left/>
      <right style="thick">
        <color auto="1"/>
      </right>
      <top/>
      <bottom/>
      <diagonal/>
    </border>
    <border>
      <left style="thick">
        <color auto="1"/>
      </left>
      <right/>
      <top/>
      <bottom/>
      <diagonal/>
    </border>
  </borders>
  <cellStyleXfs count="1">
    <xf numFmtId="0" fontId="0" fillId="0" borderId="0"/>
  </cellStyleXfs>
  <cellXfs count="5">
    <xf numFmtId="0" fontId="0" fillId="0" borderId="0" xfId="0"/>
    <xf numFmtId="164" fontId="0" fillId="0" borderId="0" xfId="0" applyNumberFormat="1"/>
    <xf numFmtId="0" fontId="0" fillId="0" borderId="1" xfId="0" applyBorder="1"/>
    <xf numFmtId="0" fontId="0" fillId="0" borderId="2" xfId="0" applyBorder="1"/>
    <xf numFmtId="0" fontId="1" fillId="0" borderId="0" xfId="0" applyFont="1"/>
  </cellXfs>
  <cellStyles count="1">
    <cellStyle name="Standaard" xfId="0" builtinId="0"/>
  </cellStyles>
  <dxfs count="293">
    <dxf>
      <fill>
        <patternFill>
          <bgColor rgb="FFFFC000"/>
        </patternFill>
      </fill>
    </dxf>
    <dxf>
      <fill>
        <patternFill>
          <bgColor rgb="FFFFC000"/>
        </patternFill>
      </fil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m/d/yy\ h:mm:ss"/>
    </dxf>
    <dxf>
      <numFmt numFmtId="164" formatCode="m/d/yy\ h:mm:ss"/>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m/d/yy\ h:mm:ss"/>
    </dxf>
    <dxf>
      <numFmt numFmtId="164" formatCode="m/d/yy\ h:mm:ss"/>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m/d/yy\ h:mm:ss"/>
    </dxf>
    <dxf>
      <numFmt numFmtId="164" formatCode="m/d/yy\ h:mm:ss"/>
    </dxf>
    <dxf>
      <numFmt numFmtId="0" formatCode="General"/>
    </dxf>
  </dxfs>
  <tableStyles count="0" defaultTableStyle="TableStyleMedium2" defaultPivotStyle="PivotStyleLight16"/>
  <colors>
    <mruColors>
      <color rgb="FF009AD0"/>
      <color rgb="FFE2AC00"/>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5.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hartsheet" Target="chartsheets/sheet2.xml"/><Relationship Id="rId11" Type="http://schemas.openxmlformats.org/officeDocument/2006/relationships/sheetMetadata" Target="metadata.xml"/><Relationship Id="rId5" Type="http://schemas.openxmlformats.org/officeDocument/2006/relationships/chartsheet" Target="chartsheets/sheet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3.5785163044886131E-2"/>
          <c:y val="6.7144885870381824E-2"/>
          <c:w val="0.94919865505744894"/>
          <c:h val="0.43523740543782202"/>
        </c:manualLayout>
      </c:layout>
      <c:barChart>
        <c:barDir val="col"/>
        <c:grouping val="clustered"/>
        <c:varyColors val="0"/>
        <c:ser>
          <c:idx val="0"/>
          <c:order val="0"/>
          <c:tx>
            <c:v>"Comité de Direction" : Taux de réponse : 7/7</c:v>
          </c:tx>
          <c:spPr>
            <a:solidFill>
              <a:srgbClr val="FF0000"/>
            </a:solidFill>
            <a:ln>
              <a:noFill/>
            </a:ln>
            <a:effectLst/>
          </c:spPr>
          <c:invertIfNegative val="0"/>
          <c:dLbls>
            <c:numFmt formatCode="#,##0.00" sourceLinked="0"/>
            <c:spPr>
              <a:noFill/>
              <a:ln>
                <a:noFill/>
              </a:ln>
              <a:effectLst/>
            </c:spPr>
            <c:txPr>
              <a:bodyPr rot="-5400000" spcFirstLastPara="1" vertOverflow="ellipsis" wrap="square" lIns="38100" tIns="19050" rIns="38100" bIns="19050"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nl-B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compaire!$E$2:$E$98</c:f>
              <c:strCache>
                <c:ptCount val="15"/>
                <c:pt idx="0">
                  <c:v>CLARTE : J'ai une vision claire de l’objectif final du programme</c:v>
                </c:pt>
                <c:pt idx="1">
                  <c:v>ALIGNEMENT : Je suis aligné sur l’objectif final du programme</c:v>
                </c:pt>
                <c:pt idx="2">
                  <c:v>ENGAGEMENT  : Je supporte l’objectif du programme</c:v>
                </c:pt>
                <c:pt idx="3">
                  <c:v>SOLUTION  : L’approche pour atteindre l’objectif du programme est solide</c:v>
                </c:pt>
                <c:pt idx="4">
                  <c:v>INTEGRITE : Les objectifs initiaux du programme restent les mêmes</c:v>
                </c:pt>
                <c:pt idx="5">
                  <c:v>SPONSORSHIP  : Les leaders fournissent le niveau de sponsorship suffisant pour supporter le programme</c:v>
                </c:pt>
                <c:pt idx="6">
                  <c:v>CAPACITE : Ce changement entraine une charge de travail que nous pouvons absorber sur le site</c:v>
                </c:pt>
                <c:pt idx="7">
                  <c:v>CULTURE  : Nous avons la culture appropriée pour absorber ce changement</c:v>
                </c:pt>
                <c:pt idx="8">
                  <c:v>RESISTANCE  : Les personnes impactées par ce changement démontrent l'engagement nécessaire pour réussir sa mise en place</c:v>
                </c:pt>
                <c:pt idx="9">
                  <c:v>SYNERGIE : Nos efforts de collaboration pour ce projet nous font gagner du temps plus qu’il n’en coute</c:v>
                </c:pt>
                <c:pt idx="10">
                  <c:v>PARTENARIAT : Nos interactions avec des partenaires externes sont suffisantes pour supporter ce changement</c:v>
                </c:pt>
                <c:pt idx="11">
                  <c:v>SUPERVISION : Les instances de pilotage permettent de prendre des décisions rapides et efficaces</c:v>
                </c:pt>
                <c:pt idx="12">
                  <c:v>RESSOURCES : Les ressources sont suffisantes pour absorber ce changement</c:v>
                </c:pt>
                <c:pt idx="13">
                  <c:v>PORTFOLIO : Les interactions de ce projet avec les autres initiatives sont gérées correctement</c:v>
                </c:pt>
                <c:pt idx="14">
                  <c:v>CHEMIN CRITIQUE : Les délais et ressources à travers de ce projet sont gérés efficacement</c:v>
                </c:pt>
              </c:strCache>
            </c:strRef>
          </c:cat>
          <c:val>
            <c:numRef>
              <c:f>compaire!$A$2:$A$98</c:f>
              <c:numCache>
                <c:formatCode>General</c:formatCode>
                <c:ptCount val="15"/>
                <c:pt idx="0">
                  <c:v>5</c:v>
                </c:pt>
                <c:pt idx="1">
                  <c:v>5</c:v>
                </c:pt>
                <c:pt idx="2">
                  <c:v>5</c:v>
                </c:pt>
                <c:pt idx="3">
                  <c:v>4.7142857142857144</c:v>
                </c:pt>
                <c:pt idx="4">
                  <c:v>5</c:v>
                </c:pt>
                <c:pt idx="5">
                  <c:v>4.7142857142857144</c:v>
                </c:pt>
                <c:pt idx="6">
                  <c:v>4.4285714285714288</c:v>
                </c:pt>
                <c:pt idx="7">
                  <c:v>3.7142857142857144</c:v>
                </c:pt>
                <c:pt idx="8">
                  <c:v>4.8571428571428568</c:v>
                </c:pt>
                <c:pt idx="9">
                  <c:v>4.4285714285714288</c:v>
                </c:pt>
                <c:pt idx="10">
                  <c:v>4.5714285714285712</c:v>
                </c:pt>
                <c:pt idx="11">
                  <c:v>4.8571428571428568</c:v>
                </c:pt>
                <c:pt idx="12">
                  <c:v>4.4285714285714288</c:v>
                </c:pt>
                <c:pt idx="13">
                  <c:v>4.2857142857142856</c:v>
                </c:pt>
                <c:pt idx="14">
                  <c:v>4.5714285714285712</c:v>
                </c:pt>
              </c:numCache>
            </c:numRef>
          </c:val>
          <c:extLst>
            <c:ext xmlns:c16="http://schemas.microsoft.com/office/drawing/2014/chart" uri="{C3380CC4-5D6E-409C-BE32-E72D297353CC}">
              <c16:uniqueId val="{00000000-94DE-46A5-AB3B-2ACC0739C90F}"/>
            </c:ext>
          </c:extLst>
        </c:ser>
        <c:ser>
          <c:idx val="1"/>
          <c:order val="1"/>
          <c:tx>
            <c:v>"Equipe Pass" : Taux de réponse : 27/27</c:v>
          </c:tx>
          <c:spPr>
            <a:solidFill>
              <a:schemeClr val="accent6">
                <a:lumMod val="75000"/>
              </a:schemeClr>
            </a:solidFill>
            <a:ln>
              <a:noFill/>
            </a:ln>
            <a:effectLst/>
          </c:spPr>
          <c:invertIfNegative val="0"/>
          <c:dLbls>
            <c:numFmt formatCode="#,##0.00" sourceLinked="0"/>
            <c:spPr>
              <a:noFill/>
              <a:ln>
                <a:noFill/>
              </a:ln>
              <a:effectLst/>
            </c:spPr>
            <c:txPr>
              <a:bodyPr rot="-5400000" spcFirstLastPara="1" vertOverflow="ellipsis" wrap="square" lIns="38100" tIns="19050" rIns="38100" bIns="19050"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nl-B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compaire!$E$2:$E$98</c:f>
              <c:strCache>
                <c:ptCount val="15"/>
                <c:pt idx="0">
                  <c:v>CLARTE : J'ai une vision claire de l’objectif final du programme</c:v>
                </c:pt>
                <c:pt idx="1">
                  <c:v>ALIGNEMENT : Je suis aligné sur l’objectif final du programme</c:v>
                </c:pt>
                <c:pt idx="2">
                  <c:v>ENGAGEMENT  : Je supporte l’objectif du programme</c:v>
                </c:pt>
                <c:pt idx="3">
                  <c:v>SOLUTION  : L’approche pour atteindre l’objectif du programme est solide</c:v>
                </c:pt>
                <c:pt idx="4">
                  <c:v>INTEGRITE : Les objectifs initiaux du programme restent les mêmes</c:v>
                </c:pt>
                <c:pt idx="5">
                  <c:v>SPONSORSHIP  : Les leaders fournissent le niveau de sponsorship suffisant pour supporter le programme</c:v>
                </c:pt>
                <c:pt idx="6">
                  <c:v>CAPACITE : Ce changement entraine une charge de travail que nous pouvons absorber sur le site</c:v>
                </c:pt>
                <c:pt idx="7">
                  <c:v>CULTURE  : Nous avons la culture appropriée pour absorber ce changement</c:v>
                </c:pt>
                <c:pt idx="8">
                  <c:v>RESISTANCE  : Les personnes impactées par ce changement démontrent l'engagement nécessaire pour réussir sa mise en place</c:v>
                </c:pt>
                <c:pt idx="9">
                  <c:v>SYNERGIE : Nos efforts de collaboration pour ce projet nous font gagner du temps plus qu’il n’en coute</c:v>
                </c:pt>
                <c:pt idx="10">
                  <c:v>PARTENARIAT : Nos interactions avec des partenaires externes sont suffisantes pour supporter ce changement</c:v>
                </c:pt>
                <c:pt idx="11">
                  <c:v>SUPERVISION : Les instances de pilotage permettent de prendre des décisions rapides et efficaces</c:v>
                </c:pt>
                <c:pt idx="12">
                  <c:v>RESSOURCES : Les ressources sont suffisantes pour absorber ce changement</c:v>
                </c:pt>
                <c:pt idx="13">
                  <c:v>PORTFOLIO : Les interactions de ce projet avec les autres initiatives sont gérées correctement</c:v>
                </c:pt>
                <c:pt idx="14">
                  <c:v>CHEMIN CRITIQUE : Les délais et ressources à travers de ce projet sont gérés efficacement</c:v>
                </c:pt>
              </c:strCache>
            </c:strRef>
          </c:cat>
          <c:val>
            <c:numRef>
              <c:f>compaire!$F$2:$F$98</c:f>
              <c:numCache>
                <c:formatCode>General</c:formatCode>
                <c:ptCount val="15"/>
                <c:pt idx="0">
                  <c:v>4.2962962962962967</c:v>
                </c:pt>
                <c:pt idx="1">
                  <c:v>4.1111111111111107</c:v>
                </c:pt>
                <c:pt idx="2">
                  <c:v>4.5925925925925926</c:v>
                </c:pt>
                <c:pt idx="3">
                  <c:v>3.7037037037037037</c:v>
                </c:pt>
                <c:pt idx="4">
                  <c:v>3.8518518518518516</c:v>
                </c:pt>
                <c:pt idx="5">
                  <c:v>3.6666666666666665</c:v>
                </c:pt>
                <c:pt idx="6">
                  <c:v>3.0370370370370372</c:v>
                </c:pt>
                <c:pt idx="7">
                  <c:v>3.6296296296296298</c:v>
                </c:pt>
                <c:pt idx="8">
                  <c:v>4.1111111111111107</c:v>
                </c:pt>
                <c:pt idx="9">
                  <c:v>3.7777777777777777</c:v>
                </c:pt>
                <c:pt idx="10">
                  <c:v>3.7037037037037037</c:v>
                </c:pt>
                <c:pt idx="11">
                  <c:v>3.3703703703703702</c:v>
                </c:pt>
                <c:pt idx="12">
                  <c:v>2.8518518518518516</c:v>
                </c:pt>
                <c:pt idx="13">
                  <c:v>3.2592592592592591</c:v>
                </c:pt>
                <c:pt idx="14">
                  <c:v>3.2962962962962963</c:v>
                </c:pt>
              </c:numCache>
            </c:numRef>
          </c:val>
          <c:extLst>
            <c:ext xmlns:c16="http://schemas.microsoft.com/office/drawing/2014/chart" uri="{C3380CC4-5D6E-409C-BE32-E72D297353CC}">
              <c16:uniqueId val="{00000001-94DE-46A5-AB3B-2ACC0739C90F}"/>
            </c:ext>
          </c:extLst>
        </c:ser>
        <c:ser>
          <c:idx val="2"/>
          <c:order val="2"/>
          <c:tx>
            <c:v>Managers et Direct Report: Taux de réponse : 36/37</c:v>
          </c:tx>
          <c:spPr>
            <a:solidFill>
              <a:srgbClr val="FFC000"/>
            </a:solidFill>
            <a:ln>
              <a:noFill/>
            </a:ln>
            <a:effectLst/>
          </c:spPr>
          <c:invertIfNegative val="0"/>
          <c:dLbls>
            <c:numFmt formatCode="#,##0.00" sourceLinked="0"/>
            <c:spPr>
              <a:noFill/>
              <a:ln>
                <a:noFill/>
              </a:ln>
              <a:effectLst/>
            </c:spPr>
            <c:txPr>
              <a:bodyPr rot="-5400000" spcFirstLastPara="1" vertOverflow="ellipsis" wrap="square" lIns="38100" tIns="19050" rIns="38100" bIns="19050"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nl-B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compaire!$K$2:$K$98</c:f>
              <c:numCache>
                <c:formatCode>General</c:formatCode>
                <c:ptCount val="15"/>
                <c:pt idx="0">
                  <c:v>4.1578947368421053</c:v>
                </c:pt>
                <c:pt idx="1">
                  <c:v>4.2631578947368425</c:v>
                </c:pt>
                <c:pt idx="2">
                  <c:v>4.3684210526315788</c:v>
                </c:pt>
                <c:pt idx="3">
                  <c:v>3.3684210526315788</c:v>
                </c:pt>
                <c:pt idx="4">
                  <c:v>3.736842105263158</c:v>
                </c:pt>
                <c:pt idx="5">
                  <c:v>3.5263157894736841</c:v>
                </c:pt>
                <c:pt idx="6">
                  <c:v>2.736842105263158</c:v>
                </c:pt>
                <c:pt idx="7">
                  <c:v>3.6315789473684212</c:v>
                </c:pt>
                <c:pt idx="8">
                  <c:v>3.6842105263157894</c:v>
                </c:pt>
                <c:pt idx="9">
                  <c:v>3</c:v>
                </c:pt>
                <c:pt idx="10">
                  <c:v>3</c:v>
                </c:pt>
                <c:pt idx="11">
                  <c:v>3.1578947368421053</c:v>
                </c:pt>
                <c:pt idx="12">
                  <c:v>2.8421052631578947</c:v>
                </c:pt>
                <c:pt idx="13">
                  <c:v>3.2105263157894739</c:v>
                </c:pt>
                <c:pt idx="14">
                  <c:v>3</c:v>
                </c:pt>
              </c:numCache>
            </c:numRef>
          </c:val>
          <c:extLst>
            <c:ext xmlns:c16="http://schemas.microsoft.com/office/drawing/2014/chart" uri="{C3380CC4-5D6E-409C-BE32-E72D297353CC}">
              <c16:uniqueId val="{00000002-3209-4E31-867E-2266E130669E}"/>
            </c:ext>
          </c:extLst>
        </c:ser>
        <c:dLbls>
          <c:showLegendKey val="0"/>
          <c:showVal val="0"/>
          <c:showCatName val="0"/>
          <c:showSerName val="0"/>
          <c:showPercent val="0"/>
          <c:showBubbleSize val="0"/>
        </c:dLbls>
        <c:gapWidth val="150"/>
        <c:axId val="741292224"/>
        <c:axId val="741285992"/>
      </c:barChart>
      <c:catAx>
        <c:axId val="741292224"/>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0"/>
          <a:lstStyle/>
          <a:p>
            <a:pPr>
              <a:defRPr sz="900" b="0" i="0" u="none" strike="noStrike" kern="1200" baseline="0">
                <a:solidFill>
                  <a:schemeClr val="tx1">
                    <a:lumMod val="65000"/>
                    <a:lumOff val="35000"/>
                  </a:schemeClr>
                </a:solidFill>
                <a:latin typeface="+mn-lt"/>
                <a:ea typeface="+mn-ea"/>
                <a:cs typeface="+mn-cs"/>
              </a:defRPr>
            </a:pPr>
            <a:endParaRPr lang="nl-BE"/>
          </a:p>
        </c:txPr>
        <c:crossAx val="741285992"/>
        <c:crosses val="autoZero"/>
        <c:auto val="1"/>
        <c:lblAlgn val="ctr"/>
        <c:lblOffset val="100"/>
        <c:noMultiLvlLbl val="0"/>
      </c:catAx>
      <c:valAx>
        <c:axId val="741285992"/>
        <c:scaling>
          <c:orientation val="minMax"/>
          <c:max val="5.5"/>
          <c:min val="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41292224"/>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nl-BE"/>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r>
              <a:rPr lang="en-US" sz="1200" b="0" i="1" baseline="0">
                <a:solidFill>
                  <a:srgbClr val="7030A0"/>
                </a:solidFill>
              </a:rPr>
              <a:t>Comité de Direction : Taux de réponse : 7/7</a:t>
            </a:r>
          </a:p>
          <a:p>
            <a:pPr marL="0" marR="0" lvl="0" indent="0" algn="ctr" defTabSz="914400" rtl="0" eaLnBrk="1" fontAlgn="auto" latinLnBrk="0" hangingPunct="1">
              <a:lnSpc>
                <a:spcPct val="100000"/>
              </a:lnSpc>
              <a:spcBef>
                <a:spcPts val="0"/>
              </a:spcBef>
              <a:spcAft>
                <a:spcPts val="0"/>
              </a:spcAft>
              <a:buClrTx/>
              <a:buSzTx/>
              <a:buFontTx/>
              <a:buNone/>
              <a:tabLst/>
              <a:defRPr>
                <a:solidFill>
                  <a:sysClr val="windowText" lastClr="000000">
                    <a:lumMod val="65000"/>
                    <a:lumOff val="35000"/>
                  </a:sysClr>
                </a:solidFill>
              </a:defRPr>
            </a:pPr>
            <a:r>
              <a:rPr lang="en-US" sz="1200" b="0" i="1" baseline="0">
                <a:solidFill>
                  <a:srgbClr val="7030A0"/>
                </a:solidFill>
              </a:rPr>
              <a:t>Equipe Pass : Taux de réponse 27/27</a:t>
            </a:r>
          </a:p>
          <a:p>
            <a:pPr marL="0" marR="0" lvl="0" indent="0" algn="ctr" defTabSz="914400" rtl="0" eaLnBrk="1" fontAlgn="auto" latinLnBrk="0" hangingPunct="1">
              <a:lnSpc>
                <a:spcPct val="100000"/>
              </a:lnSpc>
              <a:spcBef>
                <a:spcPts val="0"/>
              </a:spcBef>
              <a:spcAft>
                <a:spcPts val="0"/>
              </a:spcAft>
              <a:buClrTx/>
              <a:buSzTx/>
              <a:buFontTx/>
              <a:buNone/>
              <a:tabLst/>
              <a:defRPr>
                <a:solidFill>
                  <a:sysClr val="windowText" lastClr="000000">
                    <a:lumMod val="65000"/>
                    <a:lumOff val="35000"/>
                  </a:sysClr>
                </a:solidFill>
              </a:defRPr>
            </a:pPr>
            <a:r>
              <a:rPr lang="en-US" sz="1200" b="0" i="1" baseline="0">
                <a:solidFill>
                  <a:srgbClr val="7030A0"/>
                </a:solidFill>
              </a:rPr>
              <a:t>Managers et Direct Report: Taux de réponse : 36/37</a:t>
            </a:r>
          </a:p>
        </c:rich>
      </c:tx>
      <c:layout>
        <c:manualLayout>
          <c:xMode val="edge"/>
          <c:yMode val="edge"/>
          <c:x val="0.64418603426290699"/>
          <c:y val="2.0900901256736631E-2"/>
        </c:manualLayout>
      </c:layout>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endParaRPr lang="nl-BE"/>
        </a:p>
      </c:txPr>
    </c:title>
    <c:autoTitleDeleted val="0"/>
    <c:plotArea>
      <c:layout>
        <c:manualLayout>
          <c:layoutTarget val="inner"/>
          <c:xMode val="edge"/>
          <c:yMode val="edge"/>
          <c:x val="9.674838930757558E-2"/>
          <c:y val="0.10168288461402369"/>
          <c:w val="0.54303737696431698"/>
          <c:h val="0.83143423136441896"/>
        </c:manualLayout>
      </c:layout>
      <c:radarChart>
        <c:radarStyle val="marker"/>
        <c:varyColors val="0"/>
        <c:ser>
          <c:idx val="0"/>
          <c:order val="0"/>
          <c:tx>
            <c:v>Direction</c:v>
          </c:tx>
          <c:spPr>
            <a:ln w="38100" cap="rnd">
              <a:solidFill>
                <a:srgbClr val="FF0000"/>
              </a:solidFill>
              <a:round/>
            </a:ln>
            <a:effectLst/>
          </c:spPr>
          <c:marker>
            <c:symbol val="none"/>
          </c:marker>
          <c:dPt>
            <c:idx val="0"/>
            <c:marker>
              <c:symbol val="none"/>
            </c:marker>
            <c:bubble3D val="0"/>
            <c:spPr>
              <a:ln w="38100" cap="rnd">
                <a:solidFill>
                  <a:srgbClr val="FF0000"/>
                </a:solidFill>
                <a:round/>
              </a:ln>
              <a:effectLst/>
            </c:spPr>
            <c:extLst>
              <c:ext xmlns:c16="http://schemas.microsoft.com/office/drawing/2014/chart" uri="{C3380CC4-5D6E-409C-BE32-E72D297353CC}">
                <c16:uniqueId val="{00000001-B828-42D3-82F2-A44E7D13F0A7}"/>
              </c:ext>
            </c:extLst>
          </c:dPt>
          <c:dPt>
            <c:idx val="1"/>
            <c:marker>
              <c:symbol val="none"/>
            </c:marker>
            <c:bubble3D val="0"/>
            <c:spPr>
              <a:ln w="38100" cap="rnd">
                <a:solidFill>
                  <a:srgbClr val="FF0000"/>
                </a:solidFill>
                <a:round/>
              </a:ln>
              <a:effectLst/>
            </c:spPr>
            <c:extLst>
              <c:ext xmlns:c16="http://schemas.microsoft.com/office/drawing/2014/chart" uri="{C3380CC4-5D6E-409C-BE32-E72D297353CC}">
                <c16:uniqueId val="{00000003-B828-42D3-82F2-A44E7D13F0A7}"/>
              </c:ext>
            </c:extLst>
          </c:dPt>
          <c:dPt>
            <c:idx val="2"/>
            <c:marker>
              <c:symbol val="none"/>
            </c:marker>
            <c:bubble3D val="0"/>
            <c:explosion val="38"/>
            <c:spPr>
              <a:ln w="38100" cap="rnd">
                <a:solidFill>
                  <a:srgbClr val="FF0000"/>
                </a:solidFill>
                <a:round/>
              </a:ln>
              <a:effectLst/>
            </c:spPr>
            <c:extLst>
              <c:ext xmlns:c16="http://schemas.microsoft.com/office/drawing/2014/chart" uri="{C3380CC4-5D6E-409C-BE32-E72D297353CC}">
                <c16:uniqueId val="{00000005-B828-42D3-82F2-A44E7D13F0A7}"/>
              </c:ext>
            </c:extLst>
          </c:dPt>
          <c:dPt>
            <c:idx val="3"/>
            <c:marker>
              <c:symbol val="none"/>
            </c:marker>
            <c:bubble3D val="0"/>
            <c:spPr>
              <a:ln w="38100" cap="rnd">
                <a:solidFill>
                  <a:srgbClr val="FF0000"/>
                </a:solidFill>
                <a:round/>
              </a:ln>
              <a:effectLst/>
            </c:spPr>
            <c:extLst>
              <c:ext xmlns:c16="http://schemas.microsoft.com/office/drawing/2014/chart" uri="{C3380CC4-5D6E-409C-BE32-E72D297353CC}">
                <c16:uniqueId val="{00000007-B828-42D3-82F2-A44E7D13F0A7}"/>
              </c:ext>
            </c:extLst>
          </c:dPt>
          <c:dPt>
            <c:idx val="4"/>
            <c:marker>
              <c:symbol val="none"/>
            </c:marker>
            <c:bubble3D val="0"/>
            <c:spPr>
              <a:ln w="38100" cap="rnd">
                <a:solidFill>
                  <a:srgbClr val="FF0000"/>
                </a:solidFill>
                <a:round/>
              </a:ln>
              <a:effectLst/>
            </c:spPr>
            <c:extLst>
              <c:ext xmlns:c16="http://schemas.microsoft.com/office/drawing/2014/chart" uri="{C3380CC4-5D6E-409C-BE32-E72D297353CC}">
                <c16:uniqueId val="{00000009-B828-42D3-82F2-A44E7D13F0A7}"/>
              </c:ext>
            </c:extLst>
          </c:dPt>
          <c:dPt>
            <c:idx val="5"/>
            <c:marker>
              <c:symbol val="none"/>
            </c:marker>
            <c:bubble3D val="0"/>
            <c:spPr>
              <a:ln w="38100" cap="rnd">
                <a:solidFill>
                  <a:srgbClr val="FF0000"/>
                </a:solidFill>
                <a:round/>
              </a:ln>
              <a:effectLst/>
            </c:spPr>
            <c:extLst>
              <c:ext xmlns:c16="http://schemas.microsoft.com/office/drawing/2014/chart" uri="{C3380CC4-5D6E-409C-BE32-E72D297353CC}">
                <c16:uniqueId val="{0000000B-B828-42D3-82F2-A44E7D13F0A7}"/>
              </c:ext>
            </c:extLst>
          </c:dPt>
          <c:dPt>
            <c:idx val="6"/>
            <c:marker>
              <c:symbol val="none"/>
            </c:marker>
            <c:bubble3D val="0"/>
            <c:spPr>
              <a:ln w="38100" cap="rnd">
                <a:solidFill>
                  <a:srgbClr val="FF0000"/>
                </a:solidFill>
                <a:round/>
              </a:ln>
              <a:effectLst/>
            </c:spPr>
            <c:extLst>
              <c:ext xmlns:c16="http://schemas.microsoft.com/office/drawing/2014/chart" uri="{C3380CC4-5D6E-409C-BE32-E72D297353CC}">
                <c16:uniqueId val="{0000000D-B828-42D3-82F2-A44E7D13F0A7}"/>
              </c:ext>
            </c:extLst>
          </c:dPt>
          <c:dPt>
            <c:idx val="7"/>
            <c:marker>
              <c:symbol val="none"/>
            </c:marker>
            <c:bubble3D val="0"/>
            <c:spPr>
              <a:ln w="38100" cap="rnd">
                <a:solidFill>
                  <a:srgbClr val="FF0000"/>
                </a:solidFill>
                <a:round/>
              </a:ln>
              <a:effectLst/>
            </c:spPr>
            <c:extLst>
              <c:ext xmlns:c16="http://schemas.microsoft.com/office/drawing/2014/chart" uri="{C3380CC4-5D6E-409C-BE32-E72D297353CC}">
                <c16:uniqueId val="{0000000F-B828-42D3-82F2-A44E7D13F0A7}"/>
              </c:ext>
            </c:extLst>
          </c:dPt>
          <c:dPt>
            <c:idx val="8"/>
            <c:marker>
              <c:symbol val="none"/>
            </c:marker>
            <c:bubble3D val="0"/>
            <c:spPr>
              <a:ln w="38100" cap="rnd">
                <a:solidFill>
                  <a:srgbClr val="FF0000"/>
                </a:solidFill>
                <a:round/>
              </a:ln>
              <a:effectLst/>
            </c:spPr>
            <c:extLst>
              <c:ext xmlns:c16="http://schemas.microsoft.com/office/drawing/2014/chart" uri="{C3380CC4-5D6E-409C-BE32-E72D297353CC}">
                <c16:uniqueId val="{00000011-B828-42D3-82F2-A44E7D13F0A7}"/>
              </c:ext>
            </c:extLst>
          </c:dPt>
          <c:dPt>
            <c:idx val="9"/>
            <c:marker>
              <c:symbol val="none"/>
            </c:marker>
            <c:bubble3D val="0"/>
            <c:spPr>
              <a:ln w="38100" cap="rnd">
                <a:solidFill>
                  <a:srgbClr val="FF0000"/>
                </a:solidFill>
                <a:round/>
              </a:ln>
              <a:effectLst/>
            </c:spPr>
            <c:extLst>
              <c:ext xmlns:c16="http://schemas.microsoft.com/office/drawing/2014/chart" uri="{C3380CC4-5D6E-409C-BE32-E72D297353CC}">
                <c16:uniqueId val="{00000013-B828-42D3-82F2-A44E7D13F0A7}"/>
              </c:ext>
            </c:extLst>
          </c:dPt>
          <c:dPt>
            <c:idx val="10"/>
            <c:marker>
              <c:symbol val="none"/>
            </c:marker>
            <c:bubble3D val="0"/>
            <c:spPr>
              <a:ln w="38100" cap="rnd">
                <a:solidFill>
                  <a:srgbClr val="FF0000"/>
                </a:solidFill>
                <a:round/>
              </a:ln>
              <a:effectLst/>
            </c:spPr>
            <c:extLst>
              <c:ext xmlns:c16="http://schemas.microsoft.com/office/drawing/2014/chart" uri="{C3380CC4-5D6E-409C-BE32-E72D297353CC}">
                <c16:uniqueId val="{00000015-B828-42D3-82F2-A44E7D13F0A7}"/>
              </c:ext>
            </c:extLst>
          </c:dPt>
          <c:dPt>
            <c:idx val="11"/>
            <c:marker>
              <c:symbol val="none"/>
            </c:marker>
            <c:bubble3D val="0"/>
            <c:spPr>
              <a:ln w="38100" cap="rnd">
                <a:solidFill>
                  <a:srgbClr val="FF0000"/>
                </a:solidFill>
                <a:round/>
              </a:ln>
              <a:effectLst/>
            </c:spPr>
            <c:extLst>
              <c:ext xmlns:c16="http://schemas.microsoft.com/office/drawing/2014/chart" uri="{C3380CC4-5D6E-409C-BE32-E72D297353CC}">
                <c16:uniqueId val="{00000017-B828-42D3-82F2-A44E7D13F0A7}"/>
              </c:ext>
            </c:extLst>
          </c:dPt>
          <c:dPt>
            <c:idx val="12"/>
            <c:marker>
              <c:symbol val="none"/>
            </c:marker>
            <c:bubble3D val="0"/>
            <c:spPr>
              <a:ln w="38100" cap="rnd">
                <a:solidFill>
                  <a:srgbClr val="FF0000"/>
                </a:solidFill>
                <a:round/>
              </a:ln>
              <a:effectLst/>
            </c:spPr>
            <c:extLst>
              <c:ext xmlns:c16="http://schemas.microsoft.com/office/drawing/2014/chart" uri="{C3380CC4-5D6E-409C-BE32-E72D297353CC}">
                <c16:uniqueId val="{00000019-B828-42D3-82F2-A44E7D13F0A7}"/>
              </c:ext>
            </c:extLst>
          </c:dPt>
          <c:dPt>
            <c:idx val="13"/>
            <c:marker>
              <c:symbol val="none"/>
            </c:marker>
            <c:bubble3D val="0"/>
            <c:spPr>
              <a:ln w="38100" cap="rnd">
                <a:solidFill>
                  <a:srgbClr val="FF0000"/>
                </a:solidFill>
                <a:round/>
              </a:ln>
              <a:effectLst/>
            </c:spPr>
            <c:extLst>
              <c:ext xmlns:c16="http://schemas.microsoft.com/office/drawing/2014/chart" uri="{C3380CC4-5D6E-409C-BE32-E72D297353CC}">
                <c16:uniqueId val="{0000001B-B828-42D3-82F2-A44E7D13F0A7}"/>
              </c:ext>
            </c:extLst>
          </c:dPt>
          <c:dPt>
            <c:idx val="14"/>
            <c:marker>
              <c:symbol val="none"/>
            </c:marker>
            <c:bubble3D val="0"/>
            <c:spPr>
              <a:ln w="38100" cap="rnd">
                <a:solidFill>
                  <a:srgbClr val="FF0000"/>
                </a:solidFill>
                <a:round/>
              </a:ln>
              <a:effectLst/>
            </c:spPr>
            <c:extLst>
              <c:ext xmlns:c16="http://schemas.microsoft.com/office/drawing/2014/chart" uri="{C3380CC4-5D6E-409C-BE32-E72D297353CC}">
                <c16:uniqueId val="{0000001D-B828-42D3-82F2-A44E7D13F0A7}"/>
              </c:ext>
            </c:extLst>
          </c:dPt>
          <c:dLbls>
            <c:dLbl>
              <c:idx val="14"/>
              <c:layout>
                <c:manualLayout>
                  <c:x val="-4.3683438247752435E-2"/>
                  <c:y val="2.090090125673644E-3"/>
                </c:manualLayout>
              </c:layout>
              <c:showLegendKey val="0"/>
              <c:showVal val="1"/>
              <c:showCatName val="1"/>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1D-B828-42D3-82F2-A44E7D13F0A7}"/>
                </c:ext>
              </c:extLst>
            </c:dLbl>
            <c:numFmt formatCode="#,##0.00" sourceLinked="0"/>
            <c:spPr>
              <a:solidFill>
                <a:sysClr val="window" lastClr="FFFFFF"/>
              </a:solidFill>
              <a:ln>
                <a:solidFill>
                  <a:sysClr val="windowText" lastClr="000000">
                    <a:lumMod val="25000"/>
                    <a:lumOff val="75000"/>
                  </a:sysClr>
                </a:solidFill>
              </a:ln>
              <a:effectLst/>
            </c:spPr>
            <c:txPr>
              <a:bodyPr rot="0" spcFirstLastPara="1" vertOverflow="clip" horzOverflow="clip" vert="horz" wrap="square" lIns="36576" tIns="18288" rIns="36576" bIns="18288" anchor="ctr" anchorCtr="1">
                <a:spAutoFit/>
              </a:bodyPr>
              <a:lstStyle/>
              <a:p>
                <a:pPr>
                  <a:defRPr sz="900" b="1" i="0" u="none" strike="noStrike" kern="1200" baseline="0">
                    <a:solidFill>
                      <a:schemeClr val="tx1"/>
                    </a:solidFill>
                    <a:latin typeface="+mn-lt"/>
                    <a:ea typeface="+mn-ea"/>
                    <a:cs typeface="+mn-cs"/>
                  </a:defRPr>
                </a:pPr>
                <a:endParaRPr lang="nl-BE"/>
              </a:p>
            </c:txPr>
            <c:showLegendKey val="0"/>
            <c:showVal val="1"/>
            <c:showCatName val="1"/>
            <c:showSerName val="0"/>
            <c:showPercent val="0"/>
            <c:showBubbleSize val="0"/>
            <c:showLeaderLines val="0"/>
            <c:extLst>
              <c:ext xmlns:c15="http://schemas.microsoft.com/office/drawing/2012/chart" uri="{CE6537A1-D6FC-4f65-9D91-7224C49458BB}">
                <c15:spPr xmlns:c15="http://schemas.microsoft.com/office/drawing/2012/chart">
                  <a:prstGeom prst="borderCallout2">
                    <a:avLst/>
                  </a:prstGeom>
                  <a:noFill/>
                  <a:ln>
                    <a:noFill/>
                  </a:ln>
                </c15:spPr>
                <c15:showLeaderLines val="0"/>
              </c:ext>
            </c:extLst>
          </c:dLbls>
          <c:cat>
            <c:strRef>
              <c:f>'Données Camembert'!$F$2:$F$16</c:f>
              <c:strCache>
                <c:ptCount val="15"/>
                <c:pt idx="0">
                  <c:v>CLARTE</c:v>
                </c:pt>
                <c:pt idx="1">
                  <c:v>ALIGNEMENT</c:v>
                </c:pt>
                <c:pt idx="2">
                  <c:v>ENGAGEMENT </c:v>
                </c:pt>
                <c:pt idx="3">
                  <c:v>SOLUTION </c:v>
                </c:pt>
                <c:pt idx="4">
                  <c:v>INTEGRITE</c:v>
                </c:pt>
                <c:pt idx="5">
                  <c:v>SPONSORSHIP </c:v>
                </c:pt>
                <c:pt idx="6">
                  <c:v>CAPACITE</c:v>
                </c:pt>
                <c:pt idx="7">
                  <c:v>CULTURE </c:v>
                </c:pt>
                <c:pt idx="8">
                  <c:v>RESISTANCE </c:v>
                </c:pt>
                <c:pt idx="9">
                  <c:v>SYNERGIE</c:v>
                </c:pt>
                <c:pt idx="10">
                  <c:v>PARTENARIAT</c:v>
                </c:pt>
                <c:pt idx="11">
                  <c:v>SUPERVISION</c:v>
                </c:pt>
                <c:pt idx="12">
                  <c:v>RESSOURCES</c:v>
                </c:pt>
                <c:pt idx="13">
                  <c:v>PORTFOLIO</c:v>
                </c:pt>
                <c:pt idx="14">
                  <c:v>CHEMIN CRITIQUE</c:v>
                </c:pt>
              </c:strCache>
            </c:strRef>
          </c:cat>
          <c:val>
            <c:numRef>
              <c:f>'Données Camembert'!$A$2:$A$16</c:f>
              <c:numCache>
                <c:formatCode>General</c:formatCode>
                <c:ptCount val="15"/>
                <c:pt idx="0">
                  <c:v>5</c:v>
                </c:pt>
                <c:pt idx="1">
                  <c:v>5</c:v>
                </c:pt>
                <c:pt idx="2">
                  <c:v>5</c:v>
                </c:pt>
                <c:pt idx="3">
                  <c:v>4.7142857142857144</c:v>
                </c:pt>
                <c:pt idx="4">
                  <c:v>5</c:v>
                </c:pt>
                <c:pt idx="5">
                  <c:v>4.7142857142857144</c:v>
                </c:pt>
                <c:pt idx="6">
                  <c:v>4.4285714285714288</c:v>
                </c:pt>
                <c:pt idx="7">
                  <c:v>3.7142857142857144</c:v>
                </c:pt>
                <c:pt idx="8">
                  <c:v>4.8571428571428568</c:v>
                </c:pt>
                <c:pt idx="9">
                  <c:v>4.4285714285714288</c:v>
                </c:pt>
                <c:pt idx="10">
                  <c:v>4.5714285714285712</c:v>
                </c:pt>
                <c:pt idx="11">
                  <c:v>4.8571428571428568</c:v>
                </c:pt>
                <c:pt idx="12">
                  <c:v>4.4285714285714288</c:v>
                </c:pt>
                <c:pt idx="13">
                  <c:v>4.2857142857142856</c:v>
                </c:pt>
                <c:pt idx="14">
                  <c:v>4.5714285714285712</c:v>
                </c:pt>
              </c:numCache>
            </c:numRef>
          </c:val>
          <c:extLst>
            <c:ext xmlns:c16="http://schemas.microsoft.com/office/drawing/2014/chart" uri="{C3380CC4-5D6E-409C-BE32-E72D297353CC}">
              <c16:uniqueId val="{0000001E-B828-42D3-82F2-A44E7D13F0A7}"/>
            </c:ext>
          </c:extLst>
        </c:ser>
        <c:ser>
          <c:idx val="1"/>
          <c:order val="1"/>
          <c:tx>
            <c:v>Moyenne Direction</c:v>
          </c:tx>
          <c:spPr>
            <a:ln w="28575" cap="rnd">
              <a:solidFill>
                <a:srgbClr val="FF0000"/>
              </a:solidFill>
              <a:prstDash val="sysDash"/>
              <a:round/>
            </a:ln>
            <a:effectLst/>
          </c:spPr>
          <c:marker>
            <c:symbol val="none"/>
          </c:marker>
          <c:val>
            <c:numRef>
              <c:f>'Données Camembert'!$L$2:$L$16</c:f>
              <c:numCache>
                <c:formatCode>General</c:formatCode>
                <c:ptCount val="15"/>
                <c:pt idx="0">
                  <c:v>4.6380952380952376</c:v>
                </c:pt>
                <c:pt idx="1">
                  <c:v>4.6380952380952376</c:v>
                </c:pt>
                <c:pt idx="2">
                  <c:v>4.6380952380952376</c:v>
                </c:pt>
                <c:pt idx="3">
                  <c:v>4.6380952380952376</c:v>
                </c:pt>
                <c:pt idx="4">
                  <c:v>4.6380952380952376</c:v>
                </c:pt>
                <c:pt idx="5">
                  <c:v>4.6380952380952376</c:v>
                </c:pt>
                <c:pt idx="6">
                  <c:v>4.6380952380952376</c:v>
                </c:pt>
                <c:pt idx="7">
                  <c:v>4.6380952380952376</c:v>
                </c:pt>
                <c:pt idx="8">
                  <c:v>4.6380952380952376</c:v>
                </c:pt>
                <c:pt idx="9">
                  <c:v>4.6380952380952376</c:v>
                </c:pt>
                <c:pt idx="10">
                  <c:v>4.6380952380952376</c:v>
                </c:pt>
                <c:pt idx="11">
                  <c:v>4.6380952380952376</c:v>
                </c:pt>
                <c:pt idx="12">
                  <c:v>4.6380952380952376</c:v>
                </c:pt>
                <c:pt idx="13">
                  <c:v>4.6380952380952376</c:v>
                </c:pt>
                <c:pt idx="14">
                  <c:v>4.6380952380952376</c:v>
                </c:pt>
              </c:numCache>
            </c:numRef>
          </c:val>
          <c:extLst>
            <c:ext xmlns:c16="http://schemas.microsoft.com/office/drawing/2014/chart" uri="{C3380CC4-5D6E-409C-BE32-E72D297353CC}">
              <c16:uniqueId val="{0000001F-CD5E-41F6-9C85-AAEDF23CDC14}"/>
            </c:ext>
          </c:extLst>
        </c:ser>
        <c:ser>
          <c:idx val="2"/>
          <c:order val="2"/>
          <c:tx>
            <c:v>Equipe Pass</c:v>
          </c:tx>
          <c:spPr>
            <a:ln w="38100" cap="rnd">
              <a:solidFill>
                <a:schemeClr val="accent6">
                  <a:lumMod val="75000"/>
                </a:schemeClr>
              </a:solidFill>
              <a:round/>
            </a:ln>
            <a:effectLst/>
          </c:spPr>
          <c:marker>
            <c:symbol val="none"/>
          </c:marker>
          <c:dLbls>
            <c:numFmt formatCode="#,##0.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accent6">
                        <a:lumMod val="75000"/>
                      </a:schemeClr>
                    </a:solidFill>
                    <a:latin typeface="+mn-lt"/>
                    <a:ea typeface="+mn-ea"/>
                    <a:cs typeface="+mn-cs"/>
                  </a:defRPr>
                </a:pPr>
                <a:endParaRPr lang="nl-BE"/>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'Données Camembert'!$G$2:$G$16</c:f>
              <c:numCache>
                <c:formatCode>General</c:formatCode>
                <c:ptCount val="15"/>
                <c:pt idx="0">
                  <c:v>4.2962962962962967</c:v>
                </c:pt>
                <c:pt idx="1">
                  <c:v>4.1111111111111107</c:v>
                </c:pt>
                <c:pt idx="2">
                  <c:v>4.5925925925925926</c:v>
                </c:pt>
                <c:pt idx="3">
                  <c:v>3.7037037037037037</c:v>
                </c:pt>
                <c:pt idx="4">
                  <c:v>3.8518518518518516</c:v>
                </c:pt>
                <c:pt idx="5">
                  <c:v>3.6666666666666665</c:v>
                </c:pt>
                <c:pt idx="6">
                  <c:v>3.0370370370370372</c:v>
                </c:pt>
                <c:pt idx="7">
                  <c:v>3.6296296296296298</c:v>
                </c:pt>
                <c:pt idx="8">
                  <c:v>4.1111111111111107</c:v>
                </c:pt>
                <c:pt idx="9">
                  <c:v>3.7777777777777777</c:v>
                </c:pt>
                <c:pt idx="10">
                  <c:v>3.7037037037037037</c:v>
                </c:pt>
                <c:pt idx="11">
                  <c:v>3.3703703703703702</c:v>
                </c:pt>
                <c:pt idx="12">
                  <c:v>2.8518518518518516</c:v>
                </c:pt>
                <c:pt idx="13">
                  <c:v>3.2592592592592591</c:v>
                </c:pt>
                <c:pt idx="14">
                  <c:v>3.2962962962962963</c:v>
                </c:pt>
              </c:numCache>
            </c:numRef>
          </c:val>
          <c:extLst>
            <c:ext xmlns:c16="http://schemas.microsoft.com/office/drawing/2014/chart" uri="{C3380CC4-5D6E-409C-BE32-E72D297353CC}">
              <c16:uniqueId val="{0000001F-7803-4592-8A10-B68E09DE8D93}"/>
            </c:ext>
          </c:extLst>
        </c:ser>
        <c:ser>
          <c:idx val="3"/>
          <c:order val="3"/>
          <c:tx>
            <c:strRef>
              <c:f>'Données Camembert'!$M$1</c:f>
              <c:strCache>
                <c:ptCount val="1"/>
                <c:pt idx="0">
                  <c:v>Moyenne Equipe Pass</c:v>
                </c:pt>
              </c:strCache>
            </c:strRef>
          </c:tx>
          <c:spPr>
            <a:ln w="28575" cap="rnd">
              <a:solidFill>
                <a:schemeClr val="accent6">
                  <a:lumMod val="75000"/>
                </a:schemeClr>
              </a:solidFill>
              <a:prstDash val="sysDash"/>
              <a:round/>
            </a:ln>
            <a:effectLst/>
          </c:spPr>
          <c:marker>
            <c:symbol val="none"/>
          </c:marker>
          <c:val>
            <c:numRef>
              <c:f>'Données Camembert'!$M$2:$M$16</c:f>
              <c:numCache>
                <c:formatCode>General</c:formatCode>
                <c:ptCount val="15"/>
                <c:pt idx="0">
                  <c:v>3.6839506172839505</c:v>
                </c:pt>
                <c:pt idx="1">
                  <c:v>3.6839506172839505</c:v>
                </c:pt>
                <c:pt idx="2">
                  <c:v>3.6839506172839505</c:v>
                </c:pt>
                <c:pt idx="3">
                  <c:v>3.6839506172839505</c:v>
                </c:pt>
                <c:pt idx="4">
                  <c:v>3.6839506172839505</c:v>
                </c:pt>
                <c:pt idx="5">
                  <c:v>3.6839506172839505</c:v>
                </c:pt>
                <c:pt idx="6">
                  <c:v>3.6839506172839505</c:v>
                </c:pt>
                <c:pt idx="7">
                  <c:v>3.6839506172839505</c:v>
                </c:pt>
                <c:pt idx="8">
                  <c:v>3.6839506172839505</c:v>
                </c:pt>
                <c:pt idx="9">
                  <c:v>3.6839506172839505</c:v>
                </c:pt>
                <c:pt idx="10">
                  <c:v>3.6839506172839505</c:v>
                </c:pt>
                <c:pt idx="11">
                  <c:v>3.6839506172839505</c:v>
                </c:pt>
                <c:pt idx="12">
                  <c:v>3.6839506172839505</c:v>
                </c:pt>
                <c:pt idx="13">
                  <c:v>3.6839506172839505</c:v>
                </c:pt>
                <c:pt idx="14">
                  <c:v>3.6839506172839505</c:v>
                </c:pt>
              </c:numCache>
            </c:numRef>
          </c:val>
          <c:extLst>
            <c:ext xmlns:c16="http://schemas.microsoft.com/office/drawing/2014/chart" uri="{C3380CC4-5D6E-409C-BE32-E72D297353CC}">
              <c16:uniqueId val="{00000020-7803-4592-8A10-B68E09DE8D93}"/>
            </c:ext>
          </c:extLst>
        </c:ser>
        <c:ser>
          <c:idx val="4"/>
          <c:order val="4"/>
          <c:tx>
            <c:strRef>
              <c:f>'Données Camembert'!$O$1</c:f>
              <c:strCache>
                <c:ptCount val="1"/>
                <c:pt idx="0">
                  <c:v>Manager et Direct Report</c:v>
                </c:pt>
              </c:strCache>
            </c:strRef>
          </c:tx>
          <c:spPr>
            <a:ln w="38100" cap="rnd">
              <a:solidFill>
                <a:srgbClr val="FFC000"/>
              </a:solidFill>
              <a:round/>
            </a:ln>
            <a:effectLst/>
          </c:spPr>
          <c:marker>
            <c:symbol val="none"/>
          </c:marker>
          <c:dLbls>
            <c:numFmt formatCode="#,##0.00" sourceLinked="0"/>
            <c:spPr>
              <a:noFill/>
              <a:ln>
                <a:noFill/>
              </a:ln>
              <a:effectLst/>
            </c:spPr>
            <c:txPr>
              <a:bodyPr rot="0" spcFirstLastPara="1" vertOverflow="ellipsis" vert="horz" wrap="square" lIns="38100" tIns="19050" rIns="38100" bIns="19050" anchor="b" anchorCtr="1">
                <a:spAutoFit/>
              </a:bodyPr>
              <a:lstStyle/>
              <a:p>
                <a:pPr>
                  <a:defRPr sz="1100" b="1" i="0" u="none" strike="noStrike" kern="1200" baseline="0">
                    <a:solidFill>
                      <a:srgbClr val="FFC000"/>
                    </a:solidFill>
                    <a:latin typeface="+mn-lt"/>
                    <a:ea typeface="+mn-ea"/>
                    <a:cs typeface="+mn-cs"/>
                  </a:defRPr>
                </a:pPr>
                <a:endParaRPr lang="nl-B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'Données Camembert'!$O$2:$O$16</c:f>
              <c:numCache>
                <c:formatCode>General</c:formatCode>
                <c:ptCount val="15"/>
                <c:pt idx="0">
                  <c:v>4.1578947368421053</c:v>
                </c:pt>
                <c:pt idx="1">
                  <c:v>4.2631578947368425</c:v>
                </c:pt>
                <c:pt idx="2">
                  <c:v>4.3684210526315788</c:v>
                </c:pt>
                <c:pt idx="3">
                  <c:v>3.3684210526315788</c:v>
                </c:pt>
                <c:pt idx="4">
                  <c:v>3.736842105263158</c:v>
                </c:pt>
                <c:pt idx="5">
                  <c:v>3.5263157894736841</c:v>
                </c:pt>
                <c:pt idx="6">
                  <c:v>2.736842105263158</c:v>
                </c:pt>
                <c:pt idx="7">
                  <c:v>3.6315789473684212</c:v>
                </c:pt>
                <c:pt idx="8">
                  <c:v>3.6842105263157894</c:v>
                </c:pt>
                <c:pt idx="9">
                  <c:v>3</c:v>
                </c:pt>
                <c:pt idx="10">
                  <c:v>3</c:v>
                </c:pt>
                <c:pt idx="11">
                  <c:v>3.1578947368421053</c:v>
                </c:pt>
                <c:pt idx="12">
                  <c:v>2.8421052631578947</c:v>
                </c:pt>
                <c:pt idx="13">
                  <c:v>3.2105263157894739</c:v>
                </c:pt>
                <c:pt idx="14">
                  <c:v>3</c:v>
                </c:pt>
              </c:numCache>
            </c:numRef>
          </c:val>
          <c:extLst>
            <c:ext xmlns:c16="http://schemas.microsoft.com/office/drawing/2014/chart" uri="{C3380CC4-5D6E-409C-BE32-E72D297353CC}">
              <c16:uniqueId val="{0000001F-DFCD-4402-B80D-E664C963BF65}"/>
            </c:ext>
          </c:extLst>
        </c:ser>
        <c:ser>
          <c:idx val="5"/>
          <c:order val="5"/>
          <c:tx>
            <c:strRef>
              <c:f>'Données Camembert'!$N$1</c:f>
              <c:strCache>
                <c:ptCount val="1"/>
                <c:pt idx="0">
                  <c:v>Moyenne Manager et Direct Report</c:v>
                </c:pt>
              </c:strCache>
            </c:strRef>
          </c:tx>
          <c:spPr>
            <a:ln w="28575" cap="rnd">
              <a:solidFill>
                <a:srgbClr val="FFC000"/>
              </a:solidFill>
              <a:prstDash val="sysDash"/>
              <a:round/>
            </a:ln>
            <a:effectLst/>
          </c:spPr>
          <c:marker>
            <c:symbol val="none"/>
          </c:marker>
          <c:val>
            <c:numRef>
              <c:f>'Données Camembert'!$N$2:$N$16</c:f>
              <c:numCache>
                <c:formatCode>General</c:formatCode>
                <c:ptCount val="15"/>
                <c:pt idx="0">
                  <c:v>3.4456140350877194</c:v>
                </c:pt>
                <c:pt idx="1">
                  <c:v>3.4456140350877194</c:v>
                </c:pt>
                <c:pt idx="2">
                  <c:v>3.4456140350877194</c:v>
                </c:pt>
                <c:pt idx="3">
                  <c:v>3.4456140350877194</c:v>
                </c:pt>
                <c:pt idx="4">
                  <c:v>3.4456140350877194</c:v>
                </c:pt>
                <c:pt idx="5">
                  <c:v>3.4456140350877194</c:v>
                </c:pt>
                <c:pt idx="6">
                  <c:v>3.4456140350877194</c:v>
                </c:pt>
                <c:pt idx="7">
                  <c:v>3.4456140350877194</c:v>
                </c:pt>
                <c:pt idx="8">
                  <c:v>3.4456140350877194</c:v>
                </c:pt>
                <c:pt idx="9">
                  <c:v>3.4456140350877194</c:v>
                </c:pt>
                <c:pt idx="10">
                  <c:v>3.4456140350877194</c:v>
                </c:pt>
                <c:pt idx="11">
                  <c:v>3.4456140350877194</c:v>
                </c:pt>
                <c:pt idx="12">
                  <c:v>3.4456140350877194</c:v>
                </c:pt>
                <c:pt idx="13">
                  <c:v>3.4456140350877194</c:v>
                </c:pt>
                <c:pt idx="14">
                  <c:v>3.4456140350877194</c:v>
                </c:pt>
              </c:numCache>
            </c:numRef>
          </c:val>
          <c:extLst>
            <c:ext xmlns:c16="http://schemas.microsoft.com/office/drawing/2014/chart" uri="{C3380CC4-5D6E-409C-BE32-E72D297353CC}">
              <c16:uniqueId val="{00000020-FF0A-41ED-948A-C7CBA050BEDF}"/>
            </c:ext>
          </c:extLst>
        </c:ser>
        <c:dLbls>
          <c:showLegendKey val="0"/>
          <c:showVal val="0"/>
          <c:showCatName val="0"/>
          <c:showSerName val="0"/>
          <c:showPercent val="0"/>
          <c:showBubbleSize val="0"/>
        </c:dLbls>
        <c:axId val="707987496"/>
        <c:axId val="707988152"/>
      </c:radarChart>
      <c:catAx>
        <c:axId val="707987496"/>
        <c:scaling>
          <c:orientation val="minMax"/>
        </c:scaling>
        <c:delete val="1"/>
        <c:axPos val="b"/>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crossAx val="707988152"/>
        <c:crosses val="autoZero"/>
        <c:auto val="1"/>
        <c:lblAlgn val="ctr"/>
        <c:lblOffset val="100"/>
        <c:noMultiLvlLbl val="0"/>
      </c:catAx>
      <c:valAx>
        <c:axId val="707988152"/>
        <c:scaling>
          <c:orientation val="minMax"/>
        </c:scaling>
        <c:delete val="0"/>
        <c:axPos val="l"/>
        <c:majorGridlines>
          <c:spPr>
            <a:ln w="9525" cap="flat" cmpd="sng" algn="ctr">
              <a:solidFill>
                <a:schemeClr val="accent1"/>
              </a:solidFill>
              <a:prstDash val="dash"/>
              <a:round/>
            </a:ln>
            <a:effectLst/>
          </c:spPr>
        </c:majorGridlines>
        <c:numFmt formatCode="General" sourceLinked="1"/>
        <c:majorTickMark val="out"/>
        <c:minorTickMark val="none"/>
        <c:tickLblPos val="nextTo"/>
        <c:spPr>
          <a:noFill/>
          <a:ln>
            <a:solidFill>
              <a:schemeClr val="accent1">
                <a:lumMod val="75000"/>
              </a:schemeClr>
            </a:solidFill>
            <a:prstDash val="dash"/>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07987496"/>
        <c:crosses val="autoZero"/>
        <c:crossBetween val="between"/>
        <c:majorUnit val="1"/>
      </c:valAx>
      <c:spPr>
        <a:noFill/>
        <a:ln>
          <a:noFill/>
        </a:ln>
        <a:effectLst/>
      </c:spPr>
    </c:plotArea>
    <c:legend>
      <c:legendPos val="r"/>
      <c:layout>
        <c:manualLayout>
          <c:xMode val="edge"/>
          <c:yMode val="edge"/>
          <c:x val="0.76315299834026595"/>
          <c:y val="0.77396827309018856"/>
          <c:w val="0.22934578999251556"/>
          <c:h val="0.21162310639068918"/>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F6A2877-FB02-4521-8492-F637D06C16EE}">
  <sheetPr codeName="Grafiek4"/>
  <sheetViews>
    <sheetView zoomScale="116"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78A7F2AC-F44B-4449-A97A-9C95702FB7DE}">
  <sheetPr codeName="Grafiek1"/>
  <sheetViews>
    <sheetView tabSelected="1" zoomScale="116"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absoluteAnchor>
    <xdr:pos x="0" y="0"/>
    <xdr:ext cx="9303297" cy="6076293"/>
    <xdr:graphicFrame macro="">
      <xdr:nvGraphicFramePr>
        <xdr:cNvPr id="2" name="Grafiek 1">
          <a:extLst>
            <a:ext uri="{FF2B5EF4-FFF2-40B4-BE49-F238E27FC236}">
              <a16:creationId xmlns:a16="http://schemas.microsoft.com/office/drawing/2014/main" id="{C75EFCEF-4F8A-D71A-513F-A5DFA5FE6AB2}"/>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absoluteAnchor>
    <xdr:pos x="0" y="0"/>
    <xdr:ext cx="9303297" cy="6076293"/>
    <xdr:graphicFrame macro="">
      <xdr:nvGraphicFramePr>
        <xdr:cNvPr id="2" name="Grafiek 1">
          <a:extLst>
            <a:ext uri="{FF2B5EF4-FFF2-40B4-BE49-F238E27FC236}">
              <a16:creationId xmlns:a16="http://schemas.microsoft.com/office/drawing/2014/main" id="{2EEFE527-85D8-D1D9-C053-0412A5CAD128}"/>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6144282-65C5-4D5D-8DCF-0323A3F9DA12}" name="Table13" displayName="Table13" ref="A5:CS12" totalsRowShown="0">
  <autoFilter ref="A5:CS12" xr:uid="{00000000-0009-0000-0100-000001000000}"/>
  <tableColumns count="97">
    <tableColumn id="1" xr3:uid="{08EF35FA-AA4E-406D-AD3E-1475153CCFA4}" name="ID" dataDxfId="292"/>
    <tableColumn id="2" xr3:uid="{24D7381B-0495-4043-BDFA-EF7F63432911}" name="Heure de début" dataDxfId="291"/>
    <tableColumn id="3" xr3:uid="{68ECE398-58CF-44DA-BCFB-CAC7012C3DB7}" name="Heure de fin" dataDxfId="290"/>
    <tableColumn id="4" xr3:uid="{52261A6D-CADA-490E-8310-9F380F53D08E}" name="Adresse de messagerie" dataDxfId="289"/>
    <tableColumn id="5" xr3:uid="{1A4E28E1-3917-43E0-9D98-54526D90A762}" name="Nom" dataDxfId="288"/>
    <tableColumn id="6" xr3:uid="{1C68E0E5-C26E-4E37-A6A4-C6EBD97D82A4}" name="Total points" dataDxfId="287"/>
    <tableColumn id="7" xr3:uid="{6FCF4080-0A52-4799-9E4B-E5B516399DC8}" name="Quiz feedback" dataDxfId="286"/>
    <tableColumn id="8" xr3:uid="{46B2A431-65B6-4636-912A-83D04C218B0A}" name="CLARTE : J'ai une vision claire de l’objectif final du programme" dataDxfId="285"/>
    <tableColumn id="9" xr3:uid="{21050A45-D77D-4D3A-B49C-98D2EC263FF6}" name="Points - CLARTE : J'ai une vision claire de l’objectif final du programme" dataDxfId="284"/>
    <tableColumn id="10" xr3:uid="{3A266768-0ED0-4130-8A52-CFA0A523AADA}" name="Feedback - CLARTE : J'ai une vision claire de l’objectif final du programme" dataDxfId="283"/>
    <tableColumn id="11" xr3:uid="{D0F16671-B833-44E2-B650-EAF736494307}" name="Si la réponse comporte moins de 2 étoiles OUI, merci de préciser votre réponse dans le champs ci-dessous :" dataDxfId="282"/>
    <tableColumn id="12" xr3:uid="{1531460A-1C11-47E7-90A1-2D3050086949}" name="Points - Si la réponse comporte moins de 2 étoiles OUI, merci de préciser votre réponse dans le champs ci-dessous :" dataDxfId="281"/>
    <tableColumn id="13" xr3:uid="{3661B8DC-0A00-4274-977C-6994D0DDFFE1}" name="Feedback - Si la réponse comporte moins de 2 étoiles OUI, merci de préciser votre réponse dans le champs ci-dessous :" dataDxfId="280"/>
    <tableColumn id="14" xr3:uid="{EBE9D4EA-C038-473E-8CBC-B7ABAD53BF77}" name="ALIGNEMENT : Je suis aligné sur l’objectif final du programme" dataDxfId="279"/>
    <tableColumn id="15" xr3:uid="{55B57BB3-C533-4342-BBFC-95B9AF8898AD}" name="Points - ALIGNEMENT : Je suis aligné sur l’objectif final du programme" dataDxfId="278"/>
    <tableColumn id="16" xr3:uid="{D538D326-8E66-4665-A321-BB6830C42DAF}" name="Feedback - ALIGNEMENT : Je suis aligné sur l’objectif final du programme" dataDxfId="277"/>
    <tableColumn id="17" xr3:uid="{38E6AE82-E479-4D57-A5B9-DF98B5A3F419}" name="Si la réponse comporte moins de 2 étoiles OUI, merci de préciser votre réponse dans le champs ci-dessous :2" dataDxfId="276"/>
    <tableColumn id="18" xr3:uid="{D0DED772-E016-46C6-BD37-DB64A3319AFB}" name="Points - Si la réponse comporte moins de 2 étoiles OUI, merci de préciser votre réponse dans le champs ci-dessous :2" dataDxfId="275"/>
    <tableColumn id="19" xr3:uid="{09A6265D-8AF5-47EB-8BCF-F0E554829F68}" name="Feedback - Si la réponse comporte moins de 2 étoiles OUI, merci de préciser votre réponse dans le champs ci-dessous :2" dataDxfId="274"/>
    <tableColumn id="20" xr3:uid="{7354C189-2A4D-4232-961A-9ADF6E257B53}" name="ENGAGEMENT  : Je supporte l’objectif du programme" dataDxfId="273"/>
    <tableColumn id="21" xr3:uid="{7A4DC44F-D891-4F19-A9F7-74F05680FEC1}" name="Points - ENGAGEMENT  : Je supporte l’objectif du programme" dataDxfId="272"/>
    <tableColumn id="22" xr3:uid="{B6454753-1D68-4D8E-904C-903A20E58F9D}" name="Feedback - ENGAGEMENT  : Je supporte l’objectif du programme" dataDxfId="271"/>
    <tableColumn id="23" xr3:uid="{E21542E1-8CD3-47DD-97FF-5D25D4D32EE3}" name="Si la réponse comporte moins de 2 étoiles OUI, merci de préciser votre réponse dans le champs ci-dessous :3" dataDxfId="270"/>
    <tableColumn id="24" xr3:uid="{B4CC37A5-50E0-4078-B84E-FF9B7B5D8B3C}" name="Points - Si la réponse comporte moins de 2 étoiles OUI, merci de préciser votre réponse dans le champs ci-dessous :3" dataDxfId="269"/>
    <tableColumn id="25" xr3:uid="{635CFB28-AB49-47DD-B009-26059652AC0B}" name="Feedback - Si la réponse comporte moins de 2 étoiles OUI, merci de préciser votre réponse dans le champs ci-dessous :3" dataDxfId="268"/>
    <tableColumn id="26" xr3:uid="{49374411-585A-4D00-A9FB-D63CCA5CBE3B}" name="SOLUTION  : L’approche pour atteindre l’objectif du programme est solide" dataDxfId="267"/>
    <tableColumn id="27" xr3:uid="{D2C90DC7-AF64-43A8-8909-1585BC3FFCC2}" name="Points - SOLUTION  : L’approche pour atteindre l’objectif du programme est solide" dataDxfId="266"/>
    <tableColumn id="28" xr3:uid="{68EAC8DA-011C-4995-9105-C041C9C167E9}" name="Feedback - SOLUTION  : L’approche pour atteindre l’objectif du programme est solide" dataDxfId="265"/>
    <tableColumn id="29" xr3:uid="{FA62421B-A641-4281-AFF5-B3F28CA8C819}" name="Si la réponse comporte moins de 2 étoiles OUI, merci de préciser votre réponse dans le champs ci-dessous :4" dataDxfId="264"/>
    <tableColumn id="30" xr3:uid="{815A551B-292C-4487-A51E-589CF9EE51BC}" name="Points - Si la réponse comporte moins de 2 étoiles OUI, merci de préciser votre réponse dans le champs ci-dessous :4" dataDxfId="263"/>
    <tableColumn id="31" xr3:uid="{7795181B-C9CA-41EE-9212-07645F13E98B}" name="Feedback - Si la réponse comporte moins de 2 étoiles OUI, merci de préciser votre réponse dans le champs ci-dessous :4" dataDxfId="262"/>
    <tableColumn id="32" xr3:uid="{114175A6-8A14-4272-A7B6-EBC278049811}" name="INTEGRITE : Les objectifs initiaux du programme restent les mêmes" dataDxfId="261"/>
    <tableColumn id="33" xr3:uid="{E71D4AF7-3F1F-4C2C-997B-A59A4F3E1458}" name="Points - INTEGRITE : Les objectifs initiaux du programme restent les mêmes" dataDxfId="260"/>
    <tableColumn id="34" xr3:uid="{5BE13D3E-47DD-4802-9A0E-7B4E2A284681}" name="Feedback - INTEGRITE : Les objectifs initiaux du programme restent les mêmes" dataDxfId="259"/>
    <tableColumn id="35" xr3:uid="{74436B96-AB36-43EB-BF9E-32B3151047C9}" name="Si la réponse comporte moins de 2 étoiles OUI, merci de préciser votre réponse dans le champs ci-dessous :5" dataDxfId="258"/>
    <tableColumn id="36" xr3:uid="{0DF78E39-8497-4539-AB04-9EB2E6D6BF6D}" name="Points - Si la réponse comporte moins de 2 étoiles OUI, merci de préciser votre réponse dans le champs ci-dessous :5" dataDxfId="257"/>
    <tableColumn id="37" xr3:uid="{57851234-3800-40B6-BB1F-24857BDE5717}" name="Feedback - Si la réponse comporte moins de 2 étoiles OUI, merci de préciser votre réponse dans le champs ci-dessous :5" dataDxfId="256"/>
    <tableColumn id="38" xr3:uid="{592C7113-816B-431E-BFBE-E88C91DD43EF}" name="SPONSORSHIP  : Les leaders fournissent le niveau de sponsorship suffisant pour supporter le programme" dataDxfId="255"/>
    <tableColumn id="39" xr3:uid="{4529DA08-DA1B-40E6-B1BD-68BB05F47825}" name="Points - SPONSORSHIP  : Les leaders fournissent le niveau de sponsorship suffisant pour supporter le programme" dataDxfId="254"/>
    <tableColumn id="40" xr3:uid="{FACA90CD-29E2-4471-8B9C-5CA069564C36}" name="Feedback - SPONSORSHIP  : Les leaders fournissent le niveau de sponsorship suffisant pour supporter le programme" dataDxfId="253"/>
    <tableColumn id="41" xr3:uid="{D1C24B66-D3D5-4416-A2F2-F412A57BADF6}" name="Si la réponse comporte moins de 2 étoiles OUI, merci de préciser votre réponse dans le champs ci-dessous :6" dataDxfId="252"/>
    <tableColumn id="42" xr3:uid="{F7934017-E4DF-4B82-B14C-115C0EB6F9B2}" name="Points - Si la réponse comporte moins de 2 étoiles OUI, merci de préciser votre réponse dans le champs ci-dessous :6" dataDxfId="251"/>
    <tableColumn id="43" xr3:uid="{38E7B670-5372-49EC-A722-740EBB5955B5}" name="Feedback - Si la réponse comporte moins de 2 étoiles OUI, merci de préciser votre réponse dans le champs ci-dessous :6" dataDxfId="250"/>
    <tableColumn id="44" xr3:uid="{C6288E74-E4E4-4F4E-A751-2D116ADD6372}" name="CAPACITE : Ce changement entraine une charge de travail que nous pouvons absorber sur le site" dataDxfId="249"/>
    <tableColumn id="45" xr3:uid="{81F04664-2065-4954-B51E-FF01956DB90B}" name="Points - CAPACITE : Ce changement entraine une charge de travail que nous pouvons absorber sur le site" dataDxfId="248"/>
    <tableColumn id="46" xr3:uid="{8EE0FA6F-BE76-4A86-9DF0-8219C0B4FF33}" name="Feedback - CAPACITE : Ce changement entraine une charge de travail que nous pouvons absorber sur le site" dataDxfId="247"/>
    <tableColumn id="47" xr3:uid="{4459B064-1380-4C0E-BB70-5C88D7399473}" name="Si la réponse comporte moins de 2 étoiles OUI, merci de préciser votre réponse dans le champs ci-dessous :7" dataDxfId="246"/>
    <tableColumn id="48" xr3:uid="{EE42D2C4-8EF5-4833-91DF-554BBD3752FB}" name="Points - Si la réponse comporte moins de 2 étoiles OUI, merci de préciser votre réponse dans le champs ci-dessous :7" dataDxfId="245"/>
    <tableColumn id="49" xr3:uid="{B618701E-C4D5-461E-A063-98D2C2808FF0}" name="Feedback - Si la réponse comporte moins de 2 étoiles OUI, merci de préciser votre réponse dans le champs ci-dessous :7" dataDxfId="244"/>
    <tableColumn id="50" xr3:uid="{9116AC80-D77B-42DF-9450-4F8FD3A73298}" name="CULTURE  : Nous avons la culture appropriée pour absorber ce changement" dataDxfId="243"/>
    <tableColumn id="51" xr3:uid="{0E969C8A-ED01-497F-9A7C-D7B1A0AC3615}" name="Points - CULTURE  : Nous avons la culture appropriée pour absorber ce changement" dataDxfId="242"/>
    <tableColumn id="52" xr3:uid="{5B8F7080-E68C-47EE-9DE1-82694D877CC7}" name="Feedback - CULTURE  : Nous avons la culture appropriée pour absorber ce changement" dataDxfId="241"/>
    <tableColumn id="53" xr3:uid="{BE3C42AF-2EDE-4CC2-9335-E2DCBCC58AA5}" name="Si la réponse comporte moins de 2 étoiles OUI, merci de préciser votre réponse dans le champs ci-dessous :8" dataDxfId="240"/>
    <tableColumn id="54" xr3:uid="{941702BE-1132-4D1A-96E9-4A5A62D10CA4}" name="Feedback - Si la réponse comporte moins de 2 étoiles OUI, merci de préciser votre réponse dans le champs ci-dessous :8" dataDxfId="239"/>
    <tableColumn id="55" xr3:uid="{FCFEBC89-D155-4BD7-9510-4BCECCACBA8D}" name="Points - Si la réponse comporte moins de 2 étoiles OUI, merci de préciser votre réponse dans le champs ci-dessous :8" dataDxfId="238"/>
    <tableColumn id="56" xr3:uid="{B23E50A7-1074-437B-A76E-AA3DC2E291A8}" name="RESISTANCE  : Les personnes impactées par ce changement démontrent l'engagement nécessaire pour réussir sa mise en place" dataDxfId="237"/>
    <tableColumn id="57" xr3:uid="{87BA2461-E8F0-416D-8C4D-C48AA8649DD2}" name="Feedback - RESISTANCE  : Les personnes impactées par ce changement démontrent l'engagement nécessaire pour réussir sa mise en place" dataDxfId="236"/>
    <tableColumn id="58" xr3:uid="{FB808513-52DD-4EF6-90DC-EA6616CCBBFB}" name="Points - RESISTANCE  : Les personnes impactées par ce changement démontrent l'engagement nécessaire pour réussir sa mise en place" dataDxfId="235"/>
    <tableColumn id="59" xr3:uid="{F0F7F924-2E48-4F35-89C3-06625A2593BC}" name="Si la réponse comporte moins de 2 étoiles OUI, merci de préciser votre réponse dans le champs ci-dessous :9" dataDxfId="234"/>
    <tableColumn id="60" xr3:uid="{BFD4BE3A-275D-4680-A0BE-3AA43BCA0FFE}" name="Feedback - Si la réponse comporte moins de 2 étoiles OUI, merci de préciser votre réponse dans le champs ci-dessous :9" dataDxfId="233"/>
    <tableColumn id="61" xr3:uid="{BCE4CD8A-96C2-43D7-B7A3-49C85AE38B3D}" name="Points - Si la réponse comporte moins de 2 étoiles OUI, merci de préciser votre réponse dans le champs ci-dessous :9" dataDxfId="232"/>
    <tableColumn id="62" xr3:uid="{7D59FA52-EA6C-42E0-9037-63EAB2780C2D}" name="SYNERGIE : Nos efforts de collaboration pour ce projet nous font gagner du temps plus qu’il n’en coute" dataDxfId="231"/>
    <tableColumn id="63" xr3:uid="{271049C0-FD32-40ED-AC4E-A50FDC07D7F3}" name="Feedback - SYNERGIE : Nos efforts de collaboration pour ce projet nous font gagner du temps plus qu’il n’en coute" dataDxfId="230"/>
    <tableColumn id="64" xr3:uid="{5DE16BF8-8169-48D4-85E0-D3300AC78D36}" name="Points - SYNERGIE : Nos efforts de collaboration pour ce projet nous font gagner du temps plus qu’il n’en coute" dataDxfId="229"/>
    <tableColumn id="65" xr3:uid="{75174472-3F39-4881-BAD6-DBF037939839}" name="Si la réponse comporte moins de 2 étoiles OUI, merci de préciser votre réponse dans le champs ci-dessous :10" dataDxfId="228"/>
    <tableColumn id="66" xr3:uid="{EC7CF1EA-E483-483B-94E0-E10C9EEAA677}" name="Feedback - Si la réponse comporte moins de 2 étoiles OUI, merci de préciser votre réponse dans le champs ci-dessous :10" dataDxfId="227"/>
    <tableColumn id="67" xr3:uid="{97A0ABE8-3C3C-4459-A0DA-70DCBD3A825D}" name="Points - Si la réponse comporte moins de 2 étoiles OUI, merci de préciser votre réponse dans le champs ci-dessous :10" dataDxfId="226"/>
    <tableColumn id="68" xr3:uid="{F31C4EDB-1717-4EF0-982B-6D51DEFDD0D5}" name="PARTENARIAT : Nos interactions avec des partenaires externes sont suffisantes pour supporter ce changement" dataDxfId="225"/>
    <tableColumn id="69" xr3:uid="{71558607-63A0-4502-BA23-28CD8D9B629B}" name="Feedback - PARTENARIAT : Nos interactions avec des partenaires externes sont suffisantes pour supporter ce changement" dataDxfId="224"/>
    <tableColumn id="70" xr3:uid="{0F3AF031-C7E2-4314-AAD2-CE81FE8447F3}" name="Points - PARTENARIAT : Nos interactions avec des partenaires externes sont suffisantes pour supporter ce changement" dataDxfId="223"/>
    <tableColumn id="71" xr3:uid="{D3BA2E0A-B26B-4ABB-99DE-704B4CA68C0F}" name="Si la réponse comporte moins de 2 étoiles OUI, merci de préciser votre réponse dans le champs ci-dessous :11" dataDxfId="222"/>
    <tableColumn id="72" xr3:uid="{787A68FC-1462-4C86-A804-D626AC3B62BC}" name="Feedback - Si la réponse comporte moins de 2 étoiles OUI, merci de préciser votre réponse dans le champs ci-dessous :11" dataDxfId="221"/>
    <tableColumn id="73" xr3:uid="{4661C464-0A39-48B3-92C0-D92F220CA8E4}" name="Points - Si la réponse comporte moins de 2 étoiles OUI, merci de préciser votre réponse dans le champs ci-dessous :11" dataDxfId="220"/>
    <tableColumn id="74" xr3:uid="{2829D7F4-A356-499E-9288-EE7BBA345543}" name="SUPERVISION : Les instances de pilotage permettent de prendre des décisions rapides et efficaces" dataDxfId="219"/>
    <tableColumn id="75" xr3:uid="{9482ABCB-3CD3-4362-978D-8B701E282500}" name="Points - SUPERVISION : Les instances de pilotage permettent de prendre des décisions rapides et efficaces" dataDxfId="218"/>
    <tableColumn id="76" xr3:uid="{09DC50B3-ADC0-4A25-9627-65D96EB0875C}" name="Feedback - SUPERVISION : Les instances de pilotage permettent de prendre des décisions rapides et efficaces" dataDxfId="217"/>
    <tableColumn id="77" xr3:uid="{EB7CA697-0BCD-44E2-8FFA-787B37CA6521}" name="Si la réponse comporte moins de 2 étoiles OUI, merci de préciser votre réponse dans le champs ci-dessous :12" dataDxfId="216"/>
    <tableColumn id="78" xr3:uid="{5C206689-08A2-4D5C-92FD-55E63207AD37}" name="Points - Si la réponse comporte moins de 2 étoiles OUI, merci de préciser votre réponse dans le champs ci-dessous :12" dataDxfId="215"/>
    <tableColumn id="79" xr3:uid="{824F2033-E4E6-45EF-ABF2-C6C6A366EAF8}" name="Feedback - Si la réponse comporte moins de 2 étoiles OUI, merci de préciser votre réponse dans le champs ci-dessous :12" dataDxfId="214"/>
    <tableColumn id="80" xr3:uid="{85E50223-B693-40FC-BC4F-F5BA0E1B49C6}" name="RESSOURCES : Les ressources sont suffisantes pour absorber ce changement" dataDxfId="213"/>
    <tableColumn id="81" xr3:uid="{F1929B06-FEC4-4FAA-9A62-551BFC666100}" name="Points - RESSOURCES : Les ressources sont suffisantes pour absorber ce changement" dataDxfId="212"/>
    <tableColumn id="82" xr3:uid="{A19F929F-061E-421D-B8C5-D720D520DF1B}" name="Feedback - RESSOURCES : Les ressources sont suffisantes pour absorber ce changement" dataDxfId="211"/>
    <tableColumn id="83" xr3:uid="{57C3C885-81B8-43F8-B19A-0C6544691ED3}" name="Si la réponse comporte moins de 2 étoiles OUI, merci de préciser votre réponse dans le champs ci-dessous :13" dataDxfId="210"/>
    <tableColumn id="84" xr3:uid="{12F9F31E-CFDF-4EAD-920B-93BC60C5DAB4}" name="Points - Si la réponse comporte moins de 2 étoiles OUI, merci de préciser votre réponse dans le champs ci-dessous :13" dataDxfId="209"/>
    <tableColumn id="85" xr3:uid="{508A19FF-DB15-44D5-8C43-19364B341BC7}" name="Feedback - Si la réponse comporte moins de 2 étoiles OUI, merci de préciser votre réponse dans le champs ci-dessous :13" dataDxfId="208"/>
    <tableColumn id="86" xr3:uid="{03CA650F-5CBA-4330-9875-294433701893}" name="PORTFOLIO : Les interactions de ce projet avec les autres initiatives sont gérées correctement" dataDxfId="207"/>
    <tableColumn id="87" xr3:uid="{8CA3E07A-797F-4273-AF0B-B1B3A933E1D1}" name="Points - PORTFOLIO : Les interactions de ce projet avec les autres initiatives sont gérées correctement" dataDxfId="206"/>
    <tableColumn id="88" xr3:uid="{D7E3B9C2-CD09-4CBE-9F51-86724424756A}" name="Feedback - PORTFOLIO : Les interactions de ce projet avec les autres initiatives sont gérées correctement" dataDxfId="205"/>
    <tableColumn id="89" xr3:uid="{910770C3-1F79-40C0-BCB7-0D47BA0CBE2A}" name="Si la réponse comporte moins de 2 étoiles OUI, merci de préciser votre réponse dans le champs ci-dessous :14" dataDxfId="204"/>
    <tableColumn id="90" xr3:uid="{D5813297-E736-4CFB-B2EC-FD4BA867E55D}" name="Points - Si la réponse comporte moins de 2 étoiles OUI, merci de préciser votre réponse dans le champs ci-dessous :14" dataDxfId="203"/>
    <tableColumn id="91" xr3:uid="{3F4000B2-5D6E-48FB-892A-CD70DDF88E5F}" name="Feedback - Si la réponse comporte moins de 2 étoiles OUI, merci de préciser votre réponse dans le champs ci-dessous :14" dataDxfId="202"/>
    <tableColumn id="92" xr3:uid="{C5C8E933-E7DE-4EA9-AA39-C3B0EC9CFC81}" name="CHEMIN CRITIQUE : Les délais et ressources à travers de ce projet sont gérés efficacement" dataDxfId="201"/>
    <tableColumn id="93" xr3:uid="{2485AB6B-8B84-465D-86C3-90F7017A37BF}" name="Points - CHEMIN CRITIQUE : Les délais et ressources à travers de ce projet sont gérés efficacement" dataDxfId="200"/>
    <tableColumn id="94" xr3:uid="{76DEE66C-2CFA-4203-80D6-7C5E8131DE7D}" name="Feedback - CHEMIN CRITIQUE : Les délais et ressources à travers de ce projet sont gérés efficacement" dataDxfId="199"/>
    <tableColumn id="95" xr3:uid="{D338B483-02F1-4AE9-BDDE-0DE4D69A442C}" name="Si la réponse comporte moins de 2 étoiles OUI, merci de préciser votre réponse dans le champs ci-dessous :15" dataDxfId="198"/>
    <tableColumn id="96" xr3:uid="{9995B5D7-0818-494D-8D8E-62F5DDDEF51E}" name="Points - Si la réponse comporte moins de 2 étoiles OUI, merci de préciser votre réponse dans le champs ci-dessous :15" dataDxfId="197"/>
    <tableColumn id="97" xr3:uid="{9A98EA63-0B81-4118-8448-FB4D92040A3B}" name="Feedback - Si la réponse comporte moins de 2 étoiles OUI, merci de préciser votre réponse dans le champs ci-dessous :15" dataDxfId="19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5:CS32" totalsRowShown="0">
  <autoFilter ref="A5:CS32" xr:uid="{00000000-0009-0000-0100-000001000000}"/>
  <tableColumns count="97">
    <tableColumn id="1" xr3:uid="{00000000-0010-0000-0000-000001000000}" name="ID" dataDxfId="195"/>
    <tableColumn id="2" xr3:uid="{00000000-0010-0000-0000-000002000000}" name="Heure de début" dataDxfId="194"/>
    <tableColumn id="3" xr3:uid="{00000000-0010-0000-0000-000003000000}" name="Heure de fin" dataDxfId="193"/>
    <tableColumn id="4" xr3:uid="{00000000-0010-0000-0000-000004000000}" name="Adresse de messagerie" dataDxfId="192"/>
    <tableColumn id="5" xr3:uid="{00000000-0010-0000-0000-000005000000}" name="Nom" dataDxfId="191"/>
    <tableColumn id="6" xr3:uid="{00000000-0010-0000-0000-000006000000}" name="Total points" dataDxfId="190"/>
    <tableColumn id="7" xr3:uid="{00000000-0010-0000-0000-000007000000}" name="Quiz feedback" dataDxfId="189"/>
    <tableColumn id="8" xr3:uid="{00000000-0010-0000-0000-000008000000}" name="CLARTE : J'ai une vision claire de l’objectif final du programme" dataDxfId="188"/>
    <tableColumn id="9" xr3:uid="{00000000-0010-0000-0000-000009000000}" name="Points - CLARTE : J'ai une vision claire de l’objectif final du programme" dataDxfId="187"/>
    <tableColumn id="10" xr3:uid="{00000000-0010-0000-0000-00000A000000}" name="Feedback - CLARTE : J'ai une vision claire de l’objectif final du programme" dataDxfId="186"/>
    <tableColumn id="11" xr3:uid="{00000000-0010-0000-0000-00000B000000}" name="Si la réponse comporte moins de 2 étoiles OUI, merci de préciser votre réponse dans le champs ci-dessous :" dataDxfId="185"/>
    <tableColumn id="12" xr3:uid="{00000000-0010-0000-0000-00000C000000}" name="Points - Si la réponse comporte moins de 2 étoiles OUI, merci de préciser votre réponse dans le champs ci-dessous :" dataDxfId="184"/>
    <tableColumn id="13" xr3:uid="{00000000-0010-0000-0000-00000D000000}" name="Feedback - Si la réponse comporte moins de 2 étoiles OUI, merci de préciser votre réponse dans le champs ci-dessous :" dataDxfId="183"/>
    <tableColumn id="14" xr3:uid="{00000000-0010-0000-0000-00000E000000}" name="ALIGNEMENT : Je suis aligné sur l’objectif final du programme" dataDxfId="182"/>
    <tableColumn id="15" xr3:uid="{00000000-0010-0000-0000-00000F000000}" name="Points - ALIGNEMENT : Je suis aligné sur l’objectif final du programme" dataDxfId="181"/>
    <tableColumn id="16" xr3:uid="{00000000-0010-0000-0000-000010000000}" name="Feedback - ALIGNEMENT : Je suis aligné sur l’objectif final du programme" dataDxfId="180"/>
    <tableColumn id="17" xr3:uid="{00000000-0010-0000-0000-000011000000}" name="Si la réponse comporte moins de 2 étoiles OUI, merci de préciser votre réponse dans le champs ci-dessous :2" dataDxfId="179"/>
    <tableColumn id="18" xr3:uid="{00000000-0010-0000-0000-000012000000}" name="Points - Si la réponse comporte moins de 2 étoiles OUI, merci de préciser votre réponse dans le champs ci-dessous :2" dataDxfId="178"/>
    <tableColumn id="19" xr3:uid="{00000000-0010-0000-0000-000013000000}" name="Feedback - Si la réponse comporte moins de 2 étoiles OUI, merci de préciser votre réponse dans le champs ci-dessous :2" dataDxfId="177"/>
    <tableColumn id="20" xr3:uid="{00000000-0010-0000-0000-000014000000}" name="ENGAGEMENT  : Je supporte l’objectif du programme" dataDxfId="176"/>
    <tableColumn id="21" xr3:uid="{00000000-0010-0000-0000-000015000000}" name="Points - ENGAGEMENT  : Je supporte l’objectif du programme" dataDxfId="175"/>
    <tableColumn id="22" xr3:uid="{00000000-0010-0000-0000-000016000000}" name="Feedback - ENGAGEMENT  : Je supporte l’objectif du programme" dataDxfId="174"/>
    <tableColumn id="23" xr3:uid="{00000000-0010-0000-0000-000017000000}" name="Si la réponse comporte moins de 2 étoiles OUI, merci de préciser votre réponse dans le champs ci-dessous :3" dataDxfId="173"/>
    <tableColumn id="24" xr3:uid="{00000000-0010-0000-0000-000018000000}" name="Points - Si la réponse comporte moins de 2 étoiles OUI, merci de préciser votre réponse dans le champs ci-dessous :3" dataDxfId="172"/>
    <tableColumn id="25" xr3:uid="{00000000-0010-0000-0000-000019000000}" name="Feedback - Si la réponse comporte moins de 2 étoiles OUI, merci de préciser votre réponse dans le champs ci-dessous :3" dataDxfId="171"/>
    <tableColumn id="26" xr3:uid="{00000000-0010-0000-0000-00001A000000}" name="SOLUTION  : L’approche pour atteindre l’objectif du programme est solide" dataDxfId="170"/>
    <tableColumn id="27" xr3:uid="{00000000-0010-0000-0000-00001B000000}" name="Points - SOLUTION  : L’approche pour atteindre l’objectif du programme est solide" dataDxfId="169"/>
    <tableColumn id="28" xr3:uid="{00000000-0010-0000-0000-00001C000000}" name="Feedback - SOLUTION  : L’approche pour atteindre l’objectif du programme est solide" dataDxfId="168"/>
    <tableColumn id="29" xr3:uid="{00000000-0010-0000-0000-00001D000000}" name="Si la réponse comporte moins de 2 étoiles OUI, merci de préciser votre réponse dans le champs ci-dessous :4" dataDxfId="167"/>
    <tableColumn id="30" xr3:uid="{00000000-0010-0000-0000-00001E000000}" name="Points - Si la réponse comporte moins de 2 étoiles OUI, merci de préciser votre réponse dans le champs ci-dessous :4" dataDxfId="166"/>
    <tableColumn id="31" xr3:uid="{00000000-0010-0000-0000-00001F000000}" name="Feedback - Si la réponse comporte moins de 2 étoiles OUI, merci de préciser votre réponse dans le champs ci-dessous :4" dataDxfId="165"/>
    <tableColumn id="32" xr3:uid="{00000000-0010-0000-0000-000020000000}" name="INTEGRITE : Les objectifs initiaux du programme restent les mêmes" dataDxfId="164"/>
    <tableColumn id="33" xr3:uid="{00000000-0010-0000-0000-000021000000}" name="Points - INTEGRITE : Les objectifs initiaux du programme restent les mêmes" dataDxfId="163"/>
    <tableColumn id="34" xr3:uid="{00000000-0010-0000-0000-000022000000}" name="Feedback - INTEGRITE : Les objectifs initiaux du programme restent les mêmes" dataDxfId="162"/>
    <tableColumn id="35" xr3:uid="{00000000-0010-0000-0000-000023000000}" name="Si la réponse comporte moins de 2 étoiles OUI, merci de préciser votre réponse dans le champs ci-dessous :5" dataDxfId="161"/>
    <tableColumn id="36" xr3:uid="{00000000-0010-0000-0000-000024000000}" name="Points - Si la réponse comporte moins de 2 étoiles OUI, merci de préciser votre réponse dans le champs ci-dessous :5" dataDxfId="160"/>
    <tableColumn id="37" xr3:uid="{00000000-0010-0000-0000-000025000000}" name="Feedback - Si la réponse comporte moins de 2 étoiles OUI, merci de préciser votre réponse dans le champs ci-dessous :5" dataDxfId="159"/>
    <tableColumn id="38" xr3:uid="{00000000-0010-0000-0000-000026000000}" name="SPONSORSHIP  : Les leaders fournissent le niveau de sponsorship suffisant pour supporter le programme" dataDxfId="158"/>
    <tableColumn id="39" xr3:uid="{00000000-0010-0000-0000-000027000000}" name="Points - SPONSORSHIP  : Les leaders fournissent le niveau de sponsorship suffisant pour supporter le programme" dataDxfId="157"/>
    <tableColumn id="40" xr3:uid="{00000000-0010-0000-0000-000028000000}" name="Feedback - SPONSORSHIP  : Les leaders fournissent le niveau de sponsorship suffisant pour supporter le programme" dataDxfId="156"/>
    <tableColumn id="41" xr3:uid="{00000000-0010-0000-0000-000029000000}" name="Si la réponse comporte moins de 2 étoiles OUI, merci de préciser votre réponse dans le champs ci-dessous :6" dataDxfId="155"/>
    <tableColumn id="42" xr3:uid="{00000000-0010-0000-0000-00002A000000}" name="Points - Si la réponse comporte moins de 2 étoiles OUI, merci de préciser votre réponse dans le champs ci-dessous :6" dataDxfId="154"/>
    <tableColumn id="43" xr3:uid="{00000000-0010-0000-0000-00002B000000}" name="Feedback - Si la réponse comporte moins de 2 étoiles OUI, merci de préciser votre réponse dans le champs ci-dessous :6" dataDxfId="153"/>
    <tableColumn id="44" xr3:uid="{00000000-0010-0000-0000-00002C000000}" name="CAPACITE : Ce changement entraine une charge de travail que nous pouvons absorber sur le site" dataDxfId="152"/>
    <tableColumn id="45" xr3:uid="{00000000-0010-0000-0000-00002D000000}" name="Points - CAPACITE : Ce changement entraine une charge de travail que nous pouvons absorber sur le site" dataDxfId="151"/>
    <tableColumn id="46" xr3:uid="{00000000-0010-0000-0000-00002E000000}" name="Feedback - CAPACITE : Ce changement entraine une charge de travail que nous pouvons absorber sur le site" dataDxfId="150"/>
    <tableColumn id="47" xr3:uid="{00000000-0010-0000-0000-00002F000000}" name="Si la réponse comporte moins de 2 étoiles OUI, merci de préciser votre réponse dans le champs ci-dessous :7" dataDxfId="149"/>
    <tableColumn id="48" xr3:uid="{00000000-0010-0000-0000-000030000000}" name="Points - Si la réponse comporte moins de 2 étoiles OUI, merci de préciser votre réponse dans le champs ci-dessous :7" dataDxfId="148"/>
    <tableColumn id="49" xr3:uid="{00000000-0010-0000-0000-000031000000}" name="Feedback - Si la réponse comporte moins de 2 étoiles OUI, merci de préciser votre réponse dans le champs ci-dessous :7" dataDxfId="147"/>
    <tableColumn id="50" xr3:uid="{00000000-0010-0000-0000-000032000000}" name="CULTURE  : Nous avons la culture appropriée pour absorber ce changement" dataDxfId="146"/>
    <tableColumn id="51" xr3:uid="{00000000-0010-0000-0000-000033000000}" name="Points - CULTURE  : Nous avons la culture appropriée pour absorber ce changement" dataDxfId="145"/>
    <tableColumn id="52" xr3:uid="{00000000-0010-0000-0000-000034000000}" name="Feedback - CULTURE  : Nous avons la culture appropriée pour absorber ce changement" dataDxfId="144"/>
    <tableColumn id="53" xr3:uid="{00000000-0010-0000-0000-000035000000}" name="Si la réponse comporte moins de 2 étoiles OUI, merci de préciser votre réponse dans le champs ci-dessous :8" dataDxfId="143"/>
    <tableColumn id="54" xr3:uid="{00000000-0010-0000-0000-000036000000}" name="Feedback - Si la réponse comporte moins de 2 étoiles OUI, merci de préciser votre réponse dans le champs ci-dessous :8" dataDxfId="142"/>
    <tableColumn id="55" xr3:uid="{00000000-0010-0000-0000-000037000000}" name="Points - Si la réponse comporte moins de 2 étoiles OUI, merci de préciser votre réponse dans le champs ci-dessous :8" dataDxfId="141"/>
    <tableColumn id="56" xr3:uid="{00000000-0010-0000-0000-000038000000}" name="RESISTANCE  : Les personnes impactées par ce changement démontrent l'engagement nécessaire pour réussir sa mise en place" dataDxfId="140"/>
    <tableColumn id="57" xr3:uid="{00000000-0010-0000-0000-000039000000}" name="Feedback - RESISTANCE  : Les personnes impactées par ce changement démontrent l'engagement nécessaire pour réussir sa mise en place" dataDxfId="139"/>
    <tableColumn id="58" xr3:uid="{00000000-0010-0000-0000-00003A000000}" name="Points - RESISTANCE  : Les personnes impactées par ce changement démontrent l'engagement nécessaire pour réussir sa mise en place" dataDxfId="138"/>
    <tableColumn id="59" xr3:uid="{00000000-0010-0000-0000-00003B000000}" name="Si la réponse comporte moins de 2 étoiles OUI, merci de préciser votre réponse dans le champs ci-dessous :9" dataDxfId="137"/>
    <tableColumn id="60" xr3:uid="{00000000-0010-0000-0000-00003C000000}" name="Feedback - Si la réponse comporte moins de 2 étoiles OUI, merci de préciser votre réponse dans le champs ci-dessous :9" dataDxfId="136"/>
    <tableColumn id="61" xr3:uid="{00000000-0010-0000-0000-00003D000000}" name="Points - Si la réponse comporte moins de 2 étoiles OUI, merci de préciser votre réponse dans le champs ci-dessous :9" dataDxfId="135"/>
    <tableColumn id="62" xr3:uid="{00000000-0010-0000-0000-00003E000000}" name="SYNERGIE : Nos efforts de collaboration pour ce projet nous font gagner du temps plus qu’il n’en coute" dataDxfId="134"/>
    <tableColumn id="63" xr3:uid="{00000000-0010-0000-0000-00003F000000}" name="Feedback - SYNERGIE : Nos efforts de collaboration pour ce projet nous font gagner du temps plus qu’il n’en coute" dataDxfId="133"/>
    <tableColumn id="64" xr3:uid="{00000000-0010-0000-0000-000040000000}" name="Points - SYNERGIE : Nos efforts de collaboration pour ce projet nous font gagner du temps plus qu’il n’en coute" dataDxfId="132"/>
    <tableColumn id="65" xr3:uid="{00000000-0010-0000-0000-000041000000}" name="Si la réponse comporte moins de 2 étoiles OUI, merci de préciser votre réponse dans le champs ci-dessous :10" dataDxfId="131"/>
    <tableColumn id="66" xr3:uid="{00000000-0010-0000-0000-000042000000}" name="Feedback - Si la réponse comporte moins de 2 étoiles OUI, merci de préciser votre réponse dans le champs ci-dessous :10" dataDxfId="130"/>
    <tableColumn id="67" xr3:uid="{00000000-0010-0000-0000-000043000000}" name="Points - Si la réponse comporte moins de 2 étoiles OUI, merci de préciser votre réponse dans le champs ci-dessous :10" dataDxfId="129"/>
    <tableColumn id="68" xr3:uid="{00000000-0010-0000-0000-000044000000}" name="PARTENARIAT : Nos interactions avec des partenaires externes sont suffisantes pour supporter ce changement" dataDxfId="128"/>
    <tableColumn id="69" xr3:uid="{00000000-0010-0000-0000-000045000000}" name="Feedback - PARTENARIAT : Nos interactions avec des partenaires externes sont suffisantes pour supporter ce changement" dataDxfId="127"/>
    <tableColumn id="70" xr3:uid="{00000000-0010-0000-0000-000046000000}" name="Points - PARTENARIAT : Nos interactions avec des partenaires externes sont suffisantes pour supporter ce changement" dataDxfId="126"/>
    <tableColumn id="71" xr3:uid="{00000000-0010-0000-0000-000047000000}" name="Si la réponse comporte moins de 2 étoiles OUI, merci de préciser votre réponse dans le champs ci-dessous :11" dataDxfId="125"/>
    <tableColumn id="72" xr3:uid="{00000000-0010-0000-0000-000048000000}" name="Feedback - Si la réponse comporte moins de 2 étoiles OUI, merci de préciser votre réponse dans le champs ci-dessous :11" dataDxfId="124"/>
    <tableColumn id="73" xr3:uid="{00000000-0010-0000-0000-000049000000}" name="Points - Si la réponse comporte moins de 2 étoiles OUI, merci de préciser votre réponse dans le champs ci-dessous :11" dataDxfId="123"/>
    <tableColumn id="74" xr3:uid="{00000000-0010-0000-0000-00004A000000}" name="SUPERVISION : Les instances de pilotage permettent de prendre des décisions rapides et efficaces" dataDxfId="122"/>
    <tableColumn id="75" xr3:uid="{00000000-0010-0000-0000-00004B000000}" name="Points - SUPERVISION : Les instances de pilotage permettent de prendre des décisions rapides et efficaces" dataDxfId="121"/>
    <tableColumn id="76" xr3:uid="{00000000-0010-0000-0000-00004C000000}" name="Feedback - SUPERVISION : Les instances de pilotage permettent de prendre des décisions rapides et efficaces" dataDxfId="120"/>
    <tableColumn id="77" xr3:uid="{00000000-0010-0000-0000-00004D000000}" name="Si la réponse comporte moins de 2 étoiles OUI, merci de préciser votre réponse dans le champs ci-dessous :12" dataDxfId="119"/>
    <tableColumn id="78" xr3:uid="{00000000-0010-0000-0000-00004E000000}" name="Points - Si la réponse comporte moins de 2 étoiles OUI, merci de préciser votre réponse dans le champs ci-dessous :12" dataDxfId="118"/>
    <tableColumn id="79" xr3:uid="{00000000-0010-0000-0000-00004F000000}" name="Feedback - Si la réponse comporte moins de 2 étoiles OUI, merci de préciser votre réponse dans le champs ci-dessous :12" dataDxfId="117"/>
    <tableColumn id="80" xr3:uid="{00000000-0010-0000-0000-000050000000}" name="RESSOURCES : Les ressources sont suffisantes pour absorber ce changement" dataDxfId="116"/>
    <tableColumn id="81" xr3:uid="{00000000-0010-0000-0000-000051000000}" name="Points - RESSOURCES : Les ressources sont suffisantes pour absorber ce changement" dataDxfId="115"/>
    <tableColumn id="82" xr3:uid="{00000000-0010-0000-0000-000052000000}" name="Feedback - RESSOURCES : Les ressources sont suffisantes pour absorber ce changement" dataDxfId="114"/>
    <tableColumn id="83" xr3:uid="{00000000-0010-0000-0000-000053000000}" name="Si la réponse comporte moins de 2 étoiles OUI, merci de préciser votre réponse dans le champs ci-dessous :13" dataDxfId="113"/>
    <tableColumn id="84" xr3:uid="{00000000-0010-0000-0000-000054000000}" name="Points - Si la réponse comporte moins de 2 étoiles OUI, merci de préciser votre réponse dans le champs ci-dessous :13" dataDxfId="112"/>
    <tableColumn id="85" xr3:uid="{00000000-0010-0000-0000-000055000000}" name="Feedback - Si la réponse comporte moins de 2 étoiles OUI, merci de préciser votre réponse dans le champs ci-dessous :13" dataDxfId="111"/>
    <tableColumn id="86" xr3:uid="{00000000-0010-0000-0000-000056000000}" name="PORTFOLIO : Les interactions de ce projet avec les autres initiatives sont gérées correctement" dataDxfId="110"/>
    <tableColumn id="87" xr3:uid="{00000000-0010-0000-0000-000057000000}" name="Points - PORTFOLIO : Les interactions de ce projet avec les autres initiatives sont gérées correctement" dataDxfId="109"/>
    <tableColumn id="88" xr3:uid="{00000000-0010-0000-0000-000058000000}" name="Feedback - PORTFOLIO : Les interactions de ce projet avec les autres initiatives sont gérées correctement" dataDxfId="108"/>
    <tableColumn id="89" xr3:uid="{00000000-0010-0000-0000-000059000000}" name="Si la réponse comporte moins de 2 étoiles OUI, merci de préciser votre réponse dans le champs ci-dessous :14" dataDxfId="107"/>
    <tableColumn id="90" xr3:uid="{00000000-0010-0000-0000-00005A000000}" name="Points - Si la réponse comporte moins de 2 étoiles OUI, merci de préciser votre réponse dans le champs ci-dessous :14" dataDxfId="106"/>
    <tableColumn id="91" xr3:uid="{00000000-0010-0000-0000-00005B000000}" name="Feedback - Si la réponse comporte moins de 2 étoiles OUI, merci de préciser votre réponse dans le champs ci-dessous :14" dataDxfId="105"/>
    <tableColumn id="92" xr3:uid="{00000000-0010-0000-0000-00005C000000}" name="CHEMIN CRITIQUE : Les délais et ressources à travers de ce projet sont gérés efficacement" dataDxfId="104"/>
    <tableColumn id="93" xr3:uid="{00000000-0010-0000-0000-00005D000000}" name="Points - CHEMIN CRITIQUE : Les délais et ressources à travers de ce projet sont gérés efficacement" dataDxfId="103"/>
    <tableColumn id="94" xr3:uid="{00000000-0010-0000-0000-00005E000000}" name="Feedback - CHEMIN CRITIQUE : Les délais et ressources à travers de ce projet sont gérés efficacement" dataDxfId="102"/>
    <tableColumn id="95" xr3:uid="{00000000-0010-0000-0000-00005F000000}" name="Si la réponse comporte moins de 2 étoiles OUI, merci de préciser votre réponse dans le champs ci-dessous :15" dataDxfId="101"/>
    <tableColumn id="96" xr3:uid="{00000000-0010-0000-0000-000060000000}" name="Points - Si la réponse comporte moins de 2 étoiles OUI, merci de préciser votre réponse dans le champs ci-dessous :15" dataDxfId="100"/>
    <tableColumn id="97" xr3:uid="{00000000-0010-0000-0000-000061000000}" name="Feedback - Si la réponse comporte moins de 2 étoiles OUI, merci de préciser votre réponse dans le champs ci-dessous :15" dataDxfId="9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54EC57C9-4A3E-49B8-A326-109069241EBC}" name="Table14" displayName="Table14" ref="A5:CS24" totalsRowShown="0">
  <autoFilter ref="A5:CS24" xr:uid="{54EC57C9-4A3E-49B8-A326-109069241EBC}"/>
  <tableColumns count="97">
    <tableColumn id="1" xr3:uid="{44F910B3-29F7-45C2-BCC3-8555B0E9B02E}" name="ID" dataDxfId="98"/>
    <tableColumn id="2" xr3:uid="{607E1415-1CE3-4E9E-AAEB-8656D7F2057F}" name="Heure de début" dataDxfId="97"/>
    <tableColumn id="3" xr3:uid="{393746EA-85C1-48AF-8AFE-7D64B076A8E1}" name="Heure de fin" dataDxfId="96"/>
    <tableColumn id="4" xr3:uid="{E967F4FE-DE9D-4F1C-9A2F-0CDAF8018A9E}" name="Adresse de messagerie" dataDxfId="95"/>
    <tableColumn id="5" xr3:uid="{1C2C4837-3C0C-4463-86BB-AA5ADDCE41A7}" name="Nom" dataDxfId="94"/>
    <tableColumn id="6" xr3:uid="{F449B804-59E7-4400-B761-5A1C314C40D1}" name="Total points" dataDxfId="93"/>
    <tableColumn id="7" xr3:uid="{F6BBCBE0-4C42-41A0-84ED-968147C3E682}" name="Quiz feedback" dataDxfId="92"/>
    <tableColumn id="8" xr3:uid="{136A468A-2CC2-482A-B44B-5A9071B56E42}" name="CLARTE : J'ai une vision claire de l’objectif final du programme" dataDxfId="91"/>
    <tableColumn id="9" xr3:uid="{0663AA7C-B1D3-457B-8661-54AFFE77D827}" name="Points - CLARTE : J'ai une vision claire de l’objectif final du programme" dataDxfId="90"/>
    <tableColumn id="10" xr3:uid="{29E69897-262B-4A39-B475-9DDF920F15D4}" name="Feedback - CLARTE : J'ai une vision claire de l’objectif final du programme" dataDxfId="89"/>
    <tableColumn id="11" xr3:uid="{0044314D-4CC7-4B39-A9EB-959948F490AA}" name="Si la réponse comporte moins de 2 étoiles OUI, merci de préciser votre réponse dans le champs ci-dessous :" dataDxfId="88"/>
    <tableColumn id="12" xr3:uid="{0FE52499-DF53-4C03-990A-300B2616DCBA}" name="Points - Si la réponse comporte moins de 2 étoiles OUI, merci de préciser votre réponse dans le champs ci-dessous :" dataDxfId="87"/>
    <tableColumn id="13" xr3:uid="{B378EA27-9ED8-47D3-837F-461B0888D90C}" name="Feedback - Si la réponse comporte moins de 2 étoiles OUI, merci de préciser votre réponse dans le champs ci-dessous :" dataDxfId="86"/>
    <tableColumn id="14" xr3:uid="{9000E2E0-533A-4C4F-B9F8-DE20F3D32FE1}" name="ALIGNEMENT : Je suis aligné sur l’objectif final du programme" dataDxfId="85"/>
    <tableColumn id="15" xr3:uid="{AB79B731-5007-4419-B70D-4D639B7C66EB}" name="Points - ALIGNEMENT : Je suis aligné sur l’objectif final du programme" dataDxfId="84"/>
    <tableColumn id="16" xr3:uid="{8F3105D7-43E7-4E42-8650-1C79D543A4FC}" name="Feedback - ALIGNEMENT : Je suis aligné sur l’objectif final du programme" dataDxfId="83"/>
    <tableColumn id="17" xr3:uid="{4130CD5F-6B21-4A80-A03C-2ADE2B09A7B6}" name="Si la réponse comporte moins de 2 étoiles OUI, merci de préciser votre réponse dans le champs ci-dessous :2" dataDxfId="82"/>
    <tableColumn id="18" xr3:uid="{0BD0208B-C9C5-4C64-821D-66DC15EAFFB5}" name="Points - Si la réponse comporte moins de 2 étoiles OUI, merci de préciser votre réponse dans le champs ci-dessous :2" dataDxfId="81"/>
    <tableColumn id="19" xr3:uid="{6658AE7B-209F-4C57-B4C5-DB23801B828F}" name="Feedback - Si la réponse comporte moins de 2 étoiles OUI, merci de préciser votre réponse dans le champs ci-dessous :2" dataDxfId="80"/>
    <tableColumn id="20" xr3:uid="{86CA9927-8DEC-43EC-AFED-B95EA8DE5602}" name="ENGAGEMENT  : Je supporte l’objectif du programme" dataDxfId="79"/>
    <tableColumn id="21" xr3:uid="{28D6BD0E-4220-4D58-9474-74B9A14B7416}" name="Points - ENGAGEMENT  : Je supporte l’objectif du programme" dataDxfId="78"/>
    <tableColumn id="22" xr3:uid="{DAB6C272-5D7D-4548-A101-3490577764BA}" name="Feedback - ENGAGEMENT  : Je supporte l’objectif du programme" dataDxfId="77"/>
    <tableColumn id="23" xr3:uid="{94946C20-A447-491E-8AC1-20CEB68ACB23}" name="Si la réponse comporte moins de 2 étoiles OUI, merci de préciser votre réponse dans le champs ci-dessous :3" dataDxfId="76"/>
    <tableColumn id="24" xr3:uid="{A50D9835-1952-4B2F-BAF8-048D5DDAA443}" name="Points - Si la réponse comporte moins de 2 étoiles OUI, merci de préciser votre réponse dans le champs ci-dessous :3" dataDxfId="75"/>
    <tableColumn id="25" xr3:uid="{FFA8483E-AEC3-48BA-9493-8CC61E3CA306}" name="Feedback - Si la réponse comporte moins de 2 étoiles OUI, merci de préciser votre réponse dans le champs ci-dessous :3" dataDxfId="74"/>
    <tableColumn id="26" xr3:uid="{B29BB332-1CE5-49BD-8ACB-F1C1D21979D6}" name="SOLUTION  : L’approche pour atteindre l’objectif du programme est solide" dataDxfId="73"/>
    <tableColumn id="27" xr3:uid="{8D2A6AE5-198D-477E-BA7C-7BFD1272DF0F}" name="Points - SOLUTION  : L’approche pour atteindre l’objectif du programme est solide" dataDxfId="72"/>
    <tableColumn id="28" xr3:uid="{2C4D3D47-AE35-4D36-8F03-011E3C0F7ED3}" name="Feedback - SOLUTION  : L’approche pour atteindre l’objectif du programme est solide" dataDxfId="71"/>
    <tableColumn id="29" xr3:uid="{62F9DAC5-6532-4128-9E68-388768452E27}" name="Si la réponse comporte moins de 2 étoiles OUI, merci de préciser votre réponse dans le champs ci-dessous :4" dataDxfId="70"/>
    <tableColumn id="30" xr3:uid="{73D0E4C0-C667-471F-AFD3-F3DA4D9D1C30}" name="Points - Si la réponse comporte moins de 2 étoiles OUI, merci de préciser votre réponse dans le champs ci-dessous :4" dataDxfId="69"/>
    <tableColumn id="31" xr3:uid="{7FA3FA4C-C866-4492-8F01-2F452DF320E7}" name="Feedback - Si la réponse comporte moins de 2 étoiles OUI, merci de préciser votre réponse dans le champs ci-dessous :4" dataDxfId="68"/>
    <tableColumn id="32" xr3:uid="{36C37D5F-CCB9-4C8B-9F94-FB9E2A2C7D0A}" name="INTEGRITE : Les objectifs initiaux du programme restent les mêmes" dataDxfId="67"/>
    <tableColumn id="33" xr3:uid="{EBB86221-7341-4E7E-AB6D-4A4F526F7091}" name="Points - INTEGRITE : Les objectifs initiaux du programme restent les mêmes" dataDxfId="66"/>
    <tableColumn id="34" xr3:uid="{C39B2141-23C2-491E-968D-40438DF88EDA}" name="Feedback - INTEGRITE : Les objectifs initiaux du programme restent les mêmes" dataDxfId="65"/>
    <tableColumn id="35" xr3:uid="{DEAD9C80-BB02-4B89-B0EE-40ED4057C06A}" name="Si la réponse comporte moins de 2 étoiles OUI, merci de préciser votre réponse dans le champs ci-dessous :5" dataDxfId="64"/>
    <tableColumn id="36" xr3:uid="{F9BFE0C4-5AB2-4A6B-B48C-F86D7764A158}" name="Points - Si la réponse comporte moins de 2 étoiles OUI, merci de préciser votre réponse dans le champs ci-dessous :5" dataDxfId="63"/>
    <tableColumn id="37" xr3:uid="{7731CC37-C556-4B24-96D6-92E9A854BB16}" name="Feedback - Si la réponse comporte moins de 2 étoiles OUI, merci de préciser votre réponse dans le champs ci-dessous :5" dataDxfId="62"/>
    <tableColumn id="38" xr3:uid="{7076B652-E5C4-45BC-8CDB-6881F35013A9}" name="SPONSORSHIP  : Les leaders fournissent le niveau de sponsorship suffisant pour supporter le programme" dataDxfId="61"/>
    <tableColumn id="39" xr3:uid="{40F56B6F-C498-46EA-82B1-3543506715E5}" name="Points - SPONSORSHIP  : Les leaders fournissent le niveau de sponsorship suffisant pour supporter le programme" dataDxfId="60"/>
    <tableColumn id="40" xr3:uid="{B9145F3F-7DAF-433E-AA13-28DFA1BCE40E}" name="Feedback - SPONSORSHIP  : Les leaders fournissent le niveau de sponsorship suffisant pour supporter le programme" dataDxfId="59"/>
    <tableColumn id="41" xr3:uid="{5084E0C6-219A-4635-B943-784AFD23C00B}" name="Si la réponse comporte moins de 2 étoiles OUI, merci de préciser votre réponse dans le champs ci-dessous :6" dataDxfId="58"/>
    <tableColumn id="42" xr3:uid="{26BD6D28-C16D-4A82-BB81-402C97491C54}" name="Points - Si la réponse comporte moins de 2 étoiles OUI, merci de préciser votre réponse dans le champs ci-dessous :6" dataDxfId="57"/>
    <tableColumn id="43" xr3:uid="{64D31C1F-7ED1-438A-AC7E-3C2339B3BE03}" name="Feedback - Si la réponse comporte moins de 2 étoiles OUI, merci de préciser votre réponse dans le champs ci-dessous :6" dataDxfId="56"/>
    <tableColumn id="44" xr3:uid="{61C5C80C-503A-4F12-AF1D-41B415E35768}" name="CAPACITE : Ce changement entraine une charge de travail que nous pouvons absorber sur le site" dataDxfId="55"/>
    <tableColumn id="45" xr3:uid="{F7A77246-CAB6-4E3A-9F41-250DE6A3E6DB}" name="Points - CAPACITE : Ce changement entraine une charge de travail que nous pouvons absorber sur le site" dataDxfId="54"/>
    <tableColumn id="46" xr3:uid="{05AABA10-DD65-4C57-ADDD-130B20DBD616}" name="Feedback - CAPACITE : Ce changement entraine une charge de travail que nous pouvons absorber sur le site" dataDxfId="53"/>
    <tableColumn id="47" xr3:uid="{AEB03FEA-2825-422C-8A5C-BBF1BE02E68E}" name="Si la réponse comporte moins de 2 étoiles OUI, merci de préciser votre réponse dans le champs ci-dessous :7" dataDxfId="52"/>
    <tableColumn id="48" xr3:uid="{E4734367-1528-40AC-9235-95945DEAD68A}" name="Points - Si la réponse comporte moins de 2 étoiles OUI, merci de préciser votre réponse dans le champs ci-dessous :7" dataDxfId="51"/>
    <tableColumn id="49" xr3:uid="{6E8B7E13-239B-464A-93A3-28602B9CCF01}" name="Feedback - Si la réponse comporte moins de 2 étoiles OUI, merci de préciser votre réponse dans le champs ci-dessous :7" dataDxfId="50"/>
    <tableColumn id="50" xr3:uid="{A7DB0885-5AA6-4D34-9228-C73B22646C5F}" name="CULTURE  : Nous avons la culture appropriée pour absorber ce changement" dataDxfId="49"/>
    <tableColumn id="51" xr3:uid="{FB7BC482-05FC-4FF0-B21C-2011270A7D9C}" name="Points - CULTURE  : Nous avons la culture appropriée pour absorber ce changement" dataDxfId="48"/>
    <tableColumn id="52" xr3:uid="{BFDE6780-8C49-4615-AD16-A4BC5E853A48}" name="Feedback - CULTURE  : Nous avons la culture appropriée pour absorber ce changement" dataDxfId="47"/>
    <tableColumn id="53" xr3:uid="{D748F145-3B23-43CE-9260-C2B04EB11113}" name="Si la réponse comporte moins de 2 étoiles OUI, merci de préciser votre réponse dans le champs ci-dessous :8" dataDxfId="46"/>
    <tableColumn id="54" xr3:uid="{F8FA7436-BD4B-407F-8F64-8E7964A2C80A}" name="Feedback - Si la réponse comporte moins de 2 étoiles OUI, merci de préciser votre réponse dans le champs ci-dessous :8" dataDxfId="45"/>
    <tableColumn id="55" xr3:uid="{9A336205-3E3E-4C9D-BBDF-3673CDACBC4E}" name="Points - Si la réponse comporte moins de 2 étoiles OUI, merci de préciser votre réponse dans le champs ci-dessous :8" dataDxfId="44"/>
    <tableColumn id="56" xr3:uid="{69F3A825-14C6-40C5-9986-7013D0092531}" name="RESISTANCE  : Les personnes impactées par ce changement démontrent l'engagement nécessaire pour réussir sa mise en place" dataDxfId="43"/>
    <tableColumn id="57" xr3:uid="{41B6F47D-5469-431B-B8DE-24298C63A1A9}" name="Feedback - RESISTANCE  : Les personnes impactées par ce changement démontrent l'engagement nécessaire pour réussir sa mise en place" dataDxfId="42"/>
    <tableColumn id="58" xr3:uid="{ABEBBAF9-60CC-47EA-9609-3E3BE51D02B3}" name="Points - RESISTANCE  : Les personnes impactées par ce changement démontrent l'engagement nécessaire pour réussir sa mise en place" dataDxfId="41"/>
    <tableColumn id="59" xr3:uid="{27CC3F0C-D788-46DB-921A-4B6DD0AF3128}" name="Si la réponse comporte moins de 2 étoiles OUI, merci de préciser votre réponse dans le champs ci-dessous :9" dataDxfId="40"/>
    <tableColumn id="60" xr3:uid="{D6FADF26-A91B-4734-B00A-5E5EBEF2BAB6}" name="Feedback - Si la réponse comporte moins de 2 étoiles OUI, merci de préciser votre réponse dans le champs ci-dessous :9" dataDxfId="39"/>
    <tableColumn id="61" xr3:uid="{1DCB528F-F16A-47C8-8B63-B7B59A51543F}" name="Points - Si la réponse comporte moins de 2 étoiles OUI, merci de préciser votre réponse dans le champs ci-dessous :9" dataDxfId="38"/>
    <tableColumn id="62" xr3:uid="{BA02CE0F-1448-48A9-8FB4-C8EE39A3361E}" name="SYNERGIE : Nos efforts de collaboration pour ce projet nous font gagner du temps plus qu’il n’en coute" dataDxfId="37"/>
    <tableColumn id="63" xr3:uid="{DAB71237-3FF0-47C4-887E-539E122F26E8}" name="Feedback - SYNERGIE : Nos efforts de collaboration pour ce projet nous font gagner du temps plus qu’il n’en coute" dataDxfId="36"/>
    <tableColumn id="64" xr3:uid="{30C319C5-780B-42CE-B6D0-DFF19079DF0F}" name="Points - SYNERGIE : Nos efforts de collaboration pour ce projet nous font gagner du temps plus qu’il n’en coute" dataDxfId="35"/>
    <tableColumn id="65" xr3:uid="{8429FEAC-A683-46E3-9D00-6AF0D58B9237}" name="Si la réponse comporte moins de 2 étoiles OUI, merci de préciser votre réponse dans le champs ci-dessous :10" dataDxfId="34"/>
    <tableColumn id="66" xr3:uid="{2CE7B066-03E7-48CB-BE69-5A72C016ED99}" name="Feedback - Si la réponse comporte moins de 2 étoiles OUI, merci de préciser votre réponse dans le champs ci-dessous :10" dataDxfId="33"/>
    <tableColumn id="67" xr3:uid="{94F88434-0FF4-4A11-B20A-B537050F1C06}" name="Points - Si la réponse comporte moins de 2 étoiles OUI, merci de préciser votre réponse dans le champs ci-dessous :10" dataDxfId="32"/>
    <tableColumn id="68" xr3:uid="{3B2ED6AE-9F56-40CC-A135-42ADCFC29940}" name="PARTENARIAT : Nos interactions avec des partenaires externes sont suffisantes pour supporter ce changement" dataDxfId="31"/>
    <tableColumn id="69" xr3:uid="{41828BD4-D3D5-419D-BD28-45EEEC6C3EF8}" name="Feedback - PARTENARIAT : Nos interactions avec des partenaires externes sont suffisantes pour supporter ce changement" dataDxfId="30"/>
    <tableColumn id="70" xr3:uid="{09DFCF0C-F3C6-436A-B8F9-452A59AF3ABE}" name="Points - PARTENARIAT : Nos interactions avec des partenaires externes sont suffisantes pour supporter ce changement" dataDxfId="29"/>
    <tableColumn id="71" xr3:uid="{B698A2D2-1618-4CA0-9B50-6281AAFB96C1}" name="Si la réponse comporte moins de 2 étoiles OUI, merci de préciser votre réponse dans le champs ci-dessous :11" dataDxfId="28"/>
    <tableColumn id="72" xr3:uid="{07426765-1F76-4BC6-B0E3-2849C43933A0}" name="Feedback - Si la réponse comporte moins de 2 étoiles OUI, merci de préciser votre réponse dans le champs ci-dessous :11" dataDxfId="27"/>
    <tableColumn id="73" xr3:uid="{9A2B5D3B-B15F-4E0D-96ED-5459A4CF4A3F}" name="Points - Si la réponse comporte moins de 2 étoiles OUI, merci de préciser votre réponse dans le champs ci-dessous :11" dataDxfId="26"/>
    <tableColumn id="74" xr3:uid="{B7362D36-C6BF-4122-9394-761B588E472B}" name="SUPERVISION : Les instances de pilotage permettent de prendre des décisions rapides et efficaces" dataDxfId="25"/>
    <tableColumn id="75" xr3:uid="{302146ED-19BA-458A-88C0-134DD94C3248}" name="Points - SUPERVISION : Les instances de pilotage permettent de prendre des décisions rapides et efficaces" dataDxfId="24"/>
    <tableColumn id="76" xr3:uid="{579FBFED-67E3-433F-AEA1-4F61377E3387}" name="Feedback - SUPERVISION : Les instances de pilotage permettent de prendre des décisions rapides et efficaces" dataDxfId="23"/>
    <tableColumn id="77" xr3:uid="{FE288FFB-B672-4494-91A4-B261AF5697DD}" name="Si la réponse comporte moins de 2 étoiles OUI, merci de préciser votre réponse dans le champs ci-dessous :12" dataDxfId="22"/>
    <tableColumn id="78" xr3:uid="{3583AFCB-8FB5-46C9-A0E1-045A25546085}" name="Points - Si la réponse comporte moins de 2 étoiles OUI, merci de préciser votre réponse dans le champs ci-dessous :12" dataDxfId="21"/>
    <tableColumn id="79" xr3:uid="{C35A493C-4A26-44A8-B695-0B8C2450F51B}" name="Feedback - Si la réponse comporte moins de 2 étoiles OUI, merci de préciser votre réponse dans le champs ci-dessous :12" dataDxfId="20"/>
    <tableColumn id="80" xr3:uid="{C273AED6-5380-4E8F-993D-27D7E3900E8F}" name="RESSOURCES : Les ressources sont suffisantes pour absorber ce changement" dataDxfId="19"/>
    <tableColumn id="81" xr3:uid="{2FDE60CF-4A1B-4D56-83BA-6ED20AD4C84D}" name="Points - RESSOURCES : Les ressources sont suffisantes pour absorber ce changement" dataDxfId="18"/>
    <tableColumn id="82" xr3:uid="{2403014E-6D2E-4258-AC88-E48A8F88B554}" name="Feedback - RESSOURCES : Les ressources sont suffisantes pour absorber ce changement" dataDxfId="17"/>
    <tableColumn id="83" xr3:uid="{45404320-7063-4FDF-9224-2E5727EC57ED}" name="Si la réponse comporte moins de 2 étoiles OUI, merci de préciser votre réponse dans le champs ci-dessous :13" dataDxfId="16"/>
    <tableColumn id="84" xr3:uid="{AFE797B7-00B6-4FBF-869A-9CB053DA60C1}" name="Points - Si la réponse comporte moins de 2 étoiles OUI, merci de préciser votre réponse dans le champs ci-dessous :13" dataDxfId="15"/>
    <tableColumn id="85" xr3:uid="{AFABA1DC-ECA3-4BB4-AD17-067AA433C43C}" name="Feedback - Si la réponse comporte moins de 2 étoiles OUI, merci de préciser votre réponse dans le champs ci-dessous :13" dataDxfId="14"/>
    <tableColumn id="86" xr3:uid="{35325929-2EBB-413F-8A6C-7F2F82AE38DD}" name="PORTFOLIO : Les interactions de ce projet avec les autres initiatives sont gérées correctement" dataDxfId="13"/>
    <tableColumn id="87" xr3:uid="{7AB77EB2-7F7A-404D-A000-E7C35F18E550}" name="Points - PORTFOLIO : Les interactions de ce projet avec les autres initiatives sont gérées correctement" dataDxfId="12"/>
    <tableColumn id="88" xr3:uid="{7A642067-FFD7-4977-8EDE-09FFACF5D5AA}" name="Feedback - PORTFOLIO : Les interactions de ce projet avec les autres initiatives sont gérées correctement" dataDxfId="11"/>
    <tableColumn id="89" xr3:uid="{5C52BB49-2E16-4866-A360-C0F6D7BEF566}" name="Si la réponse comporte moins de 2 étoiles OUI, merci de préciser votre réponse dans le champs ci-dessous :14" dataDxfId="10"/>
    <tableColumn id="90" xr3:uid="{09DC5646-D5CE-4C8C-B6C5-30D0444B17C8}" name="Points - Si la réponse comporte moins de 2 étoiles OUI, merci de préciser votre réponse dans le champs ci-dessous :14" dataDxfId="9"/>
    <tableColumn id="91" xr3:uid="{53619253-8C5E-461F-ACD6-AE250ADEAA32}" name="Feedback - Si la réponse comporte moins de 2 étoiles OUI, merci de préciser votre réponse dans le champs ci-dessous :14" dataDxfId="8"/>
    <tableColumn id="92" xr3:uid="{BF8D291A-63FE-447B-B866-DD1C768B6285}" name="CHEMIN CRITIQUE : Les délais et ressources à travers de ce projet sont gérés efficacement" dataDxfId="7"/>
    <tableColumn id="93" xr3:uid="{0D600B78-2DEF-48BA-AF36-E561059C051E}" name="Points - CHEMIN CRITIQUE : Les délais et ressources à travers de ce projet sont gérés efficacement" dataDxfId="6"/>
    <tableColumn id="94" xr3:uid="{873D6396-5B1E-48EF-9762-450727702E1C}" name="Feedback - CHEMIN CRITIQUE : Les délais et ressources à travers de ce projet sont gérés efficacement" dataDxfId="5"/>
    <tableColumn id="95" xr3:uid="{65C06CD8-AB5F-4706-AB73-8FC849B6A922}" name="Si la réponse comporte moins de 2 étoiles OUI, merci de préciser votre réponse dans le champs ci-dessous :15" dataDxfId="4"/>
    <tableColumn id="96" xr3:uid="{64B3416C-E3A9-468E-956A-96FABBCA84E0}" name="Points - Si la réponse comporte moins de 2 étoiles OUI, merci de préciser votre réponse dans le champs ci-dessous :15" dataDxfId="3"/>
    <tableColumn id="97" xr3:uid="{BC1F07A9-4F79-4F9B-A236-093E62ED5FB2}" name="Feedback - Si la réponse comporte moins de 2 étoiles OUI, merci de préciser votre réponse dans le champs ci-dessous :15" dataDxfId="2"/>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F6AC5A-36AC-42CE-8935-EF40B84F1EC0}">
  <sheetPr codeName="Blad2"/>
  <dimension ref="A1:CS12"/>
  <sheetViews>
    <sheetView workbookViewId="0">
      <selection sqref="A1:CS4"/>
    </sheetView>
  </sheetViews>
  <sheetFormatPr defaultColWidth="9.140625" defaultRowHeight="15" x14ac:dyDescent="0.25"/>
  <cols>
    <col min="1" max="1" width="5.140625" bestFit="1" customWidth="1"/>
    <col min="2" max="2" width="17.28515625" bestFit="1" customWidth="1"/>
    <col min="3" max="3" width="15.42578125" bestFit="1" customWidth="1"/>
    <col min="4" max="4" width="24.140625" bestFit="1" customWidth="1"/>
    <col min="5" max="5" width="7.5703125" bestFit="1" customWidth="1"/>
    <col min="6" max="6" width="13.7109375" bestFit="1" customWidth="1"/>
    <col min="7" max="7" width="16" bestFit="1" customWidth="1"/>
    <col min="8" max="8" width="59.42578125" bestFit="1" customWidth="1"/>
    <col min="9" max="9" width="66.85546875" bestFit="1" customWidth="1"/>
    <col min="10" max="10" width="69.85546875" bestFit="1" customWidth="1"/>
    <col min="11" max="11" width="100.7109375" bestFit="1" customWidth="1"/>
    <col min="12" max="12" width="108.140625" bestFit="1" customWidth="1"/>
    <col min="13" max="13" width="111.140625" bestFit="1" customWidth="1"/>
    <col min="14" max="14" width="59.140625" bestFit="1" customWidth="1"/>
    <col min="15" max="15" width="66.5703125" bestFit="1" customWidth="1"/>
    <col min="16" max="16" width="69.5703125" bestFit="1" customWidth="1"/>
    <col min="17" max="17" width="101.7109375" bestFit="1" customWidth="1"/>
    <col min="18" max="18" width="109.140625" bestFit="1" customWidth="1"/>
    <col min="19" max="19" width="112.140625" bestFit="1" customWidth="1"/>
    <col min="20" max="20" width="51.42578125" bestFit="1" customWidth="1"/>
    <col min="21" max="21" width="58.85546875" bestFit="1" customWidth="1"/>
    <col min="22" max="22" width="61.85546875" bestFit="1" customWidth="1"/>
    <col min="23" max="23" width="101.7109375" bestFit="1" customWidth="1"/>
    <col min="24" max="24" width="109.140625" bestFit="1" customWidth="1"/>
    <col min="25" max="25" width="112.140625" bestFit="1" customWidth="1"/>
    <col min="26" max="26" width="70.140625" bestFit="1" customWidth="1"/>
    <col min="27" max="27" width="77.5703125" bestFit="1" customWidth="1"/>
    <col min="28" max="28" width="80.42578125" bestFit="1" customWidth="1"/>
    <col min="29" max="29" width="101.7109375" bestFit="1" customWidth="1"/>
    <col min="30" max="30" width="109.140625" bestFit="1" customWidth="1"/>
    <col min="31" max="31" width="112.140625" bestFit="1" customWidth="1"/>
    <col min="32" max="32" width="64" bestFit="1" customWidth="1"/>
    <col min="33" max="33" width="71.42578125" bestFit="1" customWidth="1"/>
    <col min="34" max="34" width="74.42578125" bestFit="1" customWidth="1"/>
    <col min="35" max="35" width="101.7109375" bestFit="1" customWidth="1"/>
    <col min="36" max="36" width="109.140625" bestFit="1" customWidth="1"/>
    <col min="37" max="37" width="112.140625" bestFit="1" customWidth="1"/>
    <col min="38" max="38" width="98.28515625" bestFit="1" customWidth="1"/>
    <col min="39" max="39" width="105.5703125" bestFit="1" customWidth="1"/>
    <col min="40" max="40" width="108.5703125" bestFit="1" customWidth="1"/>
    <col min="41" max="41" width="101.7109375" bestFit="1" customWidth="1"/>
    <col min="42" max="42" width="109.140625" bestFit="1" customWidth="1"/>
    <col min="43" max="43" width="112.140625" bestFit="1" customWidth="1"/>
    <col min="44" max="44" width="90.42578125" bestFit="1" customWidth="1"/>
    <col min="45" max="45" width="97.7109375" bestFit="1" customWidth="1"/>
    <col min="46" max="46" width="100.7109375" bestFit="1" customWidth="1"/>
    <col min="47" max="47" width="101.7109375" bestFit="1" customWidth="1"/>
    <col min="48" max="48" width="109.140625" bestFit="1" customWidth="1"/>
    <col min="49" max="49" width="112.140625" bestFit="1" customWidth="1"/>
    <col min="50" max="50" width="71" bestFit="1" customWidth="1"/>
    <col min="51" max="51" width="78.42578125" bestFit="1" customWidth="1"/>
    <col min="52" max="52" width="81.28515625" bestFit="1" customWidth="1"/>
    <col min="53" max="53" width="101.7109375" bestFit="1" customWidth="1"/>
    <col min="54" max="54" width="112.140625" bestFit="1" customWidth="1"/>
    <col min="55" max="55" width="109.140625" bestFit="1" customWidth="1"/>
    <col min="56" max="56" width="118.140625" bestFit="1" customWidth="1"/>
    <col min="57" max="57" width="128.5703125" bestFit="1" customWidth="1"/>
    <col min="58" max="58" width="125.5703125" bestFit="1" customWidth="1"/>
    <col min="59" max="59" width="101.7109375" bestFit="1" customWidth="1"/>
    <col min="60" max="60" width="112.140625" bestFit="1" customWidth="1"/>
    <col min="61" max="61" width="109.140625" bestFit="1" customWidth="1"/>
    <col min="62" max="62" width="96.28515625" bestFit="1" customWidth="1"/>
    <col min="63" max="63" width="106.7109375" bestFit="1" customWidth="1"/>
    <col min="64" max="64" width="103.7109375" bestFit="1" customWidth="1"/>
    <col min="65" max="65" width="102.85546875" bestFit="1" customWidth="1"/>
    <col min="66" max="66" width="113.140625" bestFit="1" customWidth="1"/>
    <col min="67" max="67" width="110.140625" bestFit="1" customWidth="1"/>
    <col min="68" max="68" width="103.42578125" bestFit="1" customWidth="1"/>
    <col min="69" max="69" width="113.7109375" bestFit="1" customWidth="1"/>
    <col min="70" max="70" width="110.85546875" bestFit="1" customWidth="1"/>
    <col min="71" max="71" width="102.85546875" bestFit="1" customWidth="1"/>
    <col min="72" max="72" width="113.140625" bestFit="1" customWidth="1"/>
    <col min="73" max="73" width="110.140625" bestFit="1" customWidth="1"/>
    <col min="74" max="74" width="92.28515625" bestFit="1" customWidth="1"/>
    <col min="75" max="75" width="99.7109375" bestFit="1" customWidth="1"/>
    <col min="76" max="76" width="102.7109375" bestFit="1" customWidth="1"/>
    <col min="77" max="77" width="102.85546875" bestFit="1" customWidth="1"/>
    <col min="78" max="78" width="110.140625" bestFit="1" customWidth="1"/>
    <col min="79" max="79" width="113.140625" bestFit="1" customWidth="1"/>
    <col min="80" max="80" width="71.85546875" bestFit="1" customWidth="1"/>
    <col min="81" max="81" width="79.28515625" bestFit="1" customWidth="1"/>
    <col min="82" max="82" width="82.28515625" bestFit="1" customWidth="1"/>
    <col min="83" max="83" width="102.85546875" bestFit="1" customWidth="1"/>
    <col min="84" max="84" width="110.140625" bestFit="1" customWidth="1"/>
    <col min="85" max="85" width="113.140625" bestFit="1" customWidth="1"/>
    <col min="86" max="86" width="88" bestFit="1" customWidth="1"/>
    <col min="87" max="87" width="95.42578125" bestFit="1" customWidth="1"/>
    <col min="88" max="88" width="98.42578125" bestFit="1" customWidth="1"/>
    <col min="89" max="89" width="102.85546875" bestFit="1" customWidth="1"/>
    <col min="90" max="90" width="110.140625" bestFit="1" customWidth="1"/>
    <col min="91" max="91" width="113.140625" bestFit="1" customWidth="1"/>
    <col min="92" max="92" width="84.5703125" bestFit="1" customWidth="1"/>
    <col min="93" max="93" width="92" bestFit="1" customWidth="1"/>
    <col min="94" max="94" width="95" bestFit="1" customWidth="1"/>
    <col min="95" max="95" width="102.85546875" bestFit="1" customWidth="1"/>
    <col min="96" max="96" width="110.140625" bestFit="1" customWidth="1"/>
    <col min="97" max="97" width="113.140625" bestFit="1" customWidth="1"/>
  </cols>
  <sheetData>
    <row r="1" spans="1:97" x14ac:dyDescent="0.25">
      <c r="A1">
        <f>AVERAGE(Table13[ID])</f>
        <v>4</v>
      </c>
      <c r="B1">
        <f>AVERAGE(Table13[Heure de début])</f>
        <v>44901.577083333337</v>
      </c>
      <c r="C1">
        <f>AVERAGE(Table13[Heure de fin])</f>
        <v>44901.60087962963</v>
      </c>
      <c r="D1" t="e">
        <f>AVERAGE(Table13[Adresse de messagerie])</f>
        <v>#DIV/0!</v>
      </c>
      <c r="E1" t="e">
        <f>AVERAGE(Table13[Nom])</f>
        <v>#DIV/0!</v>
      </c>
      <c r="F1" t="e">
        <f>AVERAGE(Table13[Total points])</f>
        <v>#DIV/0!</v>
      </c>
      <c r="G1" t="e">
        <f>AVERAGE(Table13[Quiz feedback])</f>
        <v>#DIV/0!</v>
      </c>
      <c r="H1">
        <f>AVERAGE(Table13[CLARTE : J''ai une vision claire de l’objectif final du programme])</f>
        <v>5</v>
      </c>
      <c r="I1" t="e">
        <f>AVERAGE(Table13[Points - CLARTE : J''ai une vision claire de l’objectif final du programme])</f>
        <v>#DIV/0!</v>
      </c>
      <c r="J1" t="e">
        <f>AVERAGE(Table13[Feedback - CLARTE : J''ai une vision claire de l’objectif final du programme])</f>
        <v>#DIV/0!</v>
      </c>
      <c r="K1" t="e">
        <f>AVERAGE(Table13[Si la réponse comporte moins de 2 étoiles OUI, merci de préciser votre réponse dans le champs ci-dessous :])</f>
        <v>#DIV/0!</v>
      </c>
      <c r="L1" t="e">
        <f>AVERAGE(Table13[Points - Si la réponse comporte moins de 2 étoiles OUI, merci de préciser votre réponse dans le champs ci-dessous :])</f>
        <v>#DIV/0!</v>
      </c>
      <c r="M1" t="e">
        <f>AVERAGE(Table13[Feedback - Si la réponse comporte moins de 2 étoiles OUI, merci de préciser votre réponse dans le champs ci-dessous :])</f>
        <v>#DIV/0!</v>
      </c>
      <c r="N1">
        <f>AVERAGE(Table13[ALIGNEMENT : Je suis aligné sur l’objectif final du programme])</f>
        <v>5</v>
      </c>
      <c r="O1" t="e">
        <f>AVERAGE(Table13[Points - ALIGNEMENT : Je suis aligné sur l’objectif final du programme])</f>
        <v>#DIV/0!</v>
      </c>
      <c r="P1" t="e">
        <f>AVERAGE(Table13[Feedback - ALIGNEMENT : Je suis aligné sur l’objectif final du programme])</f>
        <v>#DIV/0!</v>
      </c>
      <c r="Q1" t="e">
        <f>AVERAGE(Table13[Si la réponse comporte moins de 2 étoiles OUI, merci de préciser votre réponse dans le champs ci-dessous :2])</f>
        <v>#DIV/0!</v>
      </c>
      <c r="R1" t="e">
        <f>AVERAGE(Table13[Points - Si la réponse comporte moins de 2 étoiles OUI, merci de préciser votre réponse dans le champs ci-dessous :2])</f>
        <v>#DIV/0!</v>
      </c>
      <c r="S1" t="e">
        <f>AVERAGE(Table13[Feedback - Si la réponse comporte moins de 2 étoiles OUI, merci de préciser votre réponse dans le champs ci-dessous :2])</f>
        <v>#DIV/0!</v>
      </c>
      <c r="T1">
        <f>AVERAGE(Table13[ENGAGEMENT  : Je supporte l’objectif du programme])</f>
        <v>5</v>
      </c>
      <c r="U1" t="e">
        <f>AVERAGE(Table13[Points - ENGAGEMENT  : Je supporte l’objectif du programme])</f>
        <v>#DIV/0!</v>
      </c>
      <c r="V1" t="e">
        <f>AVERAGE(Table13[Feedback - ENGAGEMENT  : Je supporte l’objectif du programme])</f>
        <v>#DIV/0!</v>
      </c>
      <c r="W1" t="e">
        <f>AVERAGE(Table13[Si la réponse comporte moins de 2 étoiles OUI, merci de préciser votre réponse dans le champs ci-dessous :3])</f>
        <v>#DIV/0!</v>
      </c>
      <c r="X1" t="e">
        <f>AVERAGE(Table13[Points - Si la réponse comporte moins de 2 étoiles OUI, merci de préciser votre réponse dans le champs ci-dessous :3])</f>
        <v>#DIV/0!</v>
      </c>
      <c r="Y1" t="e">
        <f>AVERAGE(Table13[Feedback - Si la réponse comporte moins de 2 étoiles OUI, merci de préciser votre réponse dans le champs ci-dessous :3])</f>
        <v>#DIV/0!</v>
      </c>
      <c r="Z1">
        <f>AVERAGE(Table13[SOLUTION  : L’approche pour atteindre l’objectif du programme est solide])</f>
        <v>4.7142857142857144</v>
      </c>
      <c r="AA1" t="e">
        <f>AVERAGE(Table13[Points - SOLUTION  : L’approche pour atteindre l’objectif du programme est solide])</f>
        <v>#DIV/0!</v>
      </c>
      <c r="AB1" t="e">
        <f>AVERAGE(Table13[Feedback - SOLUTION  : L’approche pour atteindre l’objectif du programme est solide])</f>
        <v>#DIV/0!</v>
      </c>
      <c r="AC1" t="e">
        <f>AVERAGE(Table13[Si la réponse comporte moins de 2 étoiles OUI, merci de préciser votre réponse dans le champs ci-dessous :4])</f>
        <v>#DIV/0!</v>
      </c>
      <c r="AD1" t="e">
        <f>AVERAGE(Table13[Points - Si la réponse comporte moins de 2 étoiles OUI, merci de préciser votre réponse dans le champs ci-dessous :4])</f>
        <v>#DIV/0!</v>
      </c>
      <c r="AE1" t="e">
        <f>AVERAGE(Table13[Feedback - Si la réponse comporte moins de 2 étoiles OUI, merci de préciser votre réponse dans le champs ci-dessous :4])</f>
        <v>#DIV/0!</v>
      </c>
      <c r="AF1">
        <f>AVERAGE(Table13[INTEGRITE : Les objectifs initiaux du programme restent les mêmes])</f>
        <v>5</v>
      </c>
      <c r="AG1" t="e">
        <f>AVERAGE(Table13[Points - INTEGRITE : Les objectifs initiaux du programme restent les mêmes])</f>
        <v>#DIV/0!</v>
      </c>
      <c r="AH1" t="e">
        <f>AVERAGE(Table13[Feedback - INTEGRITE : Les objectifs initiaux du programme restent les mêmes])</f>
        <v>#DIV/0!</v>
      </c>
      <c r="AI1" t="e">
        <f>AVERAGE(Table13[Si la réponse comporte moins de 2 étoiles OUI, merci de préciser votre réponse dans le champs ci-dessous :5])</f>
        <v>#DIV/0!</v>
      </c>
      <c r="AJ1" t="e">
        <f>AVERAGE(Table13[Points - Si la réponse comporte moins de 2 étoiles OUI, merci de préciser votre réponse dans le champs ci-dessous :5])</f>
        <v>#DIV/0!</v>
      </c>
      <c r="AK1" t="e">
        <f>AVERAGE(Table13[Feedback - Si la réponse comporte moins de 2 étoiles OUI, merci de préciser votre réponse dans le champs ci-dessous :5])</f>
        <v>#DIV/0!</v>
      </c>
      <c r="AL1">
        <f>AVERAGE(Table13[SPONSORSHIP  : Les leaders fournissent le niveau de sponsorship suffisant pour supporter le programme])</f>
        <v>4.7142857142857144</v>
      </c>
      <c r="AM1" t="e">
        <f>AVERAGE(Table13[Points - SPONSORSHIP  : Les leaders fournissent le niveau de sponsorship suffisant pour supporter le programme])</f>
        <v>#DIV/0!</v>
      </c>
      <c r="AN1" t="e">
        <f>AVERAGE(Table13[Feedback - SPONSORSHIP  : Les leaders fournissent le niveau de sponsorship suffisant pour supporter le programme])</f>
        <v>#DIV/0!</v>
      </c>
      <c r="AO1" t="e">
        <f>AVERAGE(Table13[Si la réponse comporte moins de 2 étoiles OUI, merci de préciser votre réponse dans le champs ci-dessous :6])</f>
        <v>#DIV/0!</v>
      </c>
      <c r="AP1" t="e">
        <f>AVERAGE(Table13[Points - Si la réponse comporte moins de 2 étoiles OUI, merci de préciser votre réponse dans le champs ci-dessous :6])</f>
        <v>#DIV/0!</v>
      </c>
      <c r="AQ1" t="e">
        <f>AVERAGE(Table13[Feedback - Si la réponse comporte moins de 2 étoiles OUI, merci de préciser votre réponse dans le champs ci-dessous :6])</f>
        <v>#DIV/0!</v>
      </c>
      <c r="AR1">
        <f>AVERAGE(Table13[CAPACITE : Ce changement entraine une charge de travail que nous pouvons absorber sur le site])</f>
        <v>4.4285714285714288</v>
      </c>
      <c r="AS1" t="e">
        <f>AVERAGE(Table13[Points - CAPACITE : Ce changement entraine une charge de travail que nous pouvons absorber sur le site])</f>
        <v>#DIV/0!</v>
      </c>
      <c r="AT1" t="e">
        <f>AVERAGE(Table13[Feedback - CAPACITE : Ce changement entraine une charge de travail que nous pouvons absorber sur le site])</f>
        <v>#DIV/0!</v>
      </c>
      <c r="AU1" t="e">
        <f>AVERAGE(Table13[Si la réponse comporte moins de 2 étoiles OUI, merci de préciser votre réponse dans le champs ci-dessous :7])</f>
        <v>#DIV/0!</v>
      </c>
      <c r="AV1" t="e">
        <f>AVERAGE(Table13[Points - Si la réponse comporte moins de 2 étoiles OUI, merci de préciser votre réponse dans le champs ci-dessous :7])</f>
        <v>#DIV/0!</v>
      </c>
      <c r="AW1" t="e">
        <f>AVERAGE(Table13[Feedback - Si la réponse comporte moins de 2 étoiles OUI, merci de préciser votre réponse dans le champs ci-dessous :7])</f>
        <v>#DIV/0!</v>
      </c>
      <c r="AX1">
        <f>AVERAGE(Table13[CULTURE  : Nous avons la culture appropriée pour absorber ce changement])</f>
        <v>3.7142857142857144</v>
      </c>
      <c r="AY1" t="e">
        <f>AVERAGE(Table13[Points - CULTURE  : Nous avons la culture appropriée pour absorber ce changement])</f>
        <v>#DIV/0!</v>
      </c>
      <c r="AZ1" t="e">
        <f>AVERAGE(Table13[Feedback - CULTURE  : Nous avons la culture appropriée pour absorber ce changement])</f>
        <v>#DIV/0!</v>
      </c>
      <c r="BA1" t="e">
        <f>AVERAGE(Table13[Si la réponse comporte moins de 2 étoiles OUI, merci de préciser votre réponse dans le champs ci-dessous :8])</f>
        <v>#DIV/0!</v>
      </c>
      <c r="BB1" t="e">
        <f>AVERAGE(Table13[Feedback - Si la réponse comporte moins de 2 étoiles OUI, merci de préciser votre réponse dans le champs ci-dessous :8])</f>
        <v>#DIV/0!</v>
      </c>
      <c r="BC1" t="e">
        <f>AVERAGE(Table13[Points - Si la réponse comporte moins de 2 étoiles OUI, merci de préciser votre réponse dans le champs ci-dessous :8])</f>
        <v>#DIV/0!</v>
      </c>
      <c r="BD1">
        <f>AVERAGE(Table13[RESISTANCE  : Les personnes impactées par ce changement démontrent l''engagement nécessaire pour réussir sa mise en place])</f>
        <v>4.8571428571428568</v>
      </c>
      <c r="BE1" t="e">
        <f>AVERAGE(Table13[Feedback - RESISTANCE  : Les personnes impactées par ce changement démontrent l''engagement nécessaire pour réussir sa mise en place])</f>
        <v>#DIV/0!</v>
      </c>
      <c r="BF1" t="e">
        <f>AVERAGE(Table13[Points - RESISTANCE  : Les personnes impactées par ce changement démontrent l''engagement nécessaire pour réussir sa mise en place])</f>
        <v>#DIV/0!</v>
      </c>
      <c r="BG1" t="e">
        <f>AVERAGE(Table13[Si la réponse comporte moins de 2 étoiles OUI, merci de préciser votre réponse dans le champs ci-dessous :9])</f>
        <v>#DIV/0!</v>
      </c>
      <c r="BH1" t="e">
        <f>AVERAGE(Table13[Feedback - Si la réponse comporte moins de 2 étoiles OUI, merci de préciser votre réponse dans le champs ci-dessous :9])</f>
        <v>#DIV/0!</v>
      </c>
      <c r="BI1" t="e">
        <f>AVERAGE(Table13[Points - Si la réponse comporte moins de 2 étoiles OUI, merci de préciser votre réponse dans le champs ci-dessous :9])</f>
        <v>#DIV/0!</v>
      </c>
      <c r="BJ1">
        <f>AVERAGE(Table13[SYNERGIE : Nos efforts de collaboration pour ce projet nous font gagner du temps plus qu’il n’en coute])</f>
        <v>4.4285714285714288</v>
      </c>
      <c r="BK1" t="e">
        <f>AVERAGE(Table13[Feedback - SYNERGIE : Nos efforts de collaboration pour ce projet nous font gagner du temps plus qu’il n’en coute])</f>
        <v>#DIV/0!</v>
      </c>
      <c r="BL1" t="e">
        <f>AVERAGE(Table13[Points - SYNERGIE : Nos efforts de collaboration pour ce projet nous font gagner du temps plus qu’il n’en coute])</f>
        <v>#DIV/0!</v>
      </c>
      <c r="BM1" t="e">
        <f>AVERAGE(Table13[Si la réponse comporte moins de 2 étoiles OUI, merci de préciser votre réponse dans le champs ci-dessous :10])</f>
        <v>#DIV/0!</v>
      </c>
      <c r="BN1" t="e">
        <f>AVERAGE(Table13[Feedback - Si la réponse comporte moins de 2 étoiles OUI, merci de préciser votre réponse dans le champs ci-dessous :10])</f>
        <v>#DIV/0!</v>
      </c>
      <c r="BO1" t="e">
        <f>AVERAGE(Table13[Points - Si la réponse comporte moins de 2 étoiles OUI, merci de préciser votre réponse dans le champs ci-dessous :10])</f>
        <v>#DIV/0!</v>
      </c>
      <c r="BP1">
        <f>AVERAGE(Table13[PARTENARIAT : Nos interactions avec des partenaires externes sont suffisantes pour supporter ce changement])</f>
        <v>4.5714285714285712</v>
      </c>
      <c r="BQ1" t="e">
        <f>AVERAGE(Table13[Feedback - PARTENARIAT : Nos interactions avec des partenaires externes sont suffisantes pour supporter ce changement])</f>
        <v>#DIV/0!</v>
      </c>
      <c r="BR1" t="e">
        <f>AVERAGE(Table13[Points - PARTENARIAT : Nos interactions avec des partenaires externes sont suffisantes pour supporter ce changement])</f>
        <v>#DIV/0!</v>
      </c>
      <c r="BS1" t="e">
        <f>AVERAGE(Table13[Si la réponse comporte moins de 2 étoiles OUI, merci de préciser votre réponse dans le champs ci-dessous :11])</f>
        <v>#DIV/0!</v>
      </c>
      <c r="BT1" t="e">
        <f>AVERAGE(Table13[Feedback - Si la réponse comporte moins de 2 étoiles OUI, merci de préciser votre réponse dans le champs ci-dessous :11])</f>
        <v>#DIV/0!</v>
      </c>
      <c r="BU1" t="e">
        <f>AVERAGE(Table13[Points - Si la réponse comporte moins de 2 étoiles OUI, merci de préciser votre réponse dans le champs ci-dessous :11])</f>
        <v>#DIV/0!</v>
      </c>
      <c r="BV1">
        <f>AVERAGE(Table13[SUPERVISION : Les instances de pilotage permettent de prendre des décisions rapides et efficaces])</f>
        <v>4.8571428571428568</v>
      </c>
      <c r="BW1" t="e">
        <f>AVERAGE(Table13[Points - SUPERVISION : Les instances de pilotage permettent de prendre des décisions rapides et efficaces])</f>
        <v>#DIV/0!</v>
      </c>
      <c r="BX1" t="e">
        <f>AVERAGE(Table13[Feedback - SUPERVISION : Les instances de pilotage permettent de prendre des décisions rapides et efficaces])</f>
        <v>#DIV/0!</v>
      </c>
      <c r="BY1" t="e">
        <f>AVERAGE(Table13[Si la réponse comporte moins de 2 étoiles OUI, merci de préciser votre réponse dans le champs ci-dessous :12])</f>
        <v>#DIV/0!</v>
      </c>
      <c r="BZ1" t="e">
        <f>AVERAGE(Table13[Points - Si la réponse comporte moins de 2 étoiles OUI, merci de préciser votre réponse dans le champs ci-dessous :12])</f>
        <v>#DIV/0!</v>
      </c>
      <c r="CA1" t="e">
        <f>AVERAGE(Table13[Feedback - Si la réponse comporte moins de 2 étoiles OUI, merci de préciser votre réponse dans le champs ci-dessous :12])</f>
        <v>#DIV/0!</v>
      </c>
      <c r="CB1">
        <f>AVERAGE(Table13[RESSOURCES : Les ressources sont suffisantes pour absorber ce changement])</f>
        <v>4.4285714285714288</v>
      </c>
      <c r="CC1" t="e">
        <f>AVERAGE(Table13[Points - RESSOURCES : Les ressources sont suffisantes pour absorber ce changement])</f>
        <v>#DIV/0!</v>
      </c>
      <c r="CD1" t="e">
        <f>AVERAGE(Table13[Feedback - RESSOURCES : Les ressources sont suffisantes pour absorber ce changement])</f>
        <v>#DIV/0!</v>
      </c>
      <c r="CE1" t="e">
        <f>AVERAGE(Table13[Si la réponse comporte moins de 2 étoiles OUI, merci de préciser votre réponse dans le champs ci-dessous :13])</f>
        <v>#DIV/0!</v>
      </c>
      <c r="CF1" t="e">
        <f>AVERAGE(Table13[Points - Si la réponse comporte moins de 2 étoiles OUI, merci de préciser votre réponse dans le champs ci-dessous :13])</f>
        <v>#DIV/0!</v>
      </c>
      <c r="CG1" t="e">
        <f>AVERAGE(Table13[Feedback - Si la réponse comporte moins de 2 étoiles OUI, merci de préciser votre réponse dans le champs ci-dessous :13])</f>
        <v>#DIV/0!</v>
      </c>
      <c r="CH1">
        <f>AVERAGE(Table13[PORTFOLIO : Les interactions de ce projet avec les autres initiatives sont gérées correctement])</f>
        <v>4.2857142857142856</v>
      </c>
      <c r="CI1" t="e">
        <f>AVERAGE(Table13[Points - PORTFOLIO : Les interactions de ce projet avec les autres initiatives sont gérées correctement])</f>
        <v>#DIV/0!</v>
      </c>
      <c r="CJ1" t="e">
        <f>AVERAGE(Table13[Feedback - PORTFOLIO : Les interactions de ce projet avec les autres initiatives sont gérées correctement])</f>
        <v>#DIV/0!</v>
      </c>
      <c r="CK1" t="e">
        <f>AVERAGE(Table13[Si la réponse comporte moins de 2 étoiles OUI, merci de préciser votre réponse dans le champs ci-dessous :14])</f>
        <v>#DIV/0!</v>
      </c>
      <c r="CL1" t="e">
        <f>AVERAGE(Table13[Points - Si la réponse comporte moins de 2 étoiles OUI, merci de préciser votre réponse dans le champs ci-dessous :14])</f>
        <v>#DIV/0!</v>
      </c>
      <c r="CM1" t="e">
        <f>AVERAGE(Table13[Feedback - Si la réponse comporte moins de 2 étoiles OUI, merci de préciser votre réponse dans le champs ci-dessous :14])</f>
        <v>#DIV/0!</v>
      </c>
      <c r="CN1">
        <f>AVERAGE(Table13[CHEMIN CRITIQUE : Les délais et ressources à travers de ce projet sont gérés efficacement])</f>
        <v>4.5714285714285712</v>
      </c>
      <c r="CO1" t="e">
        <f>AVERAGE(Table13[Points - CHEMIN CRITIQUE : Les délais et ressources à travers de ce projet sont gérés efficacement])</f>
        <v>#DIV/0!</v>
      </c>
      <c r="CP1" t="e">
        <f>AVERAGE(Table13[Feedback - CHEMIN CRITIQUE : Les délais et ressources à travers de ce projet sont gérés efficacement])</f>
        <v>#DIV/0!</v>
      </c>
      <c r="CQ1" t="e">
        <f>AVERAGE(Table13[Si la réponse comporte moins de 2 étoiles OUI, merci de préciser votre réponse dans le champs ci-dessous :15])</f>
        <v>#DIV/0!</v>
      </c>
      <c r="CR1" t="e">
        <f>AVERAGE(Table13[Points - Si la réponse comporte moins de 2 étoiles OUI, merci de préciser votre réponse dans le champs ci-dessous :15])</f>
        <v>#DIV/0!</v>
      </c>
      <c r="CS1" t="e">
        <f>AVERAGE(Table13[Feedback - Si la réponse comporte moins de 2 étoiles OUI, merci de préciser votre réponse dans le champs ci-dessous :15])</f>
        <v>#DIV/0!</v>
      </c>
    </row>
    <row r="2" spans="1:97" x14ac:dyDescent="0.25">
      <c r="A2">
        <f>MIN(Table13[ID])</f>
        <v>1</v>
      </c>
      <c r="B2">
        <f>MIN(Table13[Heure de début])</f>
        <v>44900.356354166703</v>
      </c>
      <c r="C2">
        <f>MIN(Table13[Heure de fin])</f>
        <v>44900.358483796299</v>
      </c>
      <c r="D2">
        <f>MIN(Table13[Adresse de messagerie])</f>
        <v>0</v>
      </c>
      <c r="E2">
        <f>MIN(Table13[Nom])</f>
        <v>0</v>
      </c>
      <c r="F2">
        <f>MIN(Table13[Total points])</f>
        <v>0</v>
      </c>
      <c r="G2">
        <f>MIN(Table13[Quiz feedback])</f>
        <v>0</v>
      </c>
      <c r="H2">
        <f>MIN(Table13[CLARTE : J''ai une vision claire de l’objectif final du programme])</f>
        <v>5</v>
      </c>
      <c r="I2">
        <f>MIN(Table13[Points - CLARTE : J''ai une vision claire de l’objectif final du programme])</f>
        <v>0</v>
      </c>
      <c r="J2">
        <f>MIN(Table13[Feedback - CLARTE : J''ai une vision claire de l’objectif final du programme])</f>
        <v>0</v>
      </c>
      <c r="K2">
        <f>MIN(Table13[Si la réponse comporte moins de 2 étoiles OUI, merci de préciser votre réponse dans le champs ci-dessous :])</f>
        <v>0</v>
      </c>
      <c r="L2">
        <f>MIN(Table13[Points - Si la réponse comporte moins de 2 étoiles OUI, merci de préciser votre réponse dans le champs ci-dessous :])</f>
        <v>0</v>
      </c>
      <c r="M2">
        <f>MIN(Table13[Feedback - Si la réponse comporte moins de 2 étoiles OUI, merci de préciser votre réponse dans le champs ci-dessous :])</f>
        <v>0</v>
      </c>
      <c r="N2">
        <f>MIN(Table13[ALIGNEMENT : Je suis aligné sur l’objectif final du programme])</f>
        <v>5</v>
      </c>
      <c r="O2">
        <f>MIN(Table13[Points - ALIGNEMENT : Je suis aligné sur l’objectif final du programme])</f>
        <v>0</v>
      </c>
      <c r="P2">
        <f>MIN(Table13[Feedback - ALIGNEMENT : Je suis aligné sur l’objectif final du programme])</f>
        <v>0</v>
      </c>
      <c r="Q2">
        <f>MIN(Table13[Si la réponse comporte moins de 2 étoiles OUI, merci de préciser votre réponse dans le champs ci-dessous :2])</f>
        <v>0</v>
      </c>
      <c r="R2">
        <f>MIN(Table13[Points - Si la réponse comporte moins de 2 étoiles OUI, merci de préciser votre réponse dans le champs ci-dessous :2])</f>
        <v>0</v>
      </c>
      <c r="S2">
        <f>MIN(Table13[Feedback - Si la réponse comporte moins de 2 étoiles OUI, merci de préciser votre réponse dans le champs ci-dessous :2])</f>
        <v>0</v>
      </c>
      <c r="T2">
        <f>MIN(Table13[ENGAGEMENT  : Je supporte l’objectif du programme])</f>
        <v>5</v>
      </c>
      <c r="U2">
        <f>MIN(Table13[Points - ENGAGEMENT  : Je supporte l’objectif du programme])</f>
        <v>0</v>
      </c>
      <c r="V2">
        <f>MIN(Table13[Feedback - ENGAGEMENT  : Je supporte l’objectif du programme])</f>
        <v>0</v>
      </c>
      <c r="W2">
        <f>MIN(Table13[Si la réponse comporte moins de 2 étoiles OUI, merci de préciser votre réponse dans le champs ci-dessous :3])</f>
        <v>0</v>
      </c>
      <c r="X2">
        <f>MIN(Table13[Points - Si la réponse comporte moins de 2 étoiles OUI, merci de préciser votre réponse dans le champs ci-dessous :3])</f>
        <v>0</v>
      </c>
      <c r="Y2">
        <f>MIN(Table13[Feedback - Si la réponse comporte moins de 2 étoiles OUI, merci de préciser votre réponse dans le champs ci-dessous :3])</f>
        <v>0</v>
      </c>
      <c r="Z2">
        <f>MIN(Table13[SOLUTION  : L’approche pour atteindre l’objectif du programme est solide])</f>
        <v>4</v>
      </c>
      <c r="AA2">
        <f>MIN(Table13[Points - SOLUTION  : L’approche pour atteindre l’objectif du programme est solide])</f>
        <v>0</v>
      </c>
      <c r="AB2">
        <f>MIN(Table13[Feedback - SOLUTION  : L’approche pour atteindre l’objectif du programme est solide])</f>
        <v>0</v>
      </c>
      <c r="AC2">
        <f>MIN(Table13[Si la réponse comporte moins de 2 étoiles OUI, merci de préciser votre réponse dans le champs ci-dessous :4])</f>
        <v>0</v>
      </c>
      <c r="AD2">
        <f>MIN(Table13[Points - Si la réponse comporte moins de 2 étoiles OUI, merci de préciser votre réponse dans le champs ci-dessous :4])</f>
        <v>0</v>
      </c>
      <c r="AE2">
        <f>MIN(Table13[Feedback - Si la réponse comporte moins de 2 étoiles OUI, merci de préciser votre réponse dans le champs ci-dessous :4])</f>
        <v>0</v>
      </c>
      <c r="AF2">
        <f>MIN(Table13[INTEGRITE : Les objectifs initiaux du programme restent les mêmes])</f>
        <v>5</v>
      </c>
      <c r="AG2">
        <f>MIN(Table13[Points - INTEGRITE : Les objectifs initiaux du programme restent les mêmes])</f>
        <v>0</v>
      </c>
      <c r="AH2">
        <f>MIN(Table13[Feedback - INTEGRITE : Les objectifs initiaux du programme restent les mêmes])</f>
        <v>0</v>
      </c>
      <c r="AI2">
        <f>MIN(Table13[Si la réponse comporte moins de 2 étoiles OUI, merci de préciser votre réponse dans le champs ci-dessous :5])</f>
        <v>0</v>
      </c>
      <c r="AJ2">
        <f>MIN(Table13[Points - Si la réponse comporte moins de 2 étoiles OUI, merci de préciser votre réponse dans le champs ci-dessous :5])</f>
        <v>0</v>
      </c>
      <c r="AK2">
        <f>MIN(Table13[Feedback - Si la réponse comporte moins de 2 étoiles OUI, merci de préciser votre réponse dans le champs ci-dessous :5])</f>
        <v>0</v>
      </c>
      <c r="AL2">
        <f>MIN(Table13[SPONSORSHIP  : Les leaders fournissent le niveau de sponsorship suffisant pour supporter le programme])</f>
        <v>3</v>
      </c>
      <c r="AM2">
        <f>MIN(Table13[Points - SPONSORSHIP  : Les leaders fournissent le niveau de sponsorship suffisant pour supporter le programme])</f>
        <v>0</v>
      </c>
      <c r="AN2">
        <f>MIN(Table13[Feedback - SPONSORSHIP  : Les leaders fournissent le niveau de sponsorship suffisant pour supporter le programme])</f>
        <v>0</v>
      </c>
      <c r="AO2">
        <f>MIN(Table13[Si la réponse comporte moins de 2 étoiles OUI, merci de préciser votre réponse dans le champs ci-dessous :6])</f>
        <v>0</v>
      </c>
      <c r="AP2">
        <f>MIN(Table13[Points - Si la réponse comporte moins de 2 étoiles OUI, merci de préciser votre réponse dans le champs ci-dessous :6])</f>
        <v>0</v>
      </c>
      <c r="AQ2">
        <f>MIN(Table13[Feedback - Si la réponse comporte moins de 2 étoiles OUI, merci de préciser votre réponse dans le champs ci-dessous :6])</f>
        <v>0</v>
      </c>
      <c r="AR2">
        <f>MIN(Table13[CAPACITE : Ce changement entraine une charge de travail que nous pouvons absorber sur le site])</f>
        <v>4</v>
      </c>
      <c r="AS2">
        <f>MIN(Table13[Points - CAPACITE : Ce changement entraine une charge de travail que nous pouvons absorber sur le site])</f>
        <v>0</v>
      </c>
      <c r="AT2">
        <f>MIN(Table13[Feedback - CAPACITE : Ce changement entraine une charge de travail que nous pouvons absorber sur le site])</f>
        <v>0</v>
      </c>
      <c r="AU2">
        <f>MIN(Table13[Si la réponse comporte moins de 2 étoiles OUI, merci de préciser votre réponse dans le champs ci-dessous :7])</f>
        <v>0</v>
      </c>
      <c r="AV2">
        <f>MIN(Table13[Points - Si la réponse comporte moins de 2 étoiles OUI, merci de préciser votre réponse dans le champs ci-dessous :7])</f>
        <v>0</v>
      </c>
      <c r="AW2">
        <f>MIN(Table13[Feedback - Si la réponse comporte moins de 2 étoiles OUI, merci de préciser votre réponse dans le champs ci-dessous :7])</f>
        <v>0</v>
      </c>
      <c r="AX2">
        <f>MIN(Table13[CULTURE  : Nous avons la culture appropriée pour absorber ce changement])</f>
        <v>2</v>
      </c>
      <c r="AY2">
        <f>MIN(Table13[Points - CULTURE  : Nous avons la culture appropriée pour absorber ce changement])</f>
        <v>0</v>
      </c>
      <c r="AZ2">
        <f>MIN(Table13[Feedback - CULTURE  : Nous avons la culture appropriée pour absorber ce changement])</f>
        <v>0</v>
      </c>
      <c r="BA2">
        <f>MIN(Table13[Si la réponse comporte moins de 2 étoiles OUI, merci de préciser votre réponse dans le champs ci-dessous :8])</f>
        <v>0</v>
      </c>
      <c r="BB2">
        <f>MIN(Table13[Feedback - Si la réponse comporte moins de 2 étoiles OUI, merci de préciser votre réponse dans le champs ci-dessous :8])</f>
        <v>0</v>
      </c>
      <c r="BC2">
        <f>MIN(Table13[Points - Si la réponse comporte moins de 2 étoiles OUI, merci de préciser votre réponse dans le champs ci-dessous :8])</f>
        <v>0</v>
      </c>
      <c r="BD2">
        <f>MIN(Table13[RESISTANCE  : Les personnes impactées par ce changement démontrent l''engagement nécessaire pour réussir sa mise en place])</f>
        <v>4</v>
      </c>
      <c r="BE2">
        <f>MIN(Table13[Feedback - RESISTANCE  : Les personnes impactées par ce changement démontrent l''engagement nécessaire pour réussir sa mise en place])</f>
        <v>0</v>
      </c>
      <c r="BF2">
        <f>MIN(Table13[Points - RESISTANCE  : Les personnes impactées par ce changement démontrent l''engagement nécessaire pour réussir sa mise en place])</f>
        <v>0</v>
      </c>
      <c r="BG2">
        <f>MIN(Table13[Si la réponse comporte moins de 2 étoiles OUI, merci de préciser votre réponse dans le champs ci-dessous :9])</f>
        <v>0</v>
      </c>
      <c r="BH2">
        <f>MIN(Table13[Feedback - Si la réponse comporte moins de 2 étoiles OUI, merci de préciser votre réponse dans le champs ci-dessous :9])</f>
        <v>0</v>
      </c>
      <c r="BI2">
        <f>MIN(Table13[Points - Si la réponse comporte moins de 2 étoiles OUI, merci de préciser votre réponse dans le champs ci-dessous :9])</f>
        <v>0</v>
      </c>
      <c r="BJ2">
        <f>MIN(Table13[SYNERGIE : Nos efforts de collaboration pour ce projet nous font gagner du temps plus qu’il n’en coute])</f>
        <v>4</v>
      </c>
      <c r="BK2">
        <f>MIN(Table13[Feedback - SYNERGIE : Nos efforts de collaboration pour ce projet nous font gagner du temps plus qu’il n’en coute])</f>
        <v>0</v>
      </c>
      <c r="BL2">
        <f>MIN(Table13[Points - SYNERGIE : Nos efforts de collaboration pour ce projet nous font gagner du temps plus qu’il n’en coute])</f>
        <v>0</v>
      </c>
      <c r="BM2">
        <f>MIN(Table13[Si la réponse comporte moins de 2 étoiles OUI, merci de préciser votre réponse dans le champs ci-dessous :10])</f>
        <v>0</v>
      </c>
      <c r="BN2">
        <f>MIN(Table13[Feedback - Si la réponse comporte moins de 2 étoiles OUI, merci de préciser votre réponse dans le champs ci-dessous :10])</f>
        <v>0</v>
      </c>
      <c r="BO2">
        <f>MIN(Table13[Points - Si la réponse comporte moins de 2 étoiles OUI, merci de préciser votre réponse dans le champs ci-dessous :10])</f>
        <v>0</v>
      </c>
      <c r="BP2">
        <f>MIN(Table13[PARTENARIAT : Nos interactions avec des partenaires externes sont suffisantes pour supporter ce changement])</f>
        <v>4</v>
      </c>
      <c r="BQ2">
        <f>MIN(Table13[Feedback - PARTENARIAT : Nos interactions avec des partenaires externes sont suffisantes pour supporter ce changement])</f>
        <v>0</v>
      </c>
      <c r="BR2">
        <f>MIN(Table13[Points - PARTENARIAT : Nos interactions avec des partenaires externes sont suffisantes pour supporter ce changement])</f>
        <v>0</v>
      </c>
      <c r="BS2">
        <f>MIN(Table13[Si la réponse comporte moins de 2 étoiles OUI, merci de préciser votre réponse dans le champs ci-dessous :11])</f>
        <v>0</v>
      </c>
      <c r="BT2">
        <f>MIN(Table13[Feedback - Si la réponse comporte moins de 2 étoiles OUI, merci de préciser votre réponse dans le champs ci-dessous :11])</f>
        <v>0</v>
      </c>
      <c r="BU2">
        <f>MIN(Table13[Points - Si la réponse comporte moins de 2 étoiles OUI, merci de préciser votre réponse dans le champs ci-dessous :11])</f>
        <v>0</v>
      </c>
      <c r="BV2">
        <f>MIN(Table13[SUPERVISION : Les instances de pilotage permettent de prendre des décisions rapides et efficaces])</f>
        <v>4</v>
      </c>
      <c r="BW2">
        <f>MIN(Table13[Points - SUPERVISION : Les instances de pilotage permettent de prendre des décisions rapides et efficaces])</f>
        <v>0</v>
      </c>
      <c r="BX2">
        <f>MIN(Table13[Feedback - SUPERVISION : Les instances de pilotage permettent de prendre des décisions rapides et efficaces])</f>
        <v>0</v>
      </c>
      <c r="BY2">
        <f>MIN(Table13[Si la réponse comporte moins de 2 étoiles OUI, merci de préciser votre réponse dans le champs ci-dessous :12])</f>
        <v>0</v>
      </c>
      <c r="BZ2">
        <f>MIN(Table13[Points - Si la réponse comporte moins de 2 étoiles OUI, merci de préciser votre réponse dans le champs ci-dessous :12])</f>
        <v>0</v>
      </c>
      <c r="CA2">
        <f>MIN(Table13[Feedback - Si la réponse comporte moins de 2 étoiles OUI, merci de préciser votre réponse dans le champs ci-dessous :12])</f>
        <v>0</v>
      </c>
      <c r="CB2">
        <f>MIN(Table13[RESSOURCES : Les ressources sont suffisantes pour absorber ce changement])</f>
        <v>3</v>
      </c>
      <c r="CC2">
        <f>MIN(Table13[Points - RESSOURCES : Les ressources sont suffisantes pour absorber ce changement])</f>
        <v>0</v>
      </c>
      <c r="CD2">
        <f>MIN(Table13[Feedback - RESSOURCES : Les ressources sont suffisantes pour absorber ce changement])</f>
        <v>0</v>
      </c>
      <c r="CE2">
        <f>MIN(Table13[Si la réponse comporte moins de 2 étoiles OUI, merci de préciser votre réponse dans le champs ci-dessous :13])</f>
        <v>0</v>
      </c>
      <c r="CF2">
        <f>MIN(Table13[Points - Si la réponse comporte moins de 2 étoiles OUI, merci de préciser votre réponse dans le champs ci-dessous :13])</f>
        <v>0</v>
      </c>
      <c r="CG2">
        <f>MIN(Table13[Feedback - Si la réponse comporte moins de 2 étoiles OUI, merci de préciser votre réponse dans le champs ci-dessous :13])</f>
        <v>0</v>
      </c>
      <c r="CH2">
        <f>MIN(Table13[PORTFOLIO : Les interactions de ce projet avec les autres initiatives sont gérées correctement])</f>
        <v>3</v>
      </c>
      <c r="CI2">
        <f>MIN(Table13[Points - PORTFOLIO : Les interactions de ce projet avec les autres initiatives sont gérées correctement])</f>
        <v>0</v>
      </c>
      <c r="CJ2">
        <f>MIN(Table13[Feedback - PORTFOLIO : Les interactions de ce projet avec les autres initiatives sont gérées correctement])</f>
        <v>0</v>
      </c>
      <c r="CK2">
        <f>MIN(Table13[Si la réponse comporte moins de 2 étoiles OUI, merci de préciser votre réponse dans le champs ci-dessous :14])</f>
        <v>0</v>
      </c>
      <c r="CL2">
        <f>MIN(Table13[Points - Si la réponse comporte moins de 2 étoiles OUI, merci de préciser votre réponse dans le champs ci-dessous :14])</f>
        <v>0</v>
      </c>
      <c r="CM2">
        <f>MIN(Table13[Feedback - Si la réponse comporte moins de 2 étoiles OUI, merci de préciser votre réponse dans le champs ci-dessous :14])</f>
        <v>0</v>
      </c>
      <c r="CN2">
        <f>MIN(Table13[CHEMIN CRITIQUE : Les délais et ressources à travers de ce projet sont gérés efficacement])</f>
        <v>4</v>
      </c>
      <c r="CO2">
        <f>MIN(Table13[Points - CHEMIN CRITIQUE : Les délais et ressources à travers de ce projet sont gérés efficacement])</f>
        <v>0</v>
      </c>
      <c r="CP2">
        <f>MIN(Table13[Feedback - CHEMIN CRITIQUE : Les délais et ressources à travers de ce projet sont gérés efficacement])</f>
        <v>0</v>
      </c>
      <c r="CQ2">
        <f>MIN(Table13[Si la réponse comporte moins de 2 étoiles OUI, merci de préciser votre réponse dans le champs ci-dessous :15])</f>
        <v>0</v>
      </c>
      <c r="CR2">
        <f>MIN(Table13[Points - Si la réponse comporte moins de 2 étoiles OUI, merci de préciser votre réponse dans le champs ci-dessous :15])</f>
        <v>0</v>
      </c>
      <c r="CS2">
        <f>MIN(Table13[Feedback - Si la réponse comporte moins de 2 étoiles OUI, merci de préciser votre réponse dans le champs ci-dessous :15])</f>
        <v>0</v>
      </c>
    </row>
    <row r="3" spans="1:97" x14ac:dyDescent="0.25">
      <c r="A3">
        <f>MAX(Table13[ID])</f>
        <v>7</v>
      </c>
      <c r="B3">
        <f>MAX(Table13[Heure de début])</f>
        <v>44903.491203703699</v>
      </c>
      <c r="C3">
        <f>MAX(Table13[Heure de fin])</f>
        <v>44903.491678240702</v>
      </c>
      <c r="D3">
        <f>MAX(Table13[Adresse de messagerie])</f>
        <v>0</v>
      </c>
      <c r="E3">
        <f>MAX(Table13[Nom])</f>
        <v>0</v>
      </c>
      <c r="F3">
        <f>MAX(Table13[Total points])</f>
        <v>0</v>
      </c>
      <c r="G3">
        <f>MAX(Table13[Quiz feedback])</f>
        <v>0</v>
      </c>
      <c r="H3">
        <f>MAX(Table13[CLARTE : J''ai une vision claire de l’objectif final du programme])</f>
        <v>5</v>
      </c>
      <c r="I3">
        <f>MAX(Table13[Points - CLARTE : J''ai une vision claire de l’objectif final du programme])</f>
        <v>0</v>
      </c>
      <c r="J3">
        <f>MAX(Table13[Feedback - CLARTE : J''ai une vision claire de l’objectif final du programme])</f>
        <v>0</v>
      </c>
      <c r="K3">
        <f>MAX(Table13[Si la réponse comporte moins de 2 étoiles OUI, merci de préciser votre réponse dans le champs ci-dessous :])</f>
        <v>0</v>
      </c>
      <c r="L3">
        <f>MAX(Table13[Points - Si la réponse comporte moins de 2 étoiles OUI, merci de préciser votre réponse dans le champs ci-dessous :])</f>
        <v>0</v>
      </c>
      <c r="M3">
        <f>MAX(Table13[Feedback - Si la réponse comporte moins de 2 étoiles OUI, merci de préciser votre réponse dans le champs ci-dessous :])</f>
        <v>0</v>
      </c>
      <c r="N3">
        <f>MAX(Table13[ALIGNEMENT : Je suis aligné sur l’objectif final du programme])</f>
        <v>5</v>
      </c>
      <c r="O3">
        <f>MAX(Table13[Points - ALIGNEMENT : Je suis aligné sur l’objectif final du programme])</f>
        <v>0</v>
      </c>
      <c r="P3">
        <f>MAX(Table13[Feedback - ALIGNEMENT : Je suis aligné sur l’objectif final du programme])</f>
        <v>0</v>
      </c>
      <c r="Q3">
        <f>MAX(Table13[Si la réponse comporte moins de 2 étoiles OUI, merci de préciser votre réponse dans le champs ci-dessous :2])</f>
        <v>0</v>
      </c>
      <c r="R3">
        <f>MAX(Table13[Points - Si la réponse comporte moins de 2 étoiles OUI, merci de préciser votre réponse dans le champs ci-dessous :2])</f>
        <v>0</v>
      </c>
      <c r="S3">
        <f>MAX(Table13[Feedback - Si la réponse comporte moins de 2 étoiles OUI, merci de préciser votre réponse dans le champs ci-dessous :2])</f>
        <v>0</v>
      </c>
      <c r="T3">
        <f>MAX(Table13[ENGAGEMENT  : Je supporte l’objectif du programme])</f>
        <v>5</v>
      </c>
      <c r="U3">
        <f>MAX(Table13[Points - ENGAGEMENT  : Je supporte l’objectif du programme])</f>
        <v>0</v>
      </c>
      <c r="V3">
        <f>MAX(Table13[Feedback - ENGAGEMENT  : Je supporte l’objectif du programme])</f>
        <v>0</v>
      </c>
      <c r="W3">
        <f>MAX(Table13[Si la réponse comporte moins de 2 étoiles OUI, merci de préciser votre réponse dans le champs ci-dessous :3])</f>
        <v>0</v>
      </c>
      <c r="X3">
        <f>MAX(Table13[Points - Si la réponse comporte moins de 2 étoiles OUI, merci de préciser votre réponse dans le champs ci-dessous :3])</f>
        <v>0</v>
      </c>
      <c r="Y3">
        <f>MAX(Table13[Feedback - Si la réponse comporte moins de 2 étoiles OUI, merci de préciser votre réponse dans le champs ci-dessous :3])</f>
        <v>0</v>
      </c>
      <c r="Z3">
        <f>MAX(Table13[SOLUTION  : L’approche pour atteindre l’objectif du programme est solide])</f>
        <v>5</v>
      </c>
      <c r="AA3">
        <f>MAX(Table13[Points - SOLUTION  : L’approche pour atteindre l’objectif du programme est solide])</f>
        <v>0</v>
      </c>
      <c r="AB3">
        <f>MAX(Table13[Feedback - SOLUTION  : L’approche pour atteindre l’objectif du programme est solide])</f>
        <v>0</v>
      </c>
      <c r="AC3">
        <f>MAX(Table13[Si la réponse comporte moins de 2 étoiles OUI, merci de préciser votre réponse dans le champs ci-dessous :4])</f>
        <v>0</v>
      </c>
      <c r="AD3">
        <f>MAX(Table13[Points - Si la réponse comporte moins de 2 étoiles OUI, merci de préciser votre réponse dans le champs ci-dessous :4])</f>
        <v>0</v>
      </c>
      <c r="AE3">
        <f>MAX(Table13[Feedback - Si la réponse comporte moins de 2 étoiles OUI, merci de préciser votre réponse dans le champs ci-dessous :4])</f>
        <v>0</v>
      </c>
      <c r="AF3">
        <f>MAX(Table13[INTEGRITE : Les objectifs initiaux du programme restent les mêmes])</f>
        <v>5</v>
      </c>
      <c r="AG3">
        <f>MAX(Table13[Points - INTEGRITE : Les objectifs initiaux du programme restent les mêmes])</f>
        <v>0</v>
      </c>
      <c r="AH3">
        <f>MAX(Table13[Feedback - INTEGRITE : Les objectifs initiaux du programme restent les mêmes])</f>
        <v>0</v>
      </c>
      <c r="AI3">
        <f>MAX(Table13[Si la réponse comporte moins de 2 étoiles OUI, merci de préciser votre réponse dans le champs ci-dessous :5])</f>
        <v>0</v>
      </c>
      <c r="AJ3">
        <f>MAX(Table13[Points - Si la réponse comporte moins de 2 étoiles OUI, merci de préciser votre réponse dans le champs ci-dessous :5])</f>
        <v>0</v>
      </c>
      <c r="AK3">
        <f>MAX(Table13[Feedback - Si la réponse comporte moins de 2 étoiles OUI, merci de préciser votre réponse dans le champs ci-dessous :5])</f>
        <v>0</v>
      </c>
      <c r="AL3">
        <f>MAX(Table13[SPONSORSHIP  : Les leaders fournissent le niveau de sponsorship suffisant pour supporter le programme])</f>
        <v>5</v>
      </c>
      <c r="AM3">
        <f>MAX(Table13[Points - SPONSORSHIP  : Les leaders fournissent le niveau de sponsorship suffisant pour supporter le programme])</f>
        <v>0</v>
      </c>
      <c r="AN3">
        <f>MAX(Table13[Feedback - SPONSORSHIP  : Les leaders fournissent le niveau de sponsorship suffisant pour supporter le programme])</f>
        <v>0</v>
      </c>
      <c r="AO3">
        <f>MAX(Table13[Si la réponse comporte moins de 2 étoiles OUI, merci de préciser votre réponse dans le champs ci-dessous :6])</f>
        <v>0</v>
      </c>
      <c r="AP3">
        <f>MAX(Table13[Points - Si la réponse comporte moins de 2 étoiles OUI, merci de préciser votre réponse dans le champs ci-dessous :6])</f>
        <v>0</v>
      </c>
      <c r="AQ3">
        <f>MAX(Table13[Feedback - Si la réponse comporte moins de 2 étoiles OUI, merci de préciser votre réponse dans le champs ci-dessous :6])</f>
        <v>0</v>
      </c>
      <c r="AR3">
        <f>MAX(Table13[CAPACITE : Ce changement entraine une charge de travail que nous pouvons absorber sur le site])</f>
        <v>5</v>
      </c>
      <c r="AS3">
        <f>MAX(Table13[Points - CAPACITE : Ce changement entraine une charge de travail que nous pouvons absorber sur le site])</f>
        <v>0</v>
      </c>
      <c r="AT3">
        <f>MAX(Table13[Feedback - CAPACITE : Ce changement entraine une charge de travail que nous pouvons absorber sur le site])</f>
        <v>0</v>
      </c>
      <c r="AU3">
        <f>MAX(Table13[Si la réponse comporte moins de 2 étoiles OUI, merci de préciser votre réponse dans le champs ci-dessous :7])</f>
        <v>0</v>
      </c>
      <c r="AV3">
        <f>MAX(Table13[Points - Si la réponse comporte moins de 2 étoiles OUI, merci de préciser votre réponse dans le champs ci-dessous :7])</f>
        <v>0</v>
      </c>
      <c r="AW3">
        <f>MAX(Table13[Feedback - Si la réponse comporte moins de 2 étoiles OUI, merci de préciser votre réponse dans le champs ci-dessous :7])</f>
        <v>0</v>
      </c>
      <c r="AX3">
        <f>MAX(Table13[CULTURE  : Nous avons la culture appropriée pour absorber ce changement])</f>
        <v>5</v>
      </c>
      <c r="AY3">
        <f>MAX(Table13[Points - CULTURE  : Nous avons la culture appropriée pour absorber ce changement])</f>
        <v>0</v>
      </c>
      <c r="AZ3">
        <f>MAX(Table13[Feedback - CULTURE  : Nous avons la culture appropriée pour absorber ce changement])</f>
        <v>0</v>
      </c>
      <c r="BA3">
        <f>MAX(Table13[Si la réponse comporte moins de 2 étoiles OUI, merci de préciser votre réponse dans le champs ci-dessous :8])</f>
        <v>0</v>
      </c>
      <c r="BB3">
        <f>MAX(Table13[Feedback - Si la réponse comporte moins de 2 étoiles OUI, merci de préciser votre réponse dans le champs ci-dessous :8])</f>
        <v>0</v>
      </c>
      <c r="BC3">
        <f>MAX(Table13[Points - Si la réponse comporte moins de 2 étoiles OUI, merci de préciser votre réponse dans le champs ci-dessous :8])</f>
        <v>0</v>
      </c>
      <c r="BD3">
        <f>MAX(Table13[RESISTANCE  : Les personnes impactées par ce changement démontrent l''engagement nécessaire pour réussir sa mise en place])</f>
        <v>5</v>
      </c>
      <c r="BE3">
        <f>MAX(Table13[Feedback - RESISTANCE  : Les personnes impactées par ce changement démontrent l''engagement nécessaire pour réussir sa mise en place])</f>
        <v>0</v>
      </c>
      <c r="BF3">
        <f>MAX(Table13[Points - RESISTANCE  : Les personnes impactées par ce changement démontrent l''engagement nécessaire pour réussir sa mise en place])</f>
        <v>0</v>
      </c>
      <c r="BG3">
        <f>MAX(Table13[Si la réponse comporte moins de 2 étoiles OUI, merci de préciser votre réponse dans le champs ci-dessous :9])</f>
        <v>0</v>
      </c>
      <c r="BH3">
        <f>MAX(Table13[Feedback - Si la réponse comporte moins de 2 étoiles OUI, merci de préciser votre réponse dans le champs ci-dessous :9])</f>
        <v>0</v>
      </c>
      <c r="BI3">
        <f>MAX(Table13[Points - Si la réponse comporte moins de 2 étoiles OUI, merci de préciser votre réponse dans le champs ci-dessous :9])</f>
        <v>0</v>
      </c>
      <c r="BJ3">
        <f>MAX(Table13[SYNERGIE : Nos efforts de collaboration pour ce projet nous font gagner du temps plus qu’il n’en coute])</f>
        <v>5</v>
      </c>
      <c r="BK3">
        <f>MAX(Table13[Feedback - SYNERGIE : Nos efforts de collaboration pour ce projet nous font gagner du temps plus qu’il n’en coute])</f>
        <v>0</v>
      </c>
      <c r="BL3">
        <f>MAX(Table13[Points - SYNERGIE : Nos efforts de collaboration pour ce projet nous font gagner du temps plus qu’il n’en coute])</f>
        <v>0</v>
      </c>
      <c r="BM3">
        <f>MAX(Table13[Si la réponse comporte moins de 2 étoiles OUI, merci de préciser votre réponse dans le champs ci-dessous :10])</f>
        <v>0</v>
      </c>
      <c r="BN3">
        <f>MAX(Table13[Feedback - Si la réponse comporte moins de 2 étoiles OUI, merci de préciser votre réponse dans le champs ci-dessous :10])</f>
        <v>0</v>
      </c>
      <c r="BO3">
        <f>MAX(Table13[Points - Si la réponse comporte moins de 2 étoiles OUI, merci de préciser votre réponse dans le champs ci-dessous :10])</f>
        <v>0</v>
      </c>
      <c r="BP3">
        <f>MAX(Table13[PARTENARIAT : Nos interactions avec des partenaires externes sont suffisantes pour supporter ce changement])</f>
        <v>5</v>
      </c>
      <c r="BQ3">
        <f>MAX(Table13[Feedback - PARTENARIAT : Nos interactions avec des partenaires externes sont suffisantes pour supporter ce changement])</f>
        <v>0</v>
      </c>
      <c r="BR3">
        <f>MAX(Table13[Points - PARTENARIAT : Nos interactions avec des partenaires externes sont suffisantes pour supporter ce changement])</f>
        <v>0</v>
      </c>
      <c r="BS3">
        <f>MAX(Table13[Si la réponse comporte moins de 2 étoiles OUI, merci de préciser votre réponse dans le champs ci-dessous :11])</f>
        <v>0</v>
      </c>
      <c r="BT3">
        <f>MAX(Table13[Feedback - Si la réponse comporte moins de 2 étoiles OUI, merci de préciser votre réponse dans le champs ci-dessous :11])</f>
        <v>0</v>
      </c>
      <c r="BU3">
        <f>MAX(Table13[Points - Si la réponse comporte moins de 2 étoiles OUI, merci de préciser votre réponse dans le champs ci-dessous :11])</f>
        <v>0</v>
      </c>
      <c r="BV3">
        <f>MAX(Table13[SUPERVISION : Les instances de pilotage permettent de prendre des décisions rapides et efficaces])</f>
        <v>5</v>
      </c>
      <c r="BW3">
        <f>MAX(Table13[Points - SUPERVISION : Les instances de pilotage permettent de prendre des décisions rapides et efficaces])</f>
        <v>0</v>
      </c>
      <c r="BX3">
        <f>MAX(Table13[Feedback - SUPERVISION : Les instances de pilotage permettent de prendre des décisions rapides et efficaces])</f>
        <v>0</v>
      </c>
      <c r="BY3">
        <f>MAX(Table13[Si la réponse comporte moins de 2 étoiles OUI, merci de préciser votre réponse dans le champs ci-dessous :12])</f>
        <v>0</v>
      </c>
      <c r="BZ3">
        <f>MAX(Table13[Points - Si la réponse comporte moins de 2 étoiles OUI, merci de préciser votre réponse dans le champs ci-dessous :12])</f>
        <v>0</v>
      </c>
      <c r="CA3">
        <f>MAX(Table13[Feedback - Si la réponse comporte moins de 2 étoiles OUI, merci de préciser votre réponse dans le champs ci-dessous :12])</f>
        <v>0</v>
      </c>
      <c r="CB3">
        <f>MAX(Table13[RESSOURCES : Les ressources sont suffisantes pour absorber ce changement])</f>
        <v>5</v>
      </c>
      <c r="CC3">
        <f>MAX(Table13[Points - RESSOURCES : Les ressources sont suffisantes pour absorber ce changement])</f>
        <v>0</v>
      </c>
      <c r="CD3">
        <f>MAX(Table13[Feedback - RESSOURCES : Les ressources sont suffisantes pour absorber ce changement])</f>
        <v>0</v>
      </c>
      <c r="CE3">
        <f>MAX(Table13[Si la réponse comporte moins de 2 étoiles OUI, merci de préciser votre réponse dans le champs ci-dessous :13])</f>
        <v>0</v>
      </c>
      <c r="CF3">
        <f>MAX(Table13[Points - Si la réponse comporte moins de 2 étoiles OUI, merci de préciser votre réponse dans le champs ci-dessous :13])</f>
        <v>0</v>
      </c>
      <c r="CG3">
        <f>MAX(Table13[Feedback - Si la réponse comporte moins de 2 étoiles OUI, merci de préciser votre réponse dans le champs ci-dessous :13])</f>
        <v>0</v>
      </c>
      <c r="CH3">
        <f>MAX(Table13[PORTFOLIO : Les interactions de ce projet avec les autres initiatives sont gérées correctement])</f>
        <v>5</v>
      </c>
      <c r="CI3">
        <f>MAX(Table13[Points - PORTFOLIO : Les interactions de ce projet avec les autres initiatives sont gérées correctement])</f>
        <v>0</v>
      </c>
      <c r="CJ3">
        <f>MAX(Table13[Feedback - PORTFOLIO : Les interactions de ce projet avec les autres initiatives sont gérées correctement])</f>
        <v>0</v>
      </c>
      <c r="CK3">
        <f>MAX(Table13[Si la réponse comporte moins de 2 étoiles OUI, merci de préciser votre réponse dans le champs ci-dessous :14])</f>
        <v>0</v>
      </c>
      <c r="CL3">
        <f>MAX(Table13[Points - Si la réponse comporte moins de 2 étoiles OUI, merci de préciser votre réponse dans le champs ci-dessous :14])</f>
        <v>0</v>
      </c>
      <c r="CM3">
        <f>MAX(Table13[Feedback - Si la réponse comporte moins de 2 étoiles OUI, merci de préciser votre réponse dans le champs ci-dessous :14])</f>
        <v>0</v>
      </c>
      <c r="CN3">
        <f>MAX(Table13[CHEMIN CRITIQUE : Les délais et ressources à travers de ce projet sont gérés efficacement])</f>
        <v>5</v>
      </c>
      <c r="CO3">
        <f>MAX(Table13[Points - CHEMIN CRITIQUE : Les délais et ressources à travers de ce projet sont gérés efficacement])</f>
        <v>0</v>
      </c>
      <c r="CP3">
        <f>MAX(Table13[Feedback - CHEMIN CRITIQUE : Les délais et ressources à travers de ce projet sont gérés efficacement])</f>
        <v>0</v>
      </c>
      <c r="CQ3">
        <f>MAX(Table13[Si la réponse comporte moins de 2 étoiles OUI, merci de préciser votre réponse dans le champs ci-dessous :15])</f>
        <v>0</v>
      </c>
      <c r="CR3">
        <f>MAX(Table13[Points - Si la réponse comporte moins de 2 étoiles OUI, merci de préciser votre réponse dans le champs ci-dessous :15])</f>
        <v>0</v>
      </c>
      <c r="CS3">
        <f>MAX(Table13[Feedback - Si la réponse comporte moins de 2 étoiles OUI, merci de préciser votre réponse dans le champs ci-dessous :15])</f>
        <v>0</v>
      </c>
    </row>
    <row r="4" spans="1:97" x14ac:dyDescent="0.25">
      <c r="A4">
        <f>COUNT(Table13[ID])</f>
        <v>7</v>
      </c>
      <c r="B4">
        <f>COUNT(Table13[Heure de début])</f>
        <v>7</v>
      </c>
      <c r="C4">
        <f>COUNT(Table13[Heure de fin])</f>
        <v>7</v>
      </c>
      <c r="D4">
        <f>COUNT(Table13[Adresse de messagerie])</f>
        <v>0</v>
      </c>
      <c r="E4">
        <f>COUNT(Table13[Nom])</f>
        <v>0</v>
      </c>
      <c r="F4">
        <f>COUNT(Table13[Total points])</f>
        <v>0</v>
      </c>
      <c r="G4">
        <f>COUNT(Table13[Quiz feedback])</f>
        <v>0</v>
      </c>
      <c r="H4">
        <f>COUNT(Table13[CLARTE : J''ai une vision claire de l’objectif final du programme])</f>
        <v>7</v>
      </c>
      <c r="I4">
        <f>COUNT(Table13[Points - CLARTE : J''ai une vision claire de l’objectif final du programme])</f>
        <v>0</v>
      </c>
      <c r="J4">
        <f>COUNT(Table13[Feedback - CLARTE : J''ai une vision claire de l’objectif final du programme])</f>
        <v>0</v>
      </c>
      <c r="K4">
        <f>COUNT(Table13[Si la réponse comporte moins de 2 étoiles OUI, merci de préciser votre réponse dans le champs ci-dessous :])</f>
        <v>0</v>
      </c>
      <c r="L4">
        <f>COUNT(Table13[Points - Si la réponse comporte moins de 2 étoiles OUI, merci de préciser votre réponse dans le champs ci-dessous :])</f>
        <v>0</v>
      </c>
      <c r="M4">
        <f>COUNT(Table13[Feedback - Si la réponse comporte moins de 2 étoiles OUI, merci de préciser votre réponse dans le champs ci-dessous :])</f>
        <v>0</v>
      </c>
      <c r="N4">
        <f>COUNT(Table13[ALIGNEMENT : Je suis aligné sur l’objectif final du programme])</f>
        <v>7</v>
      </c>
      <c r="O4">
        <f>COUNT(Table13[Points - ALIGNEMENT : Je suis aligné sur l’objectif final du programme])</f>
        <v>0</v>
      </c>
      <c r="P4">
        <f>COUNT(Table13[Feedback - ALIGNEMENT : Je suis aligné sur l’objectif final du programme])</f>
        <v>0</v>
      </c>
      <c r="Q4">
        <f>COUNT(Table13[Si la réponse comporte moins de 2 étoiles OUI, merci de préciser votre réponse dans le champs ci-dessous :2])</f>
        <v>0</v>
      </c>
      <c r="R4">
        <f>COUNT(Table13[Points - Si la réponse comporte moins de 2 étoiles OUI, merci de préciser votre réponse dans le champs ci-dessous :2])</f>
        <v>0</v>
      </c>
      <c r="S4">
        <f>COUNT(Table13[Feedback - Si la réponse comporte moins de 2 étoiles OUI, merci de préciser votre réponse dans le champs ci-dessous :2])</f>
        <v>0</v>
      </c>
      <c r="T4">
        <f>COUNT(Table13[ENGAGEMENT  : Je supporte l’objectif du programme])</f>
        <v>7</v>
      </c>
      <c r="U4">
        <f>COUNT(Table13[Points - ENGAGEMENT  : Je supporte l’objectif du programme])</f>
        <v>0</v>
      </c>
      <c r="V4">
        <f>COUNT(Table13[Feedback - ENGAGEMENT  : Je supporte l’objectif du programme])</f>
        <v>0</v>
      </c>
      <c r="W4">
        <f>COUNT(Table13[Si la réponse comporte moins de 2 étoiles OUI, merci de préciser votre réponse dans le champs ci-dessous :3])</f>
        <v>0</v>
      </c>
      <c r="X4">
        <f>COUNT(Table13[Points - Si la réponse comporte moins de 2 étoiles OUI, merci de préciser votre réponse dans le champs ci-dessous :3])</f>
        <v>0</v>
      </c>
      <c r="Y4">
        <f>COUNT(Table13[Feedback - Si la réponse comporte moins de 2 étoiles OUI, merci de préciser votre réponse dans le champs ci-dessous :3])</f>
        <v>0</v>
      </c>
      <c r="Z4">
        <f>COUNT(Table13[SOLUTION  : L’approche pour atteindre l’objectif du programme est solide])</f>
        <v>7</v>
      </c>
      <c r="AA4">
        <f>COUNT(Table13[Points - SOLUTION  : L’approche pour atteindre l’objectif du programme est solide])</f>
        <v>0</v>
      </c>
      <c r="AB4">
        <f>COUNT(Table13[Feedback - SOLUTION  : L’approche pour atteindre l’objectif du programme est solide])</f>
        <v>0</v>
      </c>
      <c r="AC4">
        <f>COUNT(Table13[Si la réponse comporte moins de 2 étoiles OUI, merci de préciser votre réponse dans le champs ci-dessous :4])</f>
        <v>0</v>
      </c>
      <c r="AD4">
        <f>COUNT(Table13[Points - Si la réponse comporte moins de 2 étoiles OUI, merci de préciser votre réponse dans le champs ci-dessous :4])</f>
        <v>0</v>
      </c>
      <c r="AE4">
        <f>COUNT(Table13[Feedback - Si la réponse comporte moins de 2 étoiles OUI, merci de préciser votre réponse dans le champs ci-dessous :4])</f>
        <v>0</v>
      </c>
      <c r="AF4">
        <f>COUNT(Table13[INTEGRITE : Les objectifs initiaux du programme restent les mêmes])</f>
        <v>7</v>
      </c>
      <c r="AG4">
        <f>COUNT(Table13[Points - INTEGRITE : Les objectifs initiaux du programme restent les mêmes])</f>
        <v>0</v>
      </c>
      <c r="AH4">
        <f>COUNT(Table13[Feedback - INTEGRITE : Les objectifs initiaux du programme restent les mêmes])</f>
        <v>0</v>
      </c>
      <c r="AI4">
        <f>COUNT(Table13[Si la réponse comporte moins de 2 étoiles OUI, merci de préciser votre réponse dans le champs ci-dessous :5])</f>
        <v>0</v>
      </c>
      <c r="AJ4">
        <f>COUNT(Table13[Points - Si la réponse comporte moins de 2 étoiles OUI, merci de préciser votre réponse dans le champs ci-dessous :5])</f>
        <v>0</v>
      </c>
      <c r="AK4">
        <f>COUNT(Table13[Feedback - Si la réponse comporte moins de 2 étoiles OUI, merci de préciser votre réponse dans le champs ci-dessous :5])</f>
        <v>0</v>
      </c>
      <c r="AL4">
        <f>COUNT(Table13[SPONSORSHIP  : Les leaders fournissent le niveau de sponsorship suffisant pour supporter le programme])</f>
        <v>7</v>
      </c>
      <c r="AM4">
        <f>COUNT(Table13[Points - SPONSORSHIP  : Les leaders fournissent le niveau de sponsorship suffisant pour supporter le programme])</f>
        <v>0</v>
      </c>
      <c r="AN4">
        <f>COUNT(Table13[Feedback - SPONSORSHIP  : Les leaders fournissent le niveau de sponsorship suffisant pour supporter le programme])</f>
        <v>0</v>
      </c>
      <c r="AO4">
        <f>COUNT(Table13[Si la réponse comporte moins de 2 étoiles OUI, merci de préciser votre réponse dans le champs ci-dessous :6])</f>
        <v>0</v>
      </c>
      <c r="AP4">
        <f>COUNT(Table13[Points - Si la réponse comporte moins de 2 étoiles OUI, merci de préciser votre réponse dans le champs ci-dessous :6])</f>
        <v>0</v>
      </c>
      <c r="AQ4">
        <f>COUNT(Table13[Feedback - Si la réponse comporte moins de 2 étoiles OUI, merci de préciser votre réponse dans le champs ci-dessous :6])</f>
        <v>0</v>
      </c>
      <c r="AR4">
        <f>COUNT(Table13[CAPACITE : Ce changement entraine une charge de travail que nous pouvons absorber sur le site])</f>
        <v>7</v>
      </c>
      <c r="AS4">
        <f>COUNT(Table13[Points - CAPACITE : Ce changement entraine une charge de travail que nous pouvons absorber sur le site])</f>
        <v>0</v>
      </c>
      <c r="AT4">
        <f>COUNT(Table13[Feedback - CAPACITE : Ce changement entraine une charge de travail que nous pouvons absorber sur le site])</f>
        <v>0</v>
      </c>
      <c r="AU4">
        <f>COUNT(Table13[Si la réponse comporte moins de 2 étoiles OUI, merci de préciser votre réponse dans le champs ci-dessous :7])</f>
        <v>0</v>
      </c>
      <c r="AV4">
        <f>COUNT(Table13[Points - Si la réponse comporte moins de 2 étoiles OUI, merci de préciser votre réponse dans le champs ci-dessous :7])</f>
        <v>0</v>
      </c>
      <c r="AW4">
        <f>COUNT(Table13[Feedback - Si la réponse comporte moins de 2 étoiles OUI, merci de préciser votre réponse dans le champs ci-dessous :7])</f>
        <v>0</v>
      </c>
      <c r="AX4">
        <f>COUNT(Table13[CULTURE  : Nous avons la culture appropriée pour absorber ce changement])</f>
        <v>7</v>
      </c>
      <c r="AY4">
        <f>COUNT(Table13[Points - CULTURE  : Nous avons la culture appropriée pour absorber ce changement])</f>
        <v>0</v>
      </c>
      <c r="AZ4">
        <f>COUNT(Table13[Feedback - CULTURE  : Nous avons la culture appropriée pour absorber ce changement])</f>
        <v>0</v>
      </c>
      <c r="BA4">
        <f>COUNT(Table13[Si la réponse comporte moins de 2 étoiles OUI, merci de préciser votre réponse dans le champs ci-dessous :8])</f>
        <v>0</v>
      </c>
      <c r="BB4">
        <f>COUNT(Table13[Feedback - Si la réponse comporte moins de 2 étoiles OUI, merci de préciser votre réponse dans le champs ci-dessous :8])</f>
        <v>0</v>
      </c>
      <c r="BC4">
        <f>COUNT(Table13[Points - Si la réponse comporte moins de 2 étoiles OUI, merci de préciser votre réponse dans le champs ci-dessous :8])</f>
        <v>0</v>
      </c>
      <c r="BD4">
        <f>COUNT(Table13[RESISTANCE  : Les personnes impactées par ce changement démontrent l''engagement nécessaire pour réussir sa mise en place])</f>
        <v>7</v>
      </c>
      <c r="BE4">
        <f>COUNT(Table13[Feedback - RESISTANCE  : Les personnes impactées par ce changement démontrent l''engagement nécessaire pour réussir sa mise en place])</f>
        <v>0</v>
      </c>
      <c r="BF4">
        <f>COUNT(Table13[Points - RESISTANCE  : Les personnes impactées par ce changement démontrent l''engagement nécessaire pour réussir sa mise en place])</f>
        <v>0</v>
      </c>
      <c r="BG4">
        <f>COUNT(Table13[Si la réponse comporte moins de 2 étoiles OUI, merci de préciser votre réponse dans le champs ci-dessous :9])</f>
        <v>0</v>
      </c>
      <c r="BH4">
        <f>COUNT(Table13[Feedback - Si la réponse comporte moins de 2 étoiles OUI, merci de préciser votre réponse dans le champs ci-dessous :9])</f>
        <v>0</v>
      </c>
      <c r="BI4">
        <f>COUNT(Table13[Points - Si la réponse comporte moins de 2 étoiles OUI, merci de préciser votre réponse dans le champs ci-dessous :9])</f>
        <v>0</v>
      </c>
      <c r="BJ4">
        <f>COUNT(Table13[SYNERGIE : Nos efforts de collaboration pour ce projet nous font gagner du temps plus qu’il n’en coute])</f>
        <v>7</v>
      </c>
      <c r="BK4">
        <f>COUNT(Table13[Feedback - SYNERGIE : Nos efforts de collaboration pour ce projet nous font gagner du temps plus qu’il n’en coute])</f>
        <v>0</v>
      </c>
      <c r="BL4">
        <f>COUNT(Table13[Points - SYNERGIE : Nos efforts de collaboration pour ce projet nous font gagner du temps plus qu’il n’en coute])</f>
        <v>0</v>
      </c>
      <c r="BM4">
        <f>COUNT(Table13[Si la réponse comporte moins de 2 étoiles OUI, merci de préciser votre réponse dans le champs ci-dessous :10])</f>
        <v>0</v>
      </c>
      <c r="BN4">
        <f>COUNT(Table13[Feedback - Si la réponse comporte moins de 2 étoiles OUI, merci de préciser votre réponse dans le champs ci-dessous :10])</f>
        <v>0</v>
      </c>
      <c r="BO4">
        <f>COUNT(Table13[Points - Si la réponse comporte moins de 2 étoiles OUI, merci de préciser votre réponse dans le champs ci-dessous :10])</f>
        <v>0</v>
      </c>
      <c r="BP4">
        <f>COUNT(Table13[PARTENARIAT : Nos interactions avec des partenaires externes sont suffisantes pour supporter ce changement])</f>
        <v>7</v>
      </c>
      <c r="BQ4">
        <f>COUNT(Table13[Feedback - PARTENARIAT : Nos interactions avec des partenaires externes sont suffisantes pour supporter ce changement])</f>
        <v>0</v>
      </c>
      <c r="BR4">
        <f>COUNT(Table13[Points - PARTENARIAT : Nos interactions avec des partenaires externes sont suffisantes pour supporter ce changement])</f>
        <v>0</v>
      </c>
      <c r="BS4">
        <f>COUNT(Table13[Si la réponse comporte moins de 2 étoiles OUI, merci de préciser votre réponse dans le champs ci-dessous :11])</f>
        <v>0</v>
      </c>
      <c r="BT4">
        <f>COUNT(Table13[Feedback - Si la réponse comporte moins de 2 étoiles OUI, merci de préciser votre réponse dans le champs ci-dessous :11])</f>
        <v>0</v>
      </c>
      <c r="BU4">
        <f>COUNT(Table13[Points - Si la réponse comporte moins de 2 étoiles OUI, merci de préciser votre réponse dans le champs ci-dessous :11])</f>
        <v>0</v>
      </c>
      <c r="BV4">
        <f>COUNT(Table13[SUPERVISION : Les instances de pilotage permettent de prendre des décisions rapides et efficaces])</f>
        <v>7</v>
      </c>
      <c r="BW4">
        <f>COUNT(Table13[Points - SUPERVISION : Les instances de pilotage permettent de prendre des décisions rapides et efficaces])</f>
        <v>0</v>
      </c>
      <c r="BX4">
        <f>COUNT(Table13[Feedback - SUPERVISION : Les instances de pilotage permettent de prendre des décisions rapides et efficaces])</f>
        <v>0</v>
      </c>
      <c r="BY4">
        <f>COUNT(Table13[Si la réponse comporte moins de 2 étoiles OUI, merci de préciser votre réponse dans le champs ci-dessous :12])</f>
        <v>0</v>
      </c>
      <c r="BZ4">
        <f>COUNT(Table13[Points - Si la réponse comporte moins de 2 étoiles OUI, merci de préciser votre réponse dans le champs ci-dessous :12])</f>
        <v>0</v>
      </c>
      <c r="CA4">
        <f>COUNT(Table13[Feedback - Si la réponse comporte moins de 2 étoiles OUI, merci de préciser votre réponse dans le champs ci-dessous :12])</f>
        <v>0</v>
      </c>
      <c r="CB4">
        <f>COUNT(Table13[RESSOURCES : Les ressources sont suffisantes pour absorber ce changement])</f>
        <v>7</v>
      </c>
      <c r="CC4">
        <f>COUNT(Table13[Points - RESSOURCES : Les ressources sont suffisantes pour absorber ce changement])</f>
        <v>0</v>
      </c>
      <c r="CD4">
        <f>COUNT(Table13[Feedback - RESSOURCES : Les ressources sont suffisantes pour absorber ce changement])</f>
        <v>0</v>
      </c>
      <c r="CE4">
        <f>COUNT(Table13[Si la réponse comporte moins de 2 étoiles OUI, merci de préciser votre réponse dans le champs ci-dessous :13])</f>
        <v>0</v>
      </c>
      <c r="CF4">
        <f>COUNT(Table13[Points - Si la réponse comporte moins de 2 étoiles OUI, merci de préciser votre réponse dans le champs ci-dessous :13])</f>
        <v>0</v>
      </c>
      <c r="CG4">
        <f>COUNT(Table13[Feedback - Si la réponse comporte moins de 2 étoiles OUI, merci de préciser votre réponse dans le champs ci-dessous :13])</f>
        <v>0</v>
      </c>
      <c r="CH4">
        <f>COUNT(Table13[PORTFOLIO : Les interactions de ce projet avec les autres initiatives sont gérées correctement])</f>
        <v>7</v>
      </c>
      <c r="CI4">
        <f>COUNT(Table13[Points - PORTFOLIO : Les interactions de ce projet avec les autres initiatives sont gérées correctement])</f>
        <v>0</v>
      </c>
      <c r="CJ4">
        <f>COUNT(Table13[Feedback - PORTFOLIO : Les interactions de ce projet avec les autres initiatives sont gérées correctement])</f>
        <v>0</v>
      </c>
      <c r="CK4">
        <f>COUNT(Table13[Si la réponse comporte moins de 2 étoiles OUI, merci de préciser votre réponse dans le champs ci-dessous :14])</f>
        <v>0</v>
      </c>
      <c r="CL4">
        <f>COUNT(Table13[Points - Si la réponse comporte moins de 2 étoiles OUI, merci de préciser votre réponse dans le champs ci-dessous :14])</f>
        <v>0</v>
      </c>
      <c r="CM4">
        <f>COUNT(Table13[Feedback - Si la réponse comporte moins de 2 étoiles OUI, merci de préciser votre réponse dans le champs ci-dessous :14])</f>
        <v>0</v>
      </c>
      <c r="CN4">
        <f>COUNT(Table13[CHEMIN CRITIQUE : Les délais et ressources à travers de ce projet sont gérés efficacement])</f>
        <v>7</v>
      </c>
      <c r="CO4">
        <f>COUNT(Table13[Points - CHEMIN CRITIQUE : Les délais et ressources à travers de ce projet sont gérés efficacement])</f>
        <v>0</v>
      </c>
      <c r="CP4">
        <f>COUNT(Table13[Feedback - CHEMIN CRITIQUE : Les délais et ressources à travers de ce projet sont gérés efficacement])</f>
        <v>0</v>
      </c>
      <c r="CQ4">
        <f>COUNT(Table13[Si la réponse comporte moins de 2 étoiles OUI, merci de préciser votre réponse dans le champs ci-dessous :15])</f>
        <v>0</v>
      </c>
      <c r="CR4">
        <f>COUNT(Table13[Points - Si la réponse comporte moins de 2 étoiles OUI, merci de préciser votre réponse dans le champs ci-dessous :15])</f>
        <v>0</v>
      </c>
      <c r="CS4">
        <f>COUNT(Table13[Feedback - Si la réponse comporte moins de 2 étoiles OUI, merci de préciser votre réponse dans le champs ci-dessous :15])</f>
        <v>0</v>
      </c>
    </row>
    <row r="5" spans="1:97" x14ac:dyDescent="0.25">
      <c r="A5" t="s">
        <v>0</v>
      </c>
      <c r="B5" t="s">
        <v>1</v>
      </c>
      <c r="C5" t="s">
        <v>2</v>
      </c>
      <c r="D5" t="s">
        <v>3</v>
      </c>
      <c r="E5" t="s">
        <v>4</v>
      </c>
      <c r="F5" t="s">
        <v>5</v>
      </c>
      <c r="G5" t="s">
        <v>6</v>
      </c>
      <c r="H5" t="s">
        <v>7</v>
      </c>
      <c r="I5" t="s">
        <v>8</v>
      </c>
      <c r="J5" t="s">
        <v>9</v>
      </c>
      <c r="K5" t="s">
        <v>10</v>
      </c>
      <c r="L5" t="s">
        <v>11</v>
      </c>
      <c r="M5" t="s">
        <v>12</v>
      </c>
      <c r="N5" t="s">
        <v>13</v>
      </c>
      <c r="O5" t="s">
        <v>14</v>
      </c>
      <c r="P5" t="s">
        <v>15</v>
      </c>
      <c r="Q5" t="s">
        <v>16</v>
      </c>
      <c r="R5" t="s">
        <v>17</v>
      </c>
      <c r="S5" t="s">
        <v>18</v>
      </c>
      <c r="T5" t="s">
        <v>19</v>
      </c>
      <c r="U5" t="s">
        <v>20</v>
      </c>
      <c r="V5" t="s">
        <v>21</v>
      </c>
      <c r="W5" t="s">
        <v>22</v>
      </c>
      <c r="X5" t="s">
        <v>23</v>
      </c>
      <c r="Y5" t="s">
        <v>24</v>
      </c>
      <c r="Z5" t="s">
        <v>25</v>
      </c>
      <c r="AA5" t="s">
        <v>26</v>
      </c>
      <c r="AB5" t="s">
        <v>27</v>
      </c>
      <c r="AC5" t="s">
        <v>28</v>
      </c>
      <c r="AD5" t="s">
        <v>29</v>
      </c>
      <c r="AE5" t="s">
        <v>30</v>
      </c>
      <c r="AF5" t="s">
        <v>31</v>
      </c>
      <c r="AG5" t="s">
        <v>32</v>
      </c>
      <c r="AH5" t="s">
        <v>33</v>
      </c>
      <c r="AI5" t="s">
        <v>34</v>
      </c>
      <c r="AJ5" t="s">
        <v>35</v>
      </c>
      <c r="AK5" t="s">
        <v>36</v>
      </c>
      <c r="AL5" t="s">
        <v>37</v>
      </c>
      <c r="AM5" t="s">
        <v>38</v>
      </c>
      <c r="AN5" t="s">
        <v>39</v>
      </c>
      <c r="AO5" t="s">
        <v>40</v>
      </c>
      <c r="AP5" t="s">
        <v>41</v>
      </c>
      <c r="AQ5" t="s">
        <v>42</v>
      </c>
      <c r="AR5" t="s">
        <v>43</v>
      </c>
      <c r="AS5" t="s">
        <v>44</v>
      </c>
      <c r="AT5" t="s">
        <v>45</v>
      </c>
      <c r="AU5" t="s">
        <v>46</v>
      </c>
      <c r="AV5" t="s">
        <v>47</v>
      </c>
      <c r="AW5" t="s">
        <v>48</v>
      </c>
      <c r="AX5" t="s">
        <v>49</v>
      </c>
      <c r="AY5" t="s">
        <v>50</v>
      </c>
      <c r="AZ5" t="s">
        <v>51</v>
      </c>
      <c r="BA5" t="s">
        <v>52</v>
      </c>
      <c r="BB5" t="s">
        <v>53</v>
      </c>
      <c r="BC5" t="s">
        <v>54</v>
      </c>
      <c r="BD5" t="s">
        <v>55</v>
      </c>
      <c r="BE5" t="s">
        <v>56</v>
      </c>
      <c r="BF5" t="s">
        <v>57</v>
      </c>
      <c r="BG5" t="s">
        <v>58</v>
      </c>
      <c r="BH5" t="s">
        <v>59</v>
      </c>
      <c r="BI5" t="s">
        <v>60</v>
      </c>
      <c r="BJ5" t="s">
        <v>61</v>
      </c>
      <c r="BK5" t="s">
        <v>62</v>
      </c>
      <c r="BL5" t="s">
        <v>63</v>
      </c>
      <c r="BM5" t="s">
        <v>64</v>
      </c>
      <c r="BN5" t="s">
        <v>65</v>
      </c>
      <c r="BO5" t="s">
        <v>66</v>
      </c>
      <c r="BP5" t="s">
        <v>67</v>
      </c>
      <c r="BQ5" t="s">
        <v>68</v>
      </c>
      <c r="BR5" t="s">
        <v>69</v>
      </c>
      <c r="BS5" t="s">
        <v>70</v>
      </c>
      <c r="BT5" t="s">
        <v>71</v>
      </c>
      <c r="BU5" t="s">
        <v>72</v>
      </c>
      <c r="BV5" t="s">
        <v>73</v>
      </c>
      <c r="BW5" t="s">
        <v>74</v>
      </c>
      <c r="BX5" t="s">
        <v>75</v>
      </c>
      <c r="BY5" t="s">
        <v>76</v>
      </c>
      <c r="BZ5" t="s">
        <v>77</v>
      </c>
      <c r="CA5" t="s">
        <v>78</v>
      </c>
      <c r="CB5" t="s">
        <v>79</v>
      </c>
      <c r="CC5" t="s">
        <v>80</v>
      </c>
      <c r="CD5" t="s">
        <v>81</v>
      </c>
      <c r="CE5" t="s">
        <v>82</v>
      </c>
      <c r="CF5" t="s">
        <v>83</v>
      </c>
      <c r="CG5" t="s">
        <v>84</v>
      </c>
      <c r="CH5" t="s">
        <v>85</v>
      </c>
      <c r="CI5" t="s">
        <v>86</v>
      </c>
      <c r="CJ5" t="s">
        <v>87</v>
      </c>
      <c r="CK5" t="s">
        <v>88</v>
      </c>
      <c r="CL5" t="s">
        <v>89</v>
      </c>
      <c r="CM5" t="s">
        <v>90</v>
      </c>
      <c r="CN5" t="s">
        <v>91</v>
      </c>
      <c r="CO5" t="s">
        <v>92</v>
      </c>
      <c r="CP5" t="s">
        <v>93</v>
      </c>
      <c r="CQ5" t="s">
        <v>94</v>
      </c>
      <c r="CR5" t="s">
        <v>95</v>
      </c>
      <c r="CS5" t="s">
        <v>96</v>
      </c>
    </row>
    <row r="6" spans="1:97" x14ac:dyDescent="0.25">
      <c r="A6">
        <v>1</v>
      </c>
      <c r="B6" s="1">
        <v>44900.356354166703</v>
      </c>
      <c r="C6" s="1">
        <v>44900.358483796299</v>
      </c>
      <c r="D6" t="s">
        <v>97</v>
      </c>
      <c r="H6">
        <v>5</v>
      </c>
      <c r="N6">
        <v>5</v>
      </c>
      <c r="T6">
        <v>5</v>
      </c>
      <c r="Z6">
        <v>4</v>
      </c>
      <c r="AC6" t="s">
        <v>145</v>
      </c>
      <c r="AF6">
        <v>5</v>
      </c>
      <c r="AL6">
        <v>5</v>
      </c>
      <c r="AR6">
        <v>4</v>
      </c>
      <c r="AX6">
        <v>3</v>
      </c>
      <c r="BD6">
        <v>4</v>
      </c>
      <c r="BJ6">
        <v>4</v>
      </c>
      <c r="BP6">
        <v>4</v>
      </c>
      <c r="BV6">
        <v>5</v>
      </c>
      <c r="CB6">
        <v>3</v>
      </c>
      <c r="CE6" t="s">
        <v>146</v>
      </c>
      <c r="CH6">
        <v>3</v>
      </c>
      <c r="CK6" t="s">
        <v>147</v>
      </c>
      <c r="CN6">
        <v>5</v>
      </c>
    </row>
    <row r="7" spans="1:97" x14ac:dyDescent="0.25">
      <c r="A7">
        <v>2</v>
      </c>
      <c r="B7" s="1">
        <v>44900.583425925899</v>
      </c>
      <c r="C7" s="1">
        <v>44900.709907407399</v>
      </c>
      <c r="D7" t="s">
        <v>97</v>
      </c>
      <c r="H7">
        <v>5</v>
      </c>
      <c r="N7">
        <v>5</v>
      </c>
      <c r="T7">
        <v>5</v>
      </c>
      <c r="Z7">
        <v>5</v>
      </c>
      <c r="AF7">
        <v>5</v>
      </c>
      <c r="AL7">
        <v>5</v>
      </c>
      <c r="AR7">
        <v>5</v>
      </c>
      <c r="AX7">
        <v>3</v>
      </c>
      <c r="BD7">
        <v>5</v>
      </c>
      <c r="BJ7">
        <v>4</v>
      </c>
      <c r="BP7">
        <v>4</v>
      </c>
      <c r="BV7">
        <v>5</v>
      </c>
      <c r="CB7">
        <v>5</v>
      </c>
      <c r="CH7">
        <v>5</v>
      </c>
      <c r="CN7">
        <v>4</v>
      </c>
    </row>
    <row r="8" spans="1:97" x14ac:dyDescent="0.25">
      <c r="A8">
        <v>3</v>
      </c>
      <c r="B8" s="1">
        <v>44900.749606481499</v>
      </c>
      <c r="C8" s="1">
        <v>44900.761874999997</v>
      </c>
      <c r="D8" t="s">
        <v>97</v>
      </c>
      <c r="H8">
        <v>5</v>
      </c>
      <c r="N8">
        <v>5</v>
      </c>
      <c r="T8">
        <v>5</v>
      </c>
      <c r="Z8">
        <v>5</v>
      </c>
      <c r="AF8">
        <v>5</v>
      </c>
      <c r="AL8">
        <v>5</v>
      </c>
      <c r="AR8">
        <v>4</v>
      </c>
      <c r="AX8">
        <v>3</v>
      </c>
      <c r="BD8">
        <v>5</v>
      </c>
      <c r="BJ8">
        <v>4</v>
      </c>
      <c r="BP8">
        <v>5</v>
      </c>
      <c r="BV8">
        <v>5</v>
      </c>
      <c r="CB8">
        <v>5</v>
      </c>
      <c r="CH8">
        <v>5</v>
      </c>
      <c r="CN8">
        <v>5</v>
      </c>
    </row>
    <row r="9" spans="1:97" x14ac:dyDescent="0.25">
      <c r="A9">
        <v>4</v>
      </c>
      <c r="B9" s="1">
        <v>44900.749108796299</v>
      </c>
      <c r="C9" s="1">
        <v>44900.762094907397</v>
      </c>
      <c r="D9" t="s">
        <v>97</v>
      </c>
      <c r="H9">
        <v>5</v>
      </c>
      <c r="N9">
        <v>5</v>
      </c>
      <c r="T9">
        <v>5</v>
      </c>
      <c r="Z9">
        <v>5</v>
      </c>
      <c r="AF9">
        <v>5</v>
      </c>
      <c r="AL9">
        <v>5</v>
      </c>
      <c r="AR9">
        <v>4</v>
      </c>
      <c r="AX9">
        <v>2</v>
      </c>
      <c r="BA9" t="s">
        <v>148</v>
      </c>
      <c r="BD9">
        <v>5</v>
      </c>
      <c r="BJ9">
        <v>5</v>
      </c>
      <c r="BP9">
        <v>5</v>
      </c>
      <c r="BV9">
        <v>5</v>
      </c>
      <c r="CB9">
        <v>3</v>
      </c>
      <c r="CH9">
        <v>3</v>
      </c>
      <c r="CN9">
        <v>4</v>
      </c>
    </row>
    <row r="10" spans="1:97" x14ac:dyDescent="0.25">
      <c r="A10">
        <v>5</v>
      </c>
      <c r="B10" s="1">
        <v>44902.385358796302</v>
      </c>
      <c r="C10" s="1">
        <v>44902.386400463001</v>
      </c>
      <c r="D10" t="s">
        <v>97</v>
      </c>
      <c r="H10">
        <v>5</v>
      </c>
      <c r="N10">
        <v>5</v>
      </c>
      <c r="T10">
        <v>5</v>
      </c>
      <c r="Z10">
        <v>5</v>
      </c>
      <c r="AF10">
        <v>5</v>
      </c>
      <c r="AL10">
        <v>5</v>
      </c>
      <c r="AR10">
        <v>5</v>
      </c>
      <c r="AX10">
        <v>5</v>
      </c>
      <c r="BD10">
        <v>5</v>
      </c>
      <c r="BJ10">
        <v>5</v>
      </c>
      <c r="BP10">
        <v>5</v>
      </c>
      <c r="BV10">
        <v>5</v>
      </c>
      <c r="CB10">
        <v>5</v>
      </c>
      <c r="CH10">
        <v>5</v>
      </c>
      <c r="CN10">
        <v>5</v>
      </c>
    </row>
    <row r="11" spans="1:97" x14ac:dyDescent="0.25">
      <c r="A11">
        <v>6</v>
      </c>
      <c r="B11" s="1">
        <v>44902.724525463003</v>
      </c>
      <c r="C11" s="1">
        <v>44902.735717592601</v>
      </c>
      <c r="D11" t="s">
        <v>97</v>
      </c>
      <c r="H11">
        <v>5</v>
      </c>
      <c r="N11">
        <v>5</v>
      </c>
      <c r="T11">
        <v>5</v>
      </c>
      <c r="Z11">
        <v>4</v>
      </c>
      <c r="AF11">
        <v>5</v>
      </c>
      <c r="AL11">
        <v>3</v>
      </c>
      <c r="AR11">
        <v>4</v>
      </c>
      <c r="AX11">
        <v>5</v>
      </c>
      <c r="BD11">
        <v>5</v>
      </c>
      <c r="BJ11">
        <v>4</v>
      </c>
      <c r="BP11">
        <v>4</v>
      </c>
      <c r="BV11">
        <v>4</v>
      </c>
      <c r="CB11">
        <v>5</v>
      </c>
      <c r="CH11">
        <v>4</v>
      </c>
      <c r="CN11">
        <v>4</v>
      </c>
    </row>
    <row r="12" spans="1:97" x14ac:dyDescent="0.25">
      <c r="A12">
        <v>7</v>
      </c>
      <c r="B12" s="1">
        <v>44903.491203703699</v>
      </c>
      <c r="C12" s="1">
        <v>44903.491678240702</v>
      </c>
      <c r="D12" t="s">
        <v>97</v>
      </c>
      <c r="H12">
        <v>5</v>
      </c>
      <c r="N12">
        <v>5</v>
      </c>
      <c r="T12">
        <v>5</v>
      </c>
      <c r="Z12">
        <v>5</v>
      </c>
      <c r="AF12">
        <v>5</v>
      </c>
      <c r="AL12">
        <v>5</v>
      </c>
      <c r="AR12">
        <v>5</v>
      </c>
      <c r="AX12">
        <v>5</v>
      </c>
      <c r="BD12">
        <v>5</v>
      </c>
      <c r="BJ12">
        <v>5</v>
      </c>
      <c r="BP12">
        <v>5</v>
      </c>
      <c r="BV12">
        <v>5</v>
      </c>
      <c r="CB12">
        <v>5</v>
      </c>
      <c r="CH12">
        <v>5</v>
      </c>
      <c r="CN12">
        <v>5</v>
      </c>
    </row>
  </sheetData>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CS32"/>
  <sheetViews>
    <sheetView workbookViewId="0">
      <selection sqref="A1:A4"/>
    </sheetView>
  </sheetViews>
  <sheetFormatPr defaultColWidth="9.140625" defaultRowHeight="15" x14ac:dyDescent="0.25"/>
  <cols>
    <col min="1" max="97" width="20" bestFit="1" customWidth="1"/>
  </cols>
  <sheetData>
    <row r="1" spans="1:97" x14ac:dyDescent="0.25">
      <c r="A1">
        <f>AVERAGE(Table1[ID])</f>
        <v>17</v>
      </c>
      <c r="B1">
        <f>AVERAGE(Table1[Heure de début])</f>
        <v>44901.104603909458</v>
      </c>
      <c r="C1">
        <f>AVERAGE(Table1[Heure de fin])</f>
        <v>44901.123888888898</v>
      </c>
      <c r="D1" t="e">
        <f>AVERAGE(Table1[Adresse de messagerie])</f>
        <v>#DIV/0!</v>
      </c>
      <c r="E1" t="e">
        <f>AVERAGE(Table1[Nom])</f>
        <v>#DIV/0!</v>
      </c>
      <c r="F1" t="e">
        <f>AVERAGE(Table1[Total points])</f>
        <v>#DIV/0!</v>
      </c>
      <c r="G1" t="e">
        <f>AVERAGE(Table1[Quiz feedback])</f>
        <v>#DIV/0!</v>
      </c>
      <c r="H1">
        <f>AVERAGE(Table1[CLARTE : J''ai une vision claire de l’objectif final du programme])</f>
        <v>4.2962962962962967</v>
      </c>
      <c r="I1" t="e">
        <f>AVERAGE(Table1[Points - CLARTE : J''ai une vision claire de l’objectif final du programme])</f>
        <v>#DIV/0!</v>
      </c>
      <c r="J1" t="e">
        <f>AVERAGE(Table1[Feedback - CLARTE : J''ai une vision claire de l’objectif final du programme])</f>
        <v>#DIV/0!</v>
      </c>
      <c r="K1" t="e">
        <f>AVERAGE(Table1[Si la réponse comporte moins de 2 étoiles OUI, merci de préciser votre réponse dans le champs ci-dessous :])</f>
        <v>#DIV/0!</v>
      </c>
      <c r="L1" t="e">
        <f>AVERAGE(Table1[Points - Si la réponse comporte moins de 2 étoiles OUI, merci de préciser votre réponse dans le champs ci-dessous :])</f>
        <v>#DIV/0!</v>
      </c>
      <c r="M1" t="e">
        <f>AVERAGE(Table1[Feedback - Si la réponse comporte moins de 2 étoiles OUI, merci de préciser votre réponse dans le champs ci-dessous :])</f>
        <v>#DIV/0!</v>
      </c>
      <c r="N1">
        <f>AVERAGE(Table1[ALIGNEMENT : Je suis aligné sur l’objectif final du programme])</f>
        <v>4.1111111111111107</v>
      </c>
      <c r="O1" t="e">
        <f>AVERAGE(Table1[Points - ALIGNEMENT : Je suis aligné sur l’objectif final du programme])</f>
        <v>#DIV/0!</v>
      </c>
      <c r="P1" t="e">
        <f>AVERAGE(Table1[Feedback - ALIGNEMENT : Je suis aligné sur l’objectif final du programme])</f>
        <v>#DIV/0!</v>
      </c>
      <c r="Q1" t="e">
        <f>AVERAGE(Table1[Si la réponse comporte moins de 2 étoiles OUI, merci de préciser votre réponse dans le champs ci-dessous :2])</f>
        <v>#DIV/0!</v>
      </c>
      <c r="R1" t="e">
        <f>AVERAGE(Table1[Points - Si la réponse comporte moins de 2 étoiles OUI, merci de préciser votre réponse dans le champs ci-dessous :2])</f>
        <v>#DIV/0!</v>
      </c>
      <c r="S1" t="e">
        <f>AVERAGE(Table1[Feedback - Si la réponse comporte moins de 2 étoiles OUI, merci de préciser votre réponse dans le champs ci-dessous :2])</f>
        <v>#DIV/0!</v>
      </c>
      <c r="T1">
        <f>AVERAGE(Table1[ENGAGEMENT  : Je supporte l’objectif du programme])</f>
        <v>4.5925925925925926</v>
      </c>
      <c r="U1" t="e">
        <f>AVERAGE(Table1[Points - ENGAGEMENT  : Je supporte l’objectif du programme])</f>
        <v>#DIV/0!</v>
      </c>
      <c r="V1" t="e">
        <f>AVERAGE(Table1[Feedback - ENGAGEMENT  : Je supporte l’objectif du programme])</f>
        <v>#DIV/0!</v>
      </c>
      <c r="W1" t="e">
        <f>AVERAGE(Table1[Si la réponse comporte moins de 2 étoiles OUI, merci de préciser votre réponse dans le champs ci-dessous :3])</f>
        <v>#DIV/0!</v>
      </c>
      <c r="X1" t="e">
        <f>AVERAGE(Table1[Points - Si la réponse comporte moins de 2 étoiles OUI, merci de préciser votre réponse dans le champs ci-dessous :3])</f>
        <v>#DIV/0!</v>
      </c>
      <c r="Y1" t="e">
        <f>AVERAGE(Table1[Feedback - Si la réponse comporte moins de 2 étoiles OUI, merci de préciser votre réponse dans le champs ci-dessous :3])</f>
        <v>#DIV/0!</v>
      </c>
      <c r="Z1">
        <f>AVERAGE(Table1[SOLUTION  : L’approche pour atteindre l’objectif du programme est solide])</f>
        <v>3.7037037037037037</v>
      </c>
      <c r="AA1" t="e">
        <f>AVERAGE(Table1[Points - SOLUTION  : L’approche pour atteindre l’objectif du programme est solide])</f>
        <v>#DIV/0!</v>
      </c>
      <c r="AB1" t="e">
        <f>AVERAGE(Table1[Feedback - SOLUTION  : L’approche pour atteindre l’objectif du programme est solide])</f>
        <v>#DIV/0!</v>
      </c>
      <c r="AC1" t="e">
        <f>AVERAGE(Table1[Si la réponse comporte moins de 2 étoiles OUI, merci de préciser votre réponse dans le champs ci-dessous :4])</f>
        <v>#DIV/0!</v>
      </c>
      <c r="AD1" t="e">
        <f>AVERAGE(Table1[Points - Si la réponse comporte moins de 2 étoiles OUI, merci de préciser votre réponse dans le champs ci-dessous :4])</f>
        <v>#DIV/0!</v>
      </c>
      <c r="AE1" t="e">
        <f>AVERAGE(Table1[Feedback - Si la réponse comporte moins de 2 étoiles OUI, merci de préciser votre réponse dans le champs ci-dessous :4])</f>
        <v>#DIV/0!</v>
      </c>
      <c r="AF1">
        <f>AVERAGE(Table1[INTEGRITE : Les objectifs initiaux du programme restent les mêmes])</f>
        <v>3.8518518518518516</v>
      </c>
      <c r="AG1" t="e">
        <f>AVERAGE(Table1[Points - INTEGRITE : Les objectifs initiaux du programme restent les mêmes])</f>
        <v>#DIV/0!</v>
      </c>
      <c r="AH1" t="e">
        <f>AVERAGE(Table1[Feedback - INTEGRITE : Les objectifs initiaux du programme restent les mêmes])</f>
        <v>#DIV/0!</v>
      </c>
      <c r="AI1" t="e">
        <f>AVERAGE(Table1[Si la réponse comporte moins de 2 étoiles OUI, merci de préciser votre réponse dans le champs ci-dessous :5])</f>
        <v>#DIV/0!</v>
      </c>
      <c r="AJ1" t="e">
        <f>AVERAGE(Table1[Points - Si la réponse comporte moins de 2 étoiles OUI, merci de préciser votre réponse dans le champs ci-dessous :5])</f>
        <v>#DIV/0!</v>
      </c>
      <c r="AK1" t="e">
        <f>AVERAGE(Table1[Feedback - Si la réponse comporte moins de 2 étoiles OUI, merci de préciser votre réponse dans le champs ci-dessous :5])</f>
        <v>#DIV/0!</v>
      </c>
      <c r="AL1">
        <f>AVERAGE(Table1[SPONSORSHIP  : Les leaders fournissent le niveau de sponsorship suffisant pour supporter le programme])</f>
        <v>3.6666666666666665</v>
      </c>
      <c r="AM1" t="e">
        <f>AVERAGE(Table1[Points - SPONSORSHIP  : Les leaders fournissent le niveau de sponsorship suffisant pour supporter le programme])</f>
        <v>#DIV/0!</v>
      </c>
      <c r="AN1" t="e">
        <f>AVERAGE(Table1[Feedback - SPONSORSHIP  : Les leaders fournissent le niveau de sponsorship suffisant pour supporter le programme])</f>
        <v>#DIV/0!</v>
      </c>
      <c r="AO1" t="e">
        <f>AVERAGE(Table1[Si la réponse comporte moins de 2 étoiles OUI, merci de préciser votre réponse dans le champs ci-dessous :6])</f>
        <v>#DIV/0!</v>
      </c>
      <c r="AP1" t="e">
        <f>AVERAGE(Table1[Points - Si la réponse comporte moins de 2 étoiles OUI, merci de préciser votre réponse dans le champs ci-dessous :6])</f>
        <v>#DIV/0!</v>
      </c>
      <c r="AQ1" t="e">
        <f>AVERAGE(Table1[Feedback - Si la réponse comporte moins de 2 étoiles OUI, merci de préciser votre réponse dans le champs ci-dessous :6])</f>
        <v>#DIV/0!</v>
      </c>
      <c r="AR1">
        <f>AVERAGE(Table1[CAPACITE : Ce changement entraine une charge de travail que nous pouvons absorber sur le site])</f>
        <v>3.0370370370370372</v>
      </c>
      <c r="AS1" t="e">
        <f>AVERAGE(Table1[Points - CAPACITE : Ce changement entraine une charge de travail que nous pouvons absorber sur le site])</f>
        <v>#DIV/0!</v>
      </c>
      <c r="AT1" t="e">
        <f>AVERAGE(Table1[Feedback - CAPACITE : Ce changement entraine une charge de travail que nous pouvons absorber sur le site])</f>
        <v>#DIV/0!</v>
      </c>
      <c r="AU1" t="e">
        <f>AVERAGE(Table1[Si la réponse comporte moins de 2 étoiles OUI, merci de préciser votre réponse dans le champs ci-dessous :7])</f>
        <v>#DIV/0!</v>
      </c>
      <c r="AV1" t="e">
        <f>AVERAGE(Table1[Points - Si la réponse comporte moins de 2 étoiles OUI, merci de préciser votre réponse dans le champs ci-dessous :7])</f>
        <v>#DIV/0!</v>
      </c>
      <c r="AW1" t="e">
        <f>AVERAGE(Table1[Feedback - Si la réponse comporte moins de 2 étoiles OUI, merci de préciser votre réponse dans le champs ci-dessous :7])</f>
        <v>#DIV/0!</v>
      </c>
      <c r="AX1">
        <f>AVERAGE(Table1[CULTURE  : Nous avons la culture appropriée pour absorber ce changement])</f>
        <v>3.6296296296296298</v>
      </c>
      <c r="AY1" t="e">
        <f>AVERAGE(Table1[Points - CULTURE  : Nous avons la culture appropriée pour absorber ce changement])</f>
        <v>#DIV/0!</v>
      </c>
      <c r="AZ1" t="e">
        <f>AVERAGE(Table1[Feedback - CULTURE  : Nous avons la culture appropriée pour absorber ce changement])</f>
        <v>#DIV/0!</v>
      </c>
      <c r="BA1" t="e">
        <f>AVERAGE(Table1[Si la réponse comporte moins de 2 étoiles OUI, merci de préciser votre réponse dans le champs ci-dessous :8])</f>
        <v>#DIV/0!</v>
      </c>
      <c r="BB1" t="e">
        <f>AVERAGE(Table1[Feedback - Si la réponse comporte moins de 2 étoiles OUI, merci de préciser votre réponse dans le champs ci-dessous :8])</f>
        <v>#DIV/0!</v>
      </c>
      <c r="BC1" t="e">
        <f>AVERAGE(Table1[Points - Si la réponse comporte moins de 2 étoiles OUI, merci de préciser votre réponse dans le champs ci-dessous :8])</f>
        <v>#DIV/0!</v>
      </c>
      <c r="BD1">
        <f>AVERAGE(Table1[RESISTANCE  : Les personnes impactées par ce changement démontrent l''engagement nécessaire pour réussir sa mise en place])</f>
        <v>4.1111111111111107</v>
      </c>
      <c r="BE1" t="e">
        <f>AVERAGE(Table1[Feedback - RESISTANCE  : Les personnes impactées par ce changement démontrent l''engagement nécessaire pour réussir sa mise en place])</f>
        <v>#DIV/0!</v>
      </c>
      <c r="BF1" t="e">
        <f>AVERAGE(Table1[Points - RESISTANCE  : Les personnes impactées par ce changement démontrent l''engagement nécessaire pour réussir sa mise en place])</f>
        <v>#DIV/0!</v>
      </c>
      <c r="BG1" t="e">
        <f>AVERAGE(Table1[Si la réponse comporte moins de 2 étoiles OUI, merci de préciser votre réponse dans le champs ci-dessous :9])</f>
        <v>#DIV/0!</v>
      </c>
      <c r="BH1" t="e">
        <f>AVERAGE(Table1[Feedback - Si la réponse comporte moins de 2 étoiles OUI, merci de préciser votre réponse dans le champs ci-dessous :9])</f>
        <v>#DIV/0!</v>
      </c>
      <c r="BI1" t="e">
        <f>AVERAGE(Table1[Points - Si la réponse comporte moins de 2 étoiles OUI, merci de préciser votre réponse dans le champs ci-dessous :9])</f>
        <v>#DIV/0!</v>
      </c>
      <c r="BJ1">
        <f>AVERAGE(Table1[SYNERGIE : Nos efforts de collaboration pour ce projet nous font gagner du temps plus qu’il n’en coute])</f>
        <v>3.7777777777777777</v>
      </c>
      <c r="BK1" t="e">
        <f>AVERAGE(Table1[Feedback - SYNERGIE : Nos efforts de collaboration pour ce projet nous font gagner du temps plus qu’il n’en coute])</f>
        <v>#DIV/0!</v>
      </c>
      <c r="BL1" t="e">
        <f>AVERAGE(Table1[Points - SYNERGIE : Nos efforts de collaboration pour ce projet nous font gagner du temps plus qu’il n’en coute])</f>
        <v>#DIV/0!</v>
      </c>
      <c r="BM1" t="e">
        <f>AVERAGE(Table1[Si la réponse comporte moins de 2 étoiles OUI, merci de préciser votre réponse dans le champs ci-dessous :10])</f>
        <v>#DIV/0!</v>
      </c>
      <c r="BN1" t="e">
        <f>AVERAGE(Table1[Feedback - Si la réponse comporte moins de 2 étoiles OUI, merci de préciser votre réponse dans le champs ci-dessous :10])</f>
        <v>#DIV/0!</v>
      </c>
      <c r="BO1" t="e">
        <f>AVERAGE(Table1[Points - Si la réponse comporte moins de 2 étoiles OUI, merci de préciser votre réponse dans le champs ci-dessous :10])</f>
        <v>#DIV/0!</v>
      </c>
      <c r="BP1">
        <f>AVERAGE(Table1[PARTENARIAT : Nos interactions avec des partenaires externes sont suffisantes pour supporter ce changement])</f>
        <v>3.7037037037037037</v>
      </c>
      <c r="BQ1" t="e">
        <f>AVERAGE(Table1[Feedback - PARTENARIAT : Nos interactions avec des partenaires externes sont suffisantes pour supporter ce changement])</f>
        <v>#DIV/0!</v>
      </c>
      <c r="BR1" t="e">
        <f>AVERAGE(Table1[Points - PARTENARIAT : Nos interactions avec des partenaires externes sont suffisantes pour supporter ce changement])</f>
        <v>#DIV/0!</v>
      </c>
      <c r="BS1" t="e">
        <f>AVERAGE(Table1[Si la réponse comporte moins de 2 étoiles OUI, merci de préciser votre réponse dans le champs ci-dessous :11])</f>
        <v>#DIV/0!</v>
      </c>
      <c r="BT1" t="e">
        <f>AVERAGE(Table1[Feedback - Si la réponse comporte moins de 2 étoiles OUI, merci de préciser votre réponse dans le champs ci-dessous :11])</f>
        <v>#DIV/0!</v>
      </c>
      <c r="BU1" t="e">
        <f>AVERAGE(Table1[Points - Si la réponse comporte moins de 2 étoiles OUI, merci de préciser votre réponse dans le champs ci-dessous :11])</f>
        <v>#DIV/0!</v>
      </c>
      <c r="BV1">
        <f>AVERAGE(Table1[SUPERVISION : Les instances de pilotage permettent de prendre des décisions rapides et efficaces])</f>
        <v>3.3703703703703702</v>
      </c>
      <c r="BW1" t="e">
        <f>AVERAGE(Table1[Points - SUPERVISION : Les instances de pilotage permettent de prendre des décisions rapides et efficaces])</f>
        <v>#DIV/0!</v>
      </c>
      <c r="BX1" t="e">
        <f>AVERAGE(Table1[Feedback - SUPERVISION : Les instances de pilotage permettent de prendre des décisions rapides et efficaces])</f>
        <v>#DIV/0!</v>
      </c>
      <c r="BY1" t="e">
        <f>AVERAGE(Table1[Si la réponse comporte moins de 2 étoiles OUI, merci de préciser votre réponse dans le champs ci-dessous :12])</f>
        <v>#DIV/0!</v>
      </c>
      <c r="BZ1" t="e">
        <f>AVERAGE(Table1[Points - Si la réponse comporte moins de 2 étoiles OUI, merci de préciser votre réponse dans le champs ci-dessous :12])</f>
        <v>#DIV/0!</v>
      </c>
      <c r="CA1" t="e">
        <f>AVERAGE(Table1[Feedback - Si la réponse comporte moins de 2 étoiles OUI, merci de préciser votre réponse dans le champs ci-dessous :12])</f>
        <v>#DIV/0!</v>
      </c>
      <c r="CB1">
        <f>AVERAGE(Table1[RESSOURCES : Les ressources sont suffisantes pour absorber ce changement])</f>
        <v>2.8518518518518516</v>
      </c>
      <c r="CC1" t="e">
        <f>AVERAGE(Table1[Points - RESSOURCES : Les ressources sont suffisantes pour absorber ce changement])</f>
        <v>#DIV/0!</v>
      </c>
      <c r="CD1" t="e">
        <f>AVERAGE(Table1[Feedback - RESSOURCES : Les ressources sont suffisantes pour absorber ce changement])</f>
        <v>#DIV/0!</v>
      </c>
      <c r="CE1" t="e">
        <f>AVERAGE(Table1[Si la réponse comporte moins de 2 étoiles OUI, merci de préciser votre réponse dans le champs ci-dessous :13])</f>
        <v>#DIV/0!</v>
      </c>
      <c r="CF1" t="e">
        <f>AVERAGE(Table1[Points - Si la réponse comporte moins de 2 étoiles OUI, merci de préciser votre réponse dans le champs ci-dessous :13])</f>
        <v>#DIV/0!</v>
      </c>
      <c r="CG1" t="e">
        <f>AVERAGE(Table1[Feedback - Si la réponse comporte moins de 2 étoiles OUI, merci de préciser votre réponse dans le champs ci-dessous :13])</f>
        <v>#DIV/0!</v>
      </c>
      <c r="CH1">
        <f>AVERAGE(Table1[PORTFOLIO : Les interactions de ce projet avec les autres initiatives sont gérées correctement])</f>
        <v>3.2592592592592591</v>
      </c>
      <c r="CI1" t="e">
        <f>AVERAGE(Table1[Points - PORTFOLIO : Les interactions de ce projet avec les autres initiatives sont gérées correctement])</f>
        <v>#DIV/0!</v>
      </c>
      <c r="CJ1" t="e">
        <f>AVERAGE(Table1[Feedback - PORTFOLIO : Les interactions de ce projet avec les autres initiatives sont gérées correctement])</f>
        <v>#DIV/0!</v>
      </c>
      <c r="CK1" t="e">
        <f>AVERAGE(Table1[Si la réponse comporte moins de 2 étoiles OUI, merci de préciser votre réponse dans le champs ci-dessous :14])</f>
        <v>#DIV/0!</v>
      </c>
      <c r="CL1" t="e">
        <f>AVERAGE(Table1[Points - Si la réponse comporte moins de 2 étoiles OUI, merci de préciser votre réponse dans le champs ci-dessous :14])</f>
        <v>#DIV/0!</v>
      </c>
      <c r="CM1" t="e">
        <f>AVERAGE(Table1[Feedback - Si la réponse comporte moins de 2 étoiles OUI, merci de préciser votre réponse dans le champs ci-dessous :14])</f>
        <v>#DIV/0!</v>
      </c>
      <c r="CN1">
        <f>AVERAGE(Table1[CHEMIN CRITIQUE : Les délais et ressources à travers de ce projet sont gérés efficacement])</f>
        <v>3.2962962962962963</v>
      </c>
      <c r="CO1" t="e">
        <f>AVERAGE(Table1[Points - CHEMIN CRITIQUE : Les délais et ressources à travers de ce projet sont gérés efficacement])</f>
        <v>#DIV/0!</v>
      </c>
      <c r="CP1" t="e">
        <f>AVERAGE(Table1[Feedback - CHEMIN CRITIQUE : Les délais et ressources à travers de ce projet sont gérés efficacement])</f>
        <v>#DIV/0!</v>
      </c>
      <c r="CQ1" t="e">
        <f>AVERAGE(Table1[Si la réponse comporte moins de 2 étoiles OUI, merci de préciser votre réponse dans le champs ci-dessous :15])</f>
        <v>#DIV/0!</v>
      </c>
      <c r="CR1" t="e">
        <f>AVERAGE(Table1[Points - Si la réponse comporte moins de 2 étoiles OUI, merci de préciser votre réponse dans le champs ci-dessous :15])</f>
        <v>#DIV/0!</v>
      </c>
      <c r="CS1" t="e">
        <f>AVERAGE(Table1[Feedback - Si la réponse comporte moins de 2 étoiles OUI, merci de préciser votre réponse dans le champs ci-dessous :15])</f>
        <v>#DIV/0!</v>
      </c>
    </row>
    <row r="2" spans="1:97" x14ac:dyDescent="0.25">
      <c r="A2">
        <f>MIN(Table1[ID])</f>
        <v>4</v>
      </c>
      <c r="B2">
        <f>MIN(Table1[Heure de début])</f>
        <v>44896.704687500001</v>
      </c>
      <c r="C2">
        <f>MIN(Table1[Heure de fin])</f>
        <v>44896.705277777801</v>
      </c>
      <c r="D2">
        <f>MIN(Table1[Adresse de messagerie])</f>
        <v>0</v>
      </c>
      <c r="E2">
        <f>MIN(Table1[Nom])</f>
        <v>0</v>
      </c>
      <c r="F2">
        <f>MIN(Table1[Total points])</f>
        <v>0</v>
      </c>
      <c r="G2">
        <f>MIN(Table1[Quiz feedback])</f>
        <v>0</v>
      </c>
      <c r="H2">
        <f>MIN(Table1[CLARTE : J''ai une vision claire de l’objectif final du programme])</f>
        <v>3</v>
      </c>
      <c r="I2">
        <f>MIN(Table1[Points - CLARTE : J''ai une vision claire de l’objectif final du programme])</f>
        <v>0</v>
      </c>
      <c r="J2">
        <f>MIN(Table1[Feedback - CLARTE : J''ai une vision claire de l’objectif final du programme])</f>
        <v>0</v>
      </c>
      <c r="K2">
        <f>MIN(Table1[Si la réponse comporte moins de 2 étoiles OUI, merci de préciser votre réponse dans le champs ci-dessous :])</f>
        <v>0</v>
      </c>
      <c r="L2">
        <f>MIN(Table1[Points - Si la réponse comporte moins de 2 étoiles OUI, merci de préciser votre réponse dans le champs ci-dessous :])</f>
        <v>0</v>
      </c>
      <c r="M2">
        <f>MIN(Table1[Feedback - Si la réponse comporte moins de 2 étoiles OUI, merci de préciser votre réponse dans le champs ci-dessous :])</f>
        <v>0</v>
      </c>
      <c r="N2">
        <f>MIN(Table1[ALIGNEMENT : Je suis aligné sur l’objectif final du programme])</f>
        <v>2</v>
      </c>
      <c r="O2">
        <f>MIN(Table1[Points - ALIGNEMENT : Je suis aligné sur l’objectif final du programme])</f>
        <v>0</v>
      </c>
      <c r="P2">
        <f>MIN(Table1[Feedback - ALIGNEMENT : Je suis aligné sur l’objectif final du programme])</f>
        <v>0</v>
      </c>
      <c r="Q2">
        <f>MIN(Table1[Si la réponse comporte moins de 2 étoiles OUI, merci de préciser votre réponse dans le champs ci-dessous :2])</f>
        <v>0</v>
      </c>
      <c r="R2">
        <f>MIN(Table1[Points - Si la réponse comporte moins de 2 étoiles OUI, merci de préciser votre réponse dans le champs ci-dessous :2])</f>
        <v>0</v>
      </c>
      <c r="S2">
        <f>MIN(Table1[Feedback - Si la réponse comporte moins de 2 étoiles OUI, merci de préciser votre réponse dans le champs ci-dessous :2])</f>
        <v>0</v>
      </c>
      <c r="T2">
        <f>MIN(Table1[ENGAGEMENT  : Je supporte l’objectif du programme])</f>
        <v>2</v>
      </c>
      <c r="U2">
        <f>MIN(Table1[Points - ENGAGEMENT  : Je supporte l’objectif du programme])</f>
        <v>0</v>
      </c>
      <c r="V2">
        <f>MIN(Table1[Feedback - ENGAGEMENT  : Je supporte l’objectif du programme])</f>
        <v>0</v>
      </c>
      <c r="W2">
        <f>MIN(Table1[Si la réponse comporte moins de 2 étoiles OUI, merci de préciser votre réponse dans le champs ci-dessous :3])</f>
        <v>0</v>
      </c>
      <c r="X2">
        <f>MIN(Table1[Points - Si la réponse comporte moins de 2 étoiles OUI, merci de préciser votre réponse dans le champs ci-dessous :3])</f>
        <v>0</v>
      </c>
      <c r="Y2">
        <f>MIN(Table1[Feedback - Si la réponse comporte moins de 2 étoiles OUI, merci de préciser votre réponse dans le champs ci-dessous :3])</f>
        <v>0</v>
      </c>
      <c r="Z2">
        <f>MIN(Table1[SOLUTION  : L’approche pour atteindre l’objectif du programme est solide])</f>
        <v>2</v>
      </c>
      <c r="AA2">
        <f>MIN(Table1[Points - SOLUTION  : L’approche pour atteindre l’objectif du programme est solide])</f>
        <v>0</v>
      </c>
      <c r="AB2">
        <f>MIN(Table1[Feedback - SOLUTION  : L’approche pour atteindre l’objectif du programme est solide])</f>
        <v>0</v>
      </c>
      <c r="AC2">
        <f>MIN(Table1[Si la réponse comporte moins de 2 étoiles OUI, merci de préciser votre réponse dans le champs ci-dessous :4])</f>
        <v>0</v>
      </c>
      <c r="AD2">
        <f>MIN(Table1[Points - Si la réponse comporte moins de 2 étoiles OUI, merci de préciser votre réponse dans le champs ci-dessous :4])</f>
        <v>0</v>
      </c>
      <c r="AE2">
        <f>MIN(Table1[Feedback - Si la réponse comporte moins de 2 étoiles OUI, merci de préciser votre réponse dans le champs ci-dessous :4])</f>
        <v>0</v>
      </c>
      <c r="AF2">
        <f>MIN(Table1[INTEGRITE : Les objectifs initiaux du programme restent les mêmes])</f>
        <v>1</v>
      </c>
      <c r="AG2">
        <f>MIN(Table1[Points - INTEGRITE : Les objectifs initiaux du programme restent les mêmes])</f>
        <v>0</v>
      </c>
      <c r="AH2">
        <f>MIN(Table1[Feedback - INTEGRITE : Les objectifs initiaux du programme restent les mêmes])</f>
        <v>0</v>
      </c>
      <c r="AI2">
        <f>MIN(Table1[Si la réponse comporte moins de 2 étoiles OUI, merci de préciser votre réponse dans le champs ci-dessous :5])</f>
        <v>0</v>
      </c>
      <c r="AJ2">
        <f>MIN(Table1[Points - Si la réponse comporte moins de 2 étoiles OUI, merci de préciser votre réponse dans le champs ci-dessous :5])</f>
        <v>0</v>
      </c>
      <c r="AK2">
        <f>MIN(Table1[Feedback - Si la réponse comporte moins de 2 étoiles OUI, merci de préciser votre réponse dans le champs ci-dessous :5])</f>
        <v>0</v>
      </c>
      <c r="AL2">
        <f>MIN(Table1[SPONSORSHIP  : Les leaders fournissent le niveau de sponsorship suffisant pour supporter le programme])</f>
        <v>1</v>
      </c>
      <c r="AM2">
        <f>MIN(Table1[Points - SPONSORSHIP  : Les leaders fournissent le niveau de sponsorship suffisant pour supporter le programme])</f>
        <v>0</v>
      </c>
      <c r="AN2">
        <f>MIN(Table1[Feedback - SPONSORSHIP  : Les leaders fournissent le niveau de sponsorship suffisant pour supporter le programme])</f>
        <v>0</v>
      </c>
      <c r="AO2">
        <f>MIN(Table1[Si la réponse comporte moins de 2 étoiles OUI, merci de préciser votre réponse dans le champs ci-dessous :6])</f>
        <v>0</v>
      </c>
      <c r="AP2">
        <f>MIN(Table1[Points - Si la réponse comporte moins de 2 étoiles OUI, merci de préciser votre réponse dans le champs ci-dessous :6])</f>
        <v>0</v>
      </c>
      <c r="AQ2">
        <f>MIN(Table1[Feedback - Si la réponse comporte moins de 2 étoiles OUI, merci de préciser votre réponse dans le champs ci-dessous :6])</f>
        <v>0</v>
      </c>
      <c r="AR2">
        <f>MIN(Table1[CAPACITE : Ce changement entraine une charge de travail que nous pouvons absorber sur le site])</f>
        <v>1</v>
      </c>
      <c r="AS2">
        <f>MIN(Table1[Points - CAPACITE : Ce changement entraine une charge de travail que nous pouvons absorber sur le site])</f>
        <v>0</v>
      </c>
      <c r="AT2">
        <f>MIN(Table1[Feedback - CAPACITE : Ce changement entraine une charge de travail que nous pouvons absorber sur le site])</f>
        <v>0</v>
      </c>
      <c r="AU2">
        <f>MIN(Table1[Si la réponse comporte moins de 2 étoiles OUI, merci de préciser votre réponse dans le champs ci-dessous :7])</f>
        <v>0</v>
      </c>
      <c r="AV2">
        <f>MIN(Table1[Points - Si la réponse comporte moins de 2 étoiles OUI, merci de préciser votre réponse dans le champs ci-dessous :7])</f>
        <v>0</v>
      </c>
      <c r="AW2">
        <f>MIN(Table1[Feedback - Si la réponse comporte moins de 2 étoiles OUI, merci de préciser votre réponse dans le champs ci-dessous :7])</f>
        <v>0</v>
      </c>
      <c r="AX2">
        <f>MIN(Table1[CULTURE  : Nous avons la culture appropriée pour absorber ce changement])</f>
        <v>1</v>
      </c>
      <c r="AY2">
        <f>MIN(Table1[Points - CULTURE  : Nous avons la culture appropriée pour absorber ce changement])</f>
        <v>0</v>
      </c>
      <c r="AZ2">
        <f>MIN(Table1[Feedback - CULTURE  : Nous avons la culture appropriée pour absorber ce changement])</f>
        <v>0</v>
      </c>
      <c r="BA2">
        <f>MIN(Table1[Si la réponse comporte moins de 2 étoiles OUI, merci de préciser votre réponse dans le champs ci-dessous :8])</f>
        <v>0</v>
      </c>
      <c r="BB2">
        <f>MIN(Table1[Feedback - Si la réponse comporte moins de 2 étoiles OUI, merci de préciser votre réponse dans le champs ci-dessous :8])</f>
        <v>0</v>
      </c>
      <c r="BC2">
        <f>MIN(Table1[Points - Si la réponse comporte moins de 2 étoiles OUI, merci de préciser votre réponse dans le champs ci-dessous :8])</f>
        <v>0</v>
      </c>
      <c r="BD2">
        <f>MIN(Table1[RESISTANCE  : Les personnes impactées par ce changement démontrent l''engagement nécessaire pour réussir sa mise en place])</f>
        <v>1</v>
      </c>
      <c r="BE2">
        <f>MIN(Table1[Feedback - RESISTANCE  : Les personnes impactées par ce changement démontrent l''engagement nécessaire pour réussir sa mise en place])</f>
        <v>0</v>
      </c>
      <c r="BF2">
        <f>MIN(Table1[Points - RESISTANCE  : Les personnes impactées par ce changement démontrent l''engagement nécessaire pour réussir sa mise en place])</f>
        <v>0</v>
      </c>
      <c r="BG2">
        <f>MIN(Table1[Si la réponse comporte moins de 2 étoiles OUI, merci de préciser votre réponse dans le champs ci-dessous :9])</f>
        <v>0</v>
      </c>
      <c r="BH2">
        <f>MIN(Table1[Feedback - Si la réponse comporte moins de 2 étoiles OUI, merci de préciser votre réponse dans le champs ci-dessous :9])</f>
        <v>0</v>
      </c>
      <c r="BI2">
        <f>MIN(Table1[Points - Si la réponse comporte moins de 2 étoiles OUI, merci de préciser votre réponse dans le champs ci-dessous :9])</f>
        <v>0</v>
      </c>
      <c r="BJ2">
        <f>MIN(Table1[SYNERGIE : Nos efforts de collaboration pour ce projet nous font gagner du temps plus qu’il n’en coute])</f>
        <v>1</v>
      </c>
      <c r="BK2">
        <f>MIN(Table1[Feedback - SYNERGIE : Nos efforts de collaboration pour ce projet nous font gagner du temps plus qu’il n’en coute])</f>
        <v>0</v>
      </c>
      <c r="BL2">
        <f>MIN(Table1[Points - SYNERGIE : Nos efforts de collaboration pour ce projet nous font gagner du temps plus qu’il n’en coute])</f>
        <v>0</v>
      </c>
      <c r="BM2">
        <f>MIN(Table1[Si la réponse comporte moins de 2 étoiles OUI, merci de préciser votre réponse dans le champs ci-dessous :10])</f>
        <v>0</v>
      </c>
      <c r="BN2">
        <f>MIN(Table1[Feedback - Si la réponse comporte moins de 2 étoiles OUI, merci de préciser votre réponse dans le champs ci-dessous :10])</f>
        <v>0</v>
      </c>
      <c r="BO2">
        <f>MIN(Table1[Points - Si la réponse comporte moins de 2 étoiles OUI, merci de préciser votre réponse dans le champs ci-dessous :10])</f>
        <v>0</v>
      </c>
      <c r="BP2">
        <f>MIN(Table1[PARTENARIAT : Nos interactions avec des partenaires externes sont suffisantes pour supporter ce changement])</f>
        <v>3</v>
      </c>
      <c r="BQ2">
        <f>MIN(Table1[Feedback - PARTENARIAT : Nos interactions avec des partenaires externes sont suffisantes pour supporter ce changement])</f>
        <v>0</v>
      </c>
      <c r="BR2">
        <f>MIN(Table1[Points - PARTENARIAT : Nos interactions avec des partenaires externes sont suffisantes pour supporter ce changement])</f>
        <v>0</v>
      </c>
      <c r="BS2">
        <f>MIN(Table1[Si la réponse comporte moins de 2 étoiles OUI, merci de préciser votre réponse dans le champs ci-dessous :11])</f>
        <v>0</v>
      </c>
      <c r="BT2">
        <f>MIN(Table1[Feedback - Si la réponse comporte moins de 2 étoiles OUI, merci de préciser votre réponse dans le champs ci-dessous :11])</f>
        <v>0</v>
      </c>
      <c r="BU2">
        <f>MIN(Table1[Points - Si la réponse comporte moins de 2 étoiles OUI, merci de préciser votre réponse dans le champs ci-dessous :11])</f>
        <v>0</v>
      </c>
      <c r="BV2">
        <f>MIN(Table1[SUPERVISION : Les instances de pilotage permettent de prendre des décisions rapides et efficaces])</f>
        <v>1</v>
      </c>
      <c r="BW2">
        <f>MIN(Table1[Points - SUPERVISION : Les instances de pilotage permettent de prendre des décisions rapides et efficaces])</f>
        <v>0</v>
      </c>
      <c r="BX2">
        <f>MIN(Table1[Feedback - SUPERVISION : Les instances de pilotage permettent de prendre des décisions rapides et efficaces])</f>
        <v>0</v>
      </c>
      <c r="BY2">
        <f>MIN(Table1[Si la réponse comporte moins de 2 étoiles OUI, merci de préciser votre réponse dans le champs ci-dessous :12])</f>
        <v>0</v>
      </c>
      <c r="BZ2">
        <f>MIN(Table1[Points - Si la réponse comporte moins de 2 étoiles OUI, merci de préciser votre réponse dans le champs ci-dessous :12])</f>
        <v>0</v>
      </c>
      <c r="CA2">
        <f>MIN(Table1[Feedback - Si la réponse comporte moins de 2 étoiles OUI, merci de préciser votre réponse dans le champs ci-dessous :12])</f>
        <v>0</v>
      </c>
      <c r="CB2">
        <f>MIN(Table1[RESSOURCES : Les ressources sont suffisantes pour absorber ce changement])</f>
        <v>1</v>
      </c>
      <c r="CC2">
        <f>MIN(Table1[Points - RESSOURCES : Les ressources sont suffisantes pour absorber ce changement])</f>
        <v>0</v>
      </c>
      <c r="CD2">
        <f>MIN(Table1[Feedback - RESSOURCES : Les ressources sont suffisantes pour absorber ce changement])</f>
        <v>0</v>
      </c>
      <c r="CE2">
        <f>MIN(Table1[Si la réponse comporte moins de 2 étoiles OUI, merci de préciser votre réponse dans le champs ci-dessous :13])</f>
        <v>0</v>
      </c>
      <c r="CF2">
        <f>MIN(Table1[Points - Si la réponse comporte moins de 2 étoiles OUI, merci de préciser votre réponse dans le champs ci-dessous :13])</f>
        <v>0</v>
      </c>
      <c r="CG2">
        <f>MIN(Table1[Feedback - Si la réponse comporte moins de 2 étoiles OUI, merci de préciser votre réponse dans le champs ci-dessous :13])</f>
        <v>0</v>
      </c>
      <c r="CH2">
        <f>MIN(Table1[PORTFOLIO : Les interactions de ce projet avec les autres initiatives sont gérées correctement])</f>
        <v>1</v>
      </c>
      <c r="CI2">
        <f>MIN(Table1[Points - PORTFOLIO : Les interactions de ce projet avec les autres initiatives sont gérées correctement])</f>
        <v>0</v>
      </c>
      <c r="CJ2">
        <f>MIN(Table1[Feedback - PORTFOLIO : Les interactions de ce projet avec les autres initiatives sont gérées correctement])</f>
        <v>0</v>
      </c>
      <c r="CK2">
        <f>MIN(Table1[Si la réponse comporte moins de 2 étoiles OUI, merci de préciser votre réponse dans le champs ci-dessous :14])</f>
        <v>0</v>
      </c>
      <c r="CL2">
        <f>MIN(Table1[Points - Si la réponse comporte moins de 2 étoiles OUI, merci de préciser votre réponse dans le champs ci-dessous :14])</f>
        <v>0</v>
      </c>
      <c r="CM2">
        <f>MIN(Table1[Feedback - Si la réponse comporte moins de 2 étoiles OUI, merci de préciser votre réponse dans le champs ci-dessous :14])</f>
        <v>0</v>
      </c>
      <c r="CN2">
        <f>MIN(Table1[CHEMIN CRITIQUE : Les délais et ressources à travers de ce projet sont gérés efficacement])</f>
        <v>2</v>
      </c>
      <c r="CO2">
        <f>MIN(Table1[Points - CHEMIN CRITIQUE : Les délais et ressources à travers de ce projet sont gérés efficacement])</f>
        <v>0</v>
      </c>
      <c r="CP2">
        <f>MIN(Table1[Feedback - CHEMIN CRITIQUE : Les délais et ressources à travers de ce projet sont gérés efficacement])</f>
        <v>0</v>
      </c>
      <c r="CQ2">
        <f>MIN(Table1[Si la réponse comporte moins de 2 étoiles OUI, merci de préciser votre réponse dans le champs ci-dessous :15])</f>
        <v>0</v>
      </c>
      <c r="CR2">
        <f>MIN(Table1[Points - Si la réponse comporte moins de 2 étoiles OUI, merci de préciser votre réponse dans le champs ci-dessous :15])</f>
        <v>0</v>
      </c>
      <c r="CS2">
        <f>MIN(Table1[Feedback - Si la réponse comporte moins de 2 étoiles OUI, merci de préciser votre réponse dans le champs ci-dessous :15])</f>
        <v>0</v>
      </c>
    </row>
    <row r="3" spans="1:97" x14ac:dyDescent="0.25">
      <c r="A3">
        <f>MAX(Table1[ID])</f>
        <v>30</v>
      </c>
      <c r="B3">
        <f>MAX(Table1[Heure de début])</f>
        <v>44904.683333333298</v>
      </c>
      <c r="C3">
        <f>MAX(Table1[Heure de fin])</f>
        <v>44904.694270833301</v>
      </c>
      <c r="D3">
        <f>MAX(Table1[Adresse de messagerie])</f>
        <v>0</v>
      </c>
      <c r="E3">
        <f>MAX(Table1[Nom])</f>
        <v>0</v>
      </c>
      <c r="F3">
        <f>MAX(Table1[Total points])</f>
        <v>0</v>
      </c>
      <c r="G3">
        <f>MAX(Table1[Quiz feedback])</f>
        <v>0</v>
      </c>
      <c r="H3">
        <f>MAX(Table1[CLARTE : J''ai une vision claire de l’objectif final du programme])</f>
        <v>5</v>
      </c>
      <c r="I3">
        <f>MAX(Table1[Points - CLARTE : J''ai une vision claire de l’objectif final du programme])</f>
        <v>0</v>
      </c>
      <c r="J3">
        <f>MAX(Table1[Feedback - CLARTE : J''ai une vision claire de l’objectif final du programme])</f>
        <v>0</v>
      </c>
      <c r="K3">
        <f>MAX(Table1[Si la réponse comporte moins de 2 étoiles OUI, merci de préciser votre réponse dans le champs ci-dessous :])</f>
        <v>0</v>
      </c>
      <c r="L3">
        <f>MAX(Table1[Points - Si la réponse comporte moins de 2 étoiles OUI, merci de préciser votre réponse dans le champs ci-dessous :])</f>
        <v>0</v>
      </c>
      <c r="M3">
        <f>MAX(Table1[Feedback - Si la réponse comporte moins de 2 étoiles OUI, merci de préciser votre réponse dans le champs ci-dessous :])</f>
        <v>0</v>
      </c>
      <c r="N3">
        <f>MAX(Table1[ALIGNEMENT : Je suis aligné sur l’objectif final du programme])</f>
        <v>5</v>
      </c>
      <c r="O3">
        <f>MAX(Table1[Points - ALIGNEMENT : Je suis aligné sur l’objectif final du programme])</f>
        <v>0</v>
      </c>
      <c r="P3">
        <f>MAX(Table1[Feedback - ALIGNEMENT : Je suis aligné sur l’objectif final du programme])</f>
        <v>0</v>
      </c>
      <c r="Q3">
        <f>MAX(Table1[Si la réponse comporte moins de 2 étoiles OUI, merci de préciser votre réponse dans le champs ci-dessous :2])</f>
        <v>0</v>
      </c>
      <c r="R3">
        <f>MAX(Table1[Points - Si la réponse comporte moins de 2 étoiles OUI, merci de préciser votre réponse dans le champs ci-dessous :2])</f>
        <v>0</v>
      </c>
      <c r="S3">
        <f>MAX(Table1[Feedback - Si la réponse comporte moins de 2 étoiles OUI, merci de préciser votre réponse dans le champs ci-dessous :2])</f>
        <v>0</v>
      </c>
      <c r="T3">
        <f>MAX(Table1[ENGAGEMENT  : Je supporte l’objectif du programme])</f>
        <v>5</v>
      </c>
      <c r="U3">
        <f>MAX(Table1[Points - ENGAGEMENT  : Je supporte l’objectif du programme])</f>
        <v>0</v>
      </c>
      <c r="V3">
        <f>MAX(Table1[Feedback - ENGAGEMENT  : Je supporte l’objectif du programme])</f>
        <v>0</v>
      </c>
      <c r="W3">
        <f>MAX(Table1[Si la réponse comporte moins de 2 étoiles OUI, merci de préciser votre réponse dans le champs ci-dessous :3])</f>
        <v>0</v>
      </c>
      <c r="X3">
        <f>MAX(Table1[Points - Si la réponse comporte moins de 2 étoiles OUI, merci de préciser votre réponse dans le champs ci-dessous :3])</f>
        <v>0</v>
      </c>
      <c r="Y3">
        <f>MAX(Table1[Feedback - Si la réponse comporte moins de 2 étoiles OUI, merci de préciser votre réponse dans le champs ci-dessous :3])</f>
        <v>0</v>
      </c>
      <c r="Z3">
        <f>MAX(Table1[SOLUTION  : L’approche pour atteindre l’objectif du programme est solide])</f>
        <v>5</v>
      </c>
      <c r="AA3">
        <f>MAX(Table1[Points - SOLUTION  : L’approche pour atteindre l’objectif du programme est solide])</f>
        <v>0</v>
      </c>
      <c r="AB3">
        <f>MAX(Table1[Feedback - SOLUTION  : L’approche pour atteindre l’objectif du programme est solide])</f>
        <v>0</v>
      </c>
      <c r="AC3">
        <f>MAX(Table1[Si la réponse comporte moins de 2 étoiles OUI, merci de préciser votre réponse dans le champs ci-dessous :4])</f>
        <v>0</v>
      </c>
      <c r="AD3">
        <f>MAX(Table1[Points - Si la réponse comporte moins de 2 étoiles OUI, merci de préciser votre réponse dans le champs ci-dessous :4])</f>
        <v>0</v>
      </c>
      <c r="AE3">
        <f>MAX(Table1[Feedback - Si la réponse comporte moins de 2 étoiles OUI, merci de préciser votre réponse dans le champs ci-dessous :4])</f>
        <v>0</v>
      </c>
      <c r="AF3">
        <f>MAX(Table1[INTEGRITE : Les objectifs initiaux du programme restent les mêmes])</f>
        <v>5</v>
      </c>
      <c r="AG3">
        <f>MAX(Table1[Points - INTEGRITE : Les objectifs initiaux du programme restent les mêmes])</f>
        <v>0</v>
      </c>
      <c r="AH3">
        <f>MAX(Table1[Feedback - INTEGRITE : Les objectifs initiaux du programme restent les mêmes])</f>
        <v>0</v>
      </c>
      <c r="AI3">
        <f>MAX(Table1[Si la réponse comporte moins de 2 étoiles OUI, merci de préciser votre réponse dans le champs ci-dessous :5])</f>
        <v>0</v>
      </c>
      <c r="AJ3">
        <f>MAX(Table1[Points - Si la réponse comporte moins de 2 étoiles OUI, merci de préciser votre réponse dans le champs ci-dessous :5])</f>
        <v>0</v>
      </c>
      <c r="AK3">
        <f>MAX(Table1[Feedback - Si la réponse comporte moins de 2 étoiles OUI, merci de préciser votre réponse dans le champs ci-dessous :5])</f>
        <v>0</v>
      </c>
      <c r="AL3">
        <f>MAX(Table1[SPONSORSHIP  : Les leaders fournissent le niveau de sponsorship suffisant pour supporter le programme])</f>
        <v>5</v>
      </c>
      <c r="AM3">
        <f>MAX(Table1[Points - SPONSORSHIP  : Les leaders fournissent le niveau de sponsorship suffisant pour supporter le programme])</f>
        <v>0</v>
      </c>
      <c r="AN3">
        <f>MAX(Table1[Feedback - SPONSORSHIP  : Les leaders fournissent le niveau de sponsorship suffisant pour supporter le programme])</f>
        <v>0</v>
      </c>
      <c r="AO3">
        <f>MAX(Table1[Si la réponse comporte moins de 2 étoiles OUI, merci de préciser votre réponse dans le champs ci-dessous :6])</f>
        <v>0</v>
      </c>
      <c r="AP3">
        <f>MAX(Table1[Points - Si la réponse comporte moins de 2 étoiles OUI, merci de préciser votre réponse dans le champs ci-dessous :6])</f>
        <v>0</v>
      </c>
      <c r="AQ3">
        <f>MAX(Table1[Feedback - Si la réponse comporte moins de 2 étoiles OUI, merci de préciser votre réponse dans le champs ci-dessous :6])</f>
        <v>0</v>
      </c>
      <c r="AR3">
        <f>MAX(Table1[CAPACITE : Ce changement entraine une charge de travail que nous pouvons absorber sur le site])</f>
        <v>5</v>
      </c>
      <c r="AS3">
        <f>MAX(Table1[Points - CAPACITE : Ce changement entraine une charge de travail que nous pouvons absorber sur le site])</f>
        <v>0</v>
      </c>
      <c r="AT3">
        <f>MAX(Table1[Feedback - CAPACITE : Ce changement entraine une charge de travail que nous pouvons absorber sur le site])</f>
        <v>0</v>
      </c>
      <c r="AU3">
        <f>MAX(Table1[Si la réponse comporte moins de 2 étoiles OUI, merci de préciser votre réponse dans le champs ci-dessous :7])</f>
        <v>0</v>
      </c>
      <c r="AV3">
        <f>MAX(Table1[Points - Si la réponse comporte moins de 2 étoiles OUI, merci de préciser votre réponse dans le champs ci-dessous :7])</f>
        <v>0</v>
      </c>
      <c r="AW3">
        <f>MAX(Table1[Feedback - Si la réponse comporte moins de 2 étoiles OUI, merci de préciser votre réponse dans le champs ci-dessous :7])</f>
        <v>0</v>
      </c>
      <c r="AX3">
        <f>MAX(Table1[CULTURE  : Nous avons la culture appropriée pour absorber ce changement])</f>
        <v>5</v>
      </c>
      <c r="AY3">
        <f>MAX(Table1[Points - CULTURE  : Nous avons la culture appropriée pour absorber ce changement])</f>
        <v>0</v>
      </c>
      <c r="AZ3">
        <f>MAX(Table1[Feedback - CULTURE  : Nous avons la culture appropriée pour absorber ce changement])</f>
        <v>0</v>
      </c>
      <c r="BA3">
        <f>MAX(Table1[Si la réponse comporte moins de 2 étoiles OUI, merci de préciser votre réponse dans le champs ci-dessous :8])</f>
        <v>0</v>
      </c>
      <c r="BB3">
        <f>MAX(Table1[Feedback - Si la réponse comporte moins de 2 étoiles OUI, merci de préciser votre réponse dans le champs ci-dessous :8])</f>
        <v>0</v>
      </c>
      <c r="BC3">
        <f>MAX(Table1[Points - Si la réponse comporte moins de 2 étoiles OUI, merci de préciser votre réponse dans le champs ci-dessous :8])</f>
        <v>0</v>
      </c>
      <c r="BD3">
        <f>MAX(Table1[RESISTANCE  : Les personnes impactées par ce changement démontrent l''engagement nécessaire pour réussir sa mise en place])</f>
        <v>5</v>
      </c>
      <c r="BE3">
        <f>MAX(Table1[Feedback - RESISTANCE  : Les personnes impactées par ce changement démontrent l''engagement nécessaire pour réussir sa mise en place])</f>
        <v>0</v>
      </c>
      <c r="BF3">
        <f>MAX(Table1[Points - RESISTANCE  : Les personnes impactées par ce changement démontrent l''engagement nécessaire pour réussir sa mise en place])</f>
        <v>0</v>
      </c>
      <c r="BG3">
        <f>MAX(Table1[Si la réponse comporte moins de 2 étoiles OUI, merci de préciser votre réponse dans le champs ci-dessous :9])</f>
        <v>0</v>
      </c>
      <c r="BH3">
        <f>MAX(Table1[Feedback - Si la réponse comporte moins de 2 étoiles OUI, merci de préciser votre réponse dans le champs ci-dessous :9])</f>
        <v>0</v>
      </c>
      <c r="BI3">
        <f>MAX(Table1[Points - Si la réponse comporte moins de 2 étoiles OUI, merci de préciser votre réponse dans le champs ci-dessous :9])</f>
        <v>0</v>
      </c>
      <c r="BJ3">
        <f>MAX(Table1[SYNERGIE : Nos efforts de collaboration pour ce projet nous font gagner du temps plus qu’il n’en coute])</f>
        <v>5</v>
      </c>
      <c r="BK3">
        <f>MAX(Table1[Feedback - SYNERGIE : Nos efforts de collaboration pour ce projet nous font gagner du temps plus qu’il n’en coute])</f>
        <v>0</v>
      </c>
      <c r="BL3">
        <f>MAX(Table1[Points - SYNERGIE : Nos efforts de collaboration pour ce projet nous font gagner du temps plus qu’il n’en coute])</f>
        <v>0</v>
      </c>
      <c r="BM3">
        <f>MAX(Table1[Si la réponse comporte moins de 2 étoiles OUI, merci de préciser votre réponse dans le champs ci-dessous :10])</f>
        <v>0</v>
      </c>
      <c r="BN3">
        <f>MAX(Table1[Feedback - Si la réponse comporte moins de 2 étoiles OUI, merci de préciser votre réponse dans le champs ci-dessous :10])</f>
        <v>0</v>
      </c>
      <c r="BO3">
        <f>MAX(Table1[Points - Si la réponse comporte moins de 2 étoiles OUI, merci de préciser votre réponse dans le champs ci-dessous :10])</f>
        <v>0</v>
      </c>
      <c r="BP3">
        <f>MAX(Table1[PARTENARIAT : Nos interactions avec des partenaires externes sont suffisantes pour supporter ce changement])</f>
        <v>5</v>
      </c>
      <c r="BQ3">
        <f>MAX(Table1[Feedback - PARTENARIAT : Nos interactions avec des partenaires externes sont suffisantes pour supporter ce changement])</f>
        <v>0</v>
      </c>
      <c r="BR3">
        <f>MAX(Table1[Points - PARTENARIAT : Nos interactions avec des partenaires externes sont suffisantes pour supporter ce changement])</f>
        <v>0</v>
      </c>
      <c r="BS3">
        <f>MAX(Table1[Si la réponse comporte moins de 2 étoiles OUI, merci de préciser votre réponse dans le champs ci-dessous :11])</f>
        <v>0</v>
      </c>
      <c r="BT3">
        <f>MAX(Table1[Feedback - Si la réponse comporte moins de 2 étoiles OUI, merci de préciser votre réponse dans le champs ci-dessous :11])</f>
        <v>0</v>
      </c>
      <c r="BU3">
        <f>MAX(Table1[Points - Si la réponse comporte moins de 2 étoiles OUI, merci de préciser votre réponse dans le champs ci-dessous :11])</f>
        <v>0</v>
      </c>
      <c r="BV3">
        <f>MAX(Table1[SUPERVISION : Les instances de pilotage permettent de prendre des décisions rapides et efficaces])</f>
        <v>5</v>
      </c>
      <c r="BW3">
        <f>MAX(Table1[Points - SUPERVISION : Les instances de pilotage permettent de prendre des décisions rapides et efficaces])</f>
        <v>0</v>
      </c>
      <c r="BX3">
        <f>MAX(Table1[Feedback - SUPERVISION : Les instances de pilotage permettent de prendre des décisions rapides et efficaces])</f>
        <v>0</v>
      </c>
      <c r="BY3">
        <f>MAX(Table1[Si la réponse comporte moins de 2 étoiles OUI, merci de préciser votre réponse dans le champs ci-dessous :12])</f>
        <v>0</v>
      </c>
      <c r="BZ3">
        <f>MAX(Table1[Points - Si la réponse comporte moins de 2 étoiles OUI, merci de préciser votre réponse dans le champs ci-dessous :12])</f>
        <v>0</v>
      </c>
      <c r="CA3">
        <f>MAX(Table1[Feedback - Si la réponse comporte moins de 2 étoiles OUI, merci de préciser votre réponse dans le champs ci-dessous :12])</f>
        <v>0</v>
      </c>
      <c r="CB3">
        <f>MAX(Table1[RESSOURCES : Les ressources sont suffisantes pour absorber ce changement])</f>
        <v>5</v>
      </c>
      <c r="CC3">
        <f>MAX(Table1[Points - RESSOURCES : Les ressources sont suffisantes pour absorber ce changement])</f>
        <v>0</v>
      </c>
      <c r="CD3">
        <f>MAX(Table1[Feedback - RESSOURCES : Les ressources sont suffisantes pour absorber ce changement])</f>
        <v>0</v>
      </c>
      <c r="CE3">
        <f>MAX(Table1[Si la réponse comporte moins de 2 étoiles OUI, merci de préciser votre réponse dans le champs ci-dessous :13])</f>
        <v>0</v>
      </c>
      <c r="CF3">
        <f>MAX(Table1[Points - Si la réponse comporte moins de 2 étoiles OUI, merci de préciser votre réponse dans le champs ci-dessous :13])</f>
        <v>0</v>
      </c>
      <c r="CG3">
        <f>MAX(Table1[Feedback - Si la réponse comporte moins de 2 étoiles OUI, merci de préciser votre réponse dans le champs ci-dessous :13])</f>
        <v>0</v>
      </c>
      <c r="CH3">
        <f>MAX(Table1[PORTFOLIO : Les interactions de ce projet avec les autres initiatives sont gérées correctement])</f>
        <v>5</v>
      </c>
      <c r="CI3">
        <f>MAX(Table1[Points - PORTFOLIO : Les interactions de ce projet avec les autres initiatives sont gérées correctement])</f>
        <v>0</v>
      </c>
      <c r="CJ3">
        <f>MAX(Table1[Feedback - PORTFOLIO : Les interactions de ce projet avec les autres initiatives sont gérées correctement])</f>
        <v>0</v>
      </c>
      <c r="CK3">
        <f>MAX(Table1[Si la réponse comporte moins de 2 étoiles OUI, merci de préciser votre réponse dans le champs ci-dessous :14])</f>
        <v>0</v>
      </c>
      <c r="CL3">
        <f>MAX(Table1[Points - Si la réponse comporte moins de 2 étoiles OUI, merci de préciser votre réponse dans le champs ci-dessous :14])</f>
        <v>0</v>
      </c>
      <c r="CM3">
        <f>MAX(Table1[Feedback - Si la réponse comporte moins de 2 étoiles OUI, merci de préciser votre réponse dans le champs ci-dessous :14])</f>
        <v>0</v>
      </c>
      <c r="CN3">
        <f>MAX(Table1[CHEMIN CRITIQUE : Les délais et ressources à travers de ce projet sont gérés efficacement])</f>
        <v>5</v>
      </c>
      <c r="CO3">
        <f>MAX(Table1[Points - CHEMIN CRITIQUE : Les délais et ressources à travers de ce projet sont gérés efficacement])</f>
        <v>0</v>
      </c>
      <c r="CP3">
        <f>MAX(Table1[Feedback - CHEMIN CRITIQUE : Les délais et ressources à travers de ce projet sont gérés efficacement])</f>
        <v>0</v>
      </c>
      <c r="CQ3">
        <f>MAX(Table1[Si la réponse comporte moins de 2 étoiles OUI, merci de préciser votre réponse dans le champs ci-dessous :15])</f>
        <v>0</v>
      </c>
      <c r="CR3">
        <f>MAX(Table1[Points - Si la réponse comporte moins de 2 étoiles OUI, merci de préciser votre réponse dans le champs ci-dessous :15])</f>
        <v>0</v>
      </c>
      <c r="CS3">
        <f>MAX(Table1[Feedback - Si la réponse comporte moins de 2 étoiles OUI, merci de préciser votre réponse dans le champs ci-dessous :15])</f>
        <v>0</v>
      </c>
    </row>
    <row r="4" spans="1:97" x14ac:dyDescent="0.25">
      <c r="A4">
        <f>COUNT(Table1[ID])</f>
        <v>27</v>
      </c>
      <c r="B4">
        <f>COUNT(Table1[Heure de début])</f>
        <v>27</v>
      </c>
      <c r="C4">
        <f>COUNT(Table1[Heure de fin])</f>
        <v>27</v>
      </c>
      <c r="D4">
        <f>COUNT(Table1[Adresse de messagerie])</f>
        <v>0</v>
      </c>
      <c r="E4">
        <f>COUNT(Table1[Nom])</f>
        <v>0</v>
      </c>
      <c r="F4">
        <f>COUNT(Table1[Total points])</f>
        <v>0</v>
      </c>
      <c r="G4">
        <f>COUNT(Table1[Quiz feedback])</f>
        <v>0</v>
      </c>
      <c r="H4">
        <f>COUNT(Table1[CLARTE : J''ai une vision claire de l’objectif final du programme])</f>
        <v>27</v>
      </c>
      <c r="I4">
        <f>COUNT(Table1[Points - CLARTE : J''ai une vision claire de l’objectif final du programme])</f>
        <v>0</v>
      </c>
      <c r="J4">
        <f>COUNT(Table1[Feedback - CLARTE : J''ai une vision claire de l’objectif final du programme])</f>
        <v>0</v>
      </c>
      <c r="K4">
        <f>COUNT(Table1[Si la réponse comporte moins de 2 étoiles OUI, merci de préciser votre réponse dans le champs ci-dessous :])</f>
        <v>0</v>
      </c>
      <c r="L4">
        <f>COUNT(Table1[Points - Si la réponse comporte moins de 2 étoiles OUI, merci de préciser votre réponse dans le champs ci-dessous :])</f>
        <v>0</v>
      </c>
      <c r="M4">
        <f>COUNT(Table1[Feedback - Si la réponse comporte moins de 2 étoiles OUI, merci de préciser votre réponse dans le champs ci-dessous :])</f>
        <v>0</v>
      </c>
      <c r="N4">
        <f>COUNT(Table1[ALIGNEMENT : Je suis aligné sur l’objectif final du programme])</f>
        <v>27</v>
      </c>
      <c r="O4">
        <f>COUNT(Table1[Points - ALIGNEMENT : Je suis aligné sur l’objectif final du programme])</f>
        <v>0</v>
      </c>
      <c r="P4">
        <f>COUNT(Table1[Feedback - ALIGNEMENT : Je suis aligné sur l’objectif final du programme])</f>
        <v>0</v>
      </c>
      <c r="Q4">
        <f>COUNT(Table1[Si la réponse comporte moins de 2 étoiles OUI, merci de préciser votre réponse dans le champs ci-dessous :2])</f>
        <v>0</v>
      </c>
      <c r="R4">
        <f>COUNT(Table1[Points - Si la réponse comporte moins de 2 étoiles OUI, merci de préciser votre réponse dans le champs ci-dessous :2])</f>
        <v>0</v>
      </c>
      <c r="S4">
        <f>COUNT(Table1[Feedback - Si la réponse comporte moins de 2 étoiles OUI, merci de préciser votre réponse dans le champs ci-dessous :2])</f>
        <v>0</v>
      </c>
      <c r="T4">
        <f>COUNT(Table1[ENGAGEMENT  : Je supporte l’objectif du programme])</f>
        <v>27</v>
      </c>
      <c r="U4">
        <f>COUNT(Table1[Points - ENGAGEMENT  : Je supporte l’objectif du programme])</f>
        <v>0</v>
      </c>
      <c r="V4">
        <f>COUNT(Table1[Feedback - ENGAGEMENT  : Je supporte l’objectif du programme])</f>
        <v>0</v>
      </c>
      <c r="W4">
        <f>COUNT(Table1[Si la réponse comporte moins de 2 étoiles OUI, merci de préciser votre réponse dans le champs ci-dessous :3])</f>
        <v>0</v>
      </c>
      <c r="X4">
        <f>COUNT(Table1[Points - Si la réponse comporte moins de 2 étoiles OUI, merci de préciser votre réponse dans le champs ci-dessous :3])</f>
        <v>0</v>
      </c>
      <c r="Y4">
        <f>COUNT(Table1[Feedback - Si la réponse comporte moins de 2 étoiles OUI, merci de préciser votre réponse dans le champs ci-dessous :3])</f>
        <v>0</v>
      </c>
      <c r="Z4">
        <f>COUNT(Table1[SOLUTION  : L’approche pour atteindre l’objectif du programme est solide])</f>
        <v>27</v>
      </c>
      <c r="AA4">
        <f>COUNT(Table1[Points - SOLUTION  : L’approche pour atteindre l’objectif du programme est solide])</f>
        <v>0</v>
      </c>
      <c r="AB4">
        <f>COUNT(Table1[Feedback - SOLUTION  : L’approche pour atteindre l’objectif du programme est solide])</f>
        <v>0</v>
      </c>
      <c r="AC4">
        <f>COUNT(Table1[Si la réponse comporte moins de 2 étoiles OUI, merci de préciser votre réponse dans le champs ci-dessous :4])</f>
        <v>0</v>
      </c>
      <c r="AD4">
        <f>COUNT(Table1[Points - Si la réponse comporte moins de 2 étoiles OUI, merci de préciser votre réponse dans le champs ci-dessous :4])</f>
        <v>0</v>
      </c>
      <c r="AE4">
        <f>COUNT(Table1[Feedback - Si la réponse comporte moins de 2 étoiles OUI, merci de préciser votre réponse dans le champs ci-dessous :4])</f>
        <v>0</v>
      </c>
      <c r="AF4">
        <f>COUNT(Table1[INTEGRITE : Les objectifs initiaux du programme restent les mêmes])</f>
        <v>27</v>
      </c>
      <c r="AG4">
        <f>COUNT(Table1[Points - INTEGRITE : Les objectifs initiaux du programme restent les mêmes])</f>
        <v>0</v>
      </c>
      <c r="AH4">
        <f>COUNT(Table1[Feedback - INTEGRITE : Les objectifs initiaux du programme restent les mêmes])</f>
        <v>0</v>
      </c>
      <c r="AI4">
        <f>COUNT(Table1[Si la réponse comporte moins de 2 étoiles OUI, merci de préciser votre réponse dans le champs ci-dessous :5])</f>
        <v>0</v>
      </c>
      <c r="AJ4">
        <f>COUNT(Table1[Points - Si la réponse comporte moins de 2 étoiles OUI, merci de préciser votre réponse dans le champs ci-dessous :5])</f>
        <v>0</v>
      </c>
      <c r="AK4">
        <f>COUNT(Table1[Feedback - Si la réponse comporte moins de 2 étoiles OUI, merci de préciser votre réponse dans le champs ci-dessous :5])</f>
        <v>0</v>
      </c>
      <c r="AL4">
        <f>COUNT(Table1[SPONSORSHIP  : Les leaders fournissent le niveau de sponsorship suffisant pour supporter le programme])</f>
        <v>27</v>
      </c>
      <c r="AM4">
        <f>COUNT(Table1[Points - SPONSORSHIP  : Les leaders fournissent le niveau de sponsorship suffisant pour supporter le programme])</f>
        <v>0</v>
      </c>
      <c r="AN4">
        <f>COUNT(Table1[Feedback - SPONSORSHIP  : Les leaders fournissent le niveau de sponsorship suffisant pour supporter le programme])</f>
        <v>0</v>
      </c>
      <c r="AO4">
        <f>COUNT(Table1[Si la réponse comporte moins de 2 étoiles OUI, merci de préciser votre réponse dans le champs ci-dessous :6])</f>
        <v>0</v>
      </c>
      <c r="AP4">
        <f>COUNT(Table1[Points - Si la réponse comporte moins de 2 étoiles OUI, merci de préciser votre réponse dans le champs ci-dessous :6])</f>
        <v>0</v>
      </c>
      <c r="AQ4">
        <f>COUNT(Table1[Feedback - Si la réponse comporte moins de 2 étoiles OUI, merci de préciser votre réponse dans le champs ci-dessous :6])</f>
        <v>0</v>
      </c>
      <c r="AR4">
        <f>COUNT(Table1[CAPACITE : Ce changement entraine une charge de travail que nous pouvons absorber sur le site])</f>
        <v>27</v>
      </c>
      <c r="AS4">
        <f>COUNT(Table1[Points - CAPACITE : Ce changement entraine une charge de travail que nous pouvons absorber sur le site])</f>
        <v>0</v>
      </c>
      <c r="AT4">
        <f>COUNT(Table1[Feedback - CAPACITE : Ce changement entraine une charge de travail que nous pouvons absorber sur le site])</f>
        <v>0</v>
      </c>
      <c r="AU4">
        <f>COUNT(Table1[Si la réponse comporte moins de 2 étoiles OUI, merci de préciser votre réponse dans le champs ci-dessous :7])</f>
        <v>0</v>
      </c>
      <c r="AV4">
        <f>COUNT(Table1[Points - Si la réponse comporte moins de 2 étoiles OUI, merci de préciser votre réponse dans le champs ci-dessous :7])</f>
        <v>0</v>
      </c>
      <c r="AW4">
        <f>COUNT(Table1[Feedback - Si la réponse comporte moins de 2 étoiles OUI, merci de préciser votre réponse dans le champs ci-dessous :7])</f>
        <v>0</v>
      </c>
      <c r="AX4">
        <f>COUNT(Table1[CULTURE  : Nous avons la culture appropriée pour absorber ce changement])</f>
        <v>27</v>
      </c>
      <c r="AY4">
        <f>COUNT(Table1[Points - CULTURE  : Nous avons la culture appropriée pour absorber ce changement])</f>
        <v>0</v>
      </c>
      <c r="AZ4">
        <f>COUNT(Table1[Feedback - CULTURE  : Nous avons la culture appropriée pour absorber ce changement])</f>
        <v>0</v>
      </c>
      <c r="BA4">
        <f>COUNT(Table1[Si la réponse comporte moins de 2 étoiles OUI, merci de préciser votre réponse dans le champs ci-dessous :8])</f>
        <v>0</v>
      </c>
      <c r="BB4">
        <f>COUNT(Table1[Feedback - Si la réponse comporte moins de 2 étoiles OUI, merci de préciser votre réponse dans le champs ci-dessous :8])</f>
        <v>0</v>
      </c>
      <c r="BC4">
        <f>COUNT(Table1[Points - Si la réponse comporte moins de 2 étoiles OUI, merci de préciser votre réponse dans le champs ci-dessous :8])</f>
        <v>0</v>
      </c>
      <c r="BD4">
        <f>COUNT(Table1[RESISTANCE  : Les personnes impactées par ce changement démontrent l''engagement nécessaire pour réussir sa mise en place])</f>
        <v>27</v>
      </c>
      <c r="BE4">
        <f>COUNT(Table1[Feedback - RESISTANCE  : Les personnes impactées par ce changement démontrent l''engagement nécessaire pour réussir sa mise en place])</f>
        <v>0</v>
      </c>
      <c r="BF4">
        <f>COUNT(Table1[Points - RESISTANCE  : Les personnes impactées par ce changement démontrent l''engagement nécessaire pour réussir sa mise en place])</f>
        <v>0</v>
      </c>
      <c r="BG4">
        <f>COUNT(Table1[Si la réponse comporte moins de 2 étoiles OUI, merci de préciser votre réponse dans le champs ci-dessous :9])</f>
        <v>0</v>
      </c>
      <c r="BH4">
        <f>COUNT(Table1[Feedback - Si la réponse comporte moins de 2 étoiles OUI, merci de préciser votre réponse dans le champs ci-dessous :9])</f>
        <v>0</v>
      </c>
      <c r="BI4">
        <f>COUNT(Table1[Points - Si la réponse comporte moins de 2 étoiles OUI, merci de préciser votre réponse dans le champs ci-dessous :9])</f>
        <v>0</v>
      </c>
      <c r="BJ4">
        <f>COUNT(Table1[SYNERGIE : Nos efforts de collaboration pour ce projet nous font gagner du temps plus qu’il n’en coute])</f>
        <v>27</v>
      </c>
      <c r="BK4">
        <f>COUNT(Table1[Feedback - SYNERGIE : Nos efforts de collaboration pour ce projet nous font gagner du temps plus qu’il n’en coute])</f>
        <v>0</v>
      </c>
      <c r="BL4">
        <f>COUNT(Table1[Points - SYNERGIE : Nos efforts de collaboration pour ce projet nous font gagner du temps plus qu’il n’en coute])</f>
        <v>0</v>
      </c>
      <c r="BM4">
        <f>COUNT(Table1[Si la réponse comporte moins de 2 étoiles OUI, merci de préciser votre réponse dans le champs ci-dessous :10])</f>
        <v>0</v>
      </c>
      <c r="BN4">
        <f>COUNT(Table1[Feedback - Si la réponse comporte moins de 2 étoiles OUI, merci de préciser votre réponse dans le champs ci-dessous :10])</f>
        <v>0</v>
      </c>
      <c r="BO4">
        <f>COUNT(Table1[Points - Si la réponse comporte moins de 2 étoiles OUI, merci de préciser votre réponse dans le champs ci-dessous :10])</f>
        <v>0</v>
      </c>
      <c r="BP4">
        <f>COUNT(Table1[PARTENARIAT : Nos interactions avec des partenaires externes sont suffisantes pour supporter ce changement])</f>
        <v>27</v>
      </c>
      <c r="BQ4">
        <f>COUNT(Table1[Feedback - PARTENARIAT : Nos interactions avec des partenaires externes sont suffisantes pour supporter ce changement])</f>
        <v>0</v>
      </c>
      <c r="BR4">
        <f>COUNT(Table1[Points - PARTENARIAT : Nos interactions avec des partenaires externes sont suffisantes pour supporter ce changement])</f>
        <v>0</v>
      </c>
      <c r="BS4">
        <f>COUNT(Table1[Si la réponse comporte moins de 2 étoiles OUI, merci de préciser votre réponse dans le champs ci-dessous :11])</f>
        <v>0</v>
      </c>
      <c r="BT4">
        <f>COUNT(Table1[Feedback - Si la réponse comporte moins de 2 étoiles OUI, merci de préciser votre réponse dans le champs ci-dessous :11])</f>
        <v>0</v>
      </c>
      <c r="BU4">
        <f>COUNT(Table1[Points - Si la réponse comporte moins de 2 étoiles OUI, merci de préciser votre réponse dans le champs ci-dessous :11])</f>
        <v>0</v>
      </c>
      <c r="BV4">
        <f>COUNT(Table1[SUPERVISION : Les instances de pilotage permettent de prendre des décisions rapides et efficaces])</f>
        <v>27</v>
      </c>
      <c r="BW4">
        <f>COUNT(Table1[Points - SUPERVISION : Les instances de pilotage permettent de prendre des décisions rapides et efficaces])</f>
        <v>0</v>
      </c>
      <c r="BX4">
        <f>COUNT(Table1[Feedback - SUPERVISION : Les instances de pilotage permettent de prendre des décisions rapides et efficaces])</f>
        <v>0</v>
      </c>
      <c r="BY4">
        <f>COUNT(Table1[Si la réponse comporte moins de 2 étoiles OUI, merci de préciser votre réponse dans le champs ci-dessous :12])</f>
        <v>0</v>
      </c>
      <c r="BZ4">
        <f>COUNT(Table1[Points - Si la réponse comporte moins de 2 étoiles OUI, merci de préciser votre réponse dans le champs ci-dessous :12])</f>
        <v>0</v>
      </c>
      <c r="CA4">
        <f>COUNT(Table1[Feedback - Si la réponse comporte moins de 2 étoiles OUI, merci de préciser votre réponse dans le champs ci-dessous :12])</f>
        <v>0</v>
      </c>
      <c r="CB4">
        <f>COUNT(Table1[RESSOURCES : Les ressources sont suffisantes pour absorber ce changement])</f>
        <v>27</v>
      </c>
      <c r="CC4">
        <f>COUNT(Table1[Points - RESSOURCES : Les ressources sont suffisantes pour absorber ce changement])</f>
        <v>0</v>
      </c>
      <c r="CD4">
        <f>COUNT(Table1[Feedback - RESSOURCES : Les ressources sont suffisantes pour absorber ce changement])</f>
        <v>0</v>
      </c>
      <c r="CE4">
        <f>COUNT(Table1[Si la réponse comporte moins de 2 étoiles OUI, merci de préciser votre réponse dans le champs ci-dessous :13])</f>
        <v>0</v>
      </c>
      <c r="CF4">
        <f>COUNT(Table1[Points - Si la réponse comporte moins de 2 étoiles OUI, merci de préciser votre réponse dans le champs ci-dessous :13])</f>
        <v>0</v>
      </c>
      <c r="CG4">
        <f>COUNT(Table1[Feedback - Si la réponse comporte moins de 2 étoiles OUI, merci de préciser votre réponse dans le champs ci-dessous :13])</f>
        <v>0</v>
      </c>
      <c r="CH4">
        <f>COUNT(Table1[PORTFOLIO : Les interactions de ce projet avec les autres initiatives sont gérées correctement])</f>
        <v>27</v>
      </c>
      <c r="CI4">
        <f>COUNT(Table1[Points - PORTFOLIO : Les interactions de ce projet avec les autres initiatives sont gérées correctement])</f>
        <v>0</v>
      </c>
      <c r="CJ4">
        <f>COUNT(Table1[Feedback - PORTFOLIO : Les interactions de ce projet avec les autres initiatives sont gérées correctement])</f>
        <v>0</v>
      </c>
      <c r="CK4">
        <f>COUNT(Table1[Si la réponse comporte moins de 2 étoiles OUI, merci de préciser votre réponse dans le champs ci-dessous :14])</f>
        <v>0</v>
      </c>
      <c r="CL4">
        <f>COUNT(Table1[Points - Si la réponse comporte moins de 2 étoiles OUI, merci de préciser votre réponse dans le champs ci-dessous :14])</f>
        <v>0</v>
      </c>
      <c r="CM4">
        <f>COUNT(Table1[Feedback - Si la réponse comporte moins de 2 étoiles OUI, merci de préciser votre réponse dans le champs ci-dessous :14])</f>
        <v>0</v>
      </c>
      <c r="CN4">
        <f>COUNT(Table1[CHEMIN CRITIQUE : Les délais et ressources à travers de ce projet sont gérés efficacement])</f>
        <v>27</v>
      </c>
      <c r="CO4">
        <f>COUNT(Table1[Points - CHEMIN CRITIQUE : Les délais et ressources à travers de ce projet sont gérés efficacement])</f>
        <v>0</v>
      </c>
      <c r="CP4">
        <f>COUNT(Table1[Feedback - CHEMIN CRITIQUE : Les délais et ressources à travers de ce projet sont gérés efficacement])</f>
        <v>0</v>
      </c>
      <c r="CQ4">
        <f>COUNT(Table1[Si la réponse comporte moins de 2 étoiles OUI, merci de préciser votre réponse dans le champs ci-dessous :15])</f>
        <v>0</v>
      </c>
      <c r="CR4">
        <f>COUNT(Table1[Points - Si la réponse comporte moins de 2 étoiles OUI, merci de préciser votre réponse dans le champs ci-dessous :15])</f>
        <v>0</v>
      </c>
      <c r="CS4">
        <f>COUNT(Table1[Feedback - Si la réponse comporte moins de 2 étoiles OUI, merci de préciser votre réponse dans le champs ci-dessous :15])</f>
        <v>0</v>
      </c>
    </row>
    <row r="5" spans="1:97" x14ac:dyDescent="0.25">
      <c r="A5" t="s">
        <v>0</v>
      </c>
      <c r="B5" t="s">
        <v>1</v>
      </c>
      <c r="C5" t="s">
        <v>2</v>
      </c>
      <c r="D5" t="s">
        <v>3</v>
      </c>
      <c r="E5" t="s">
        <v>4</v>
      </c>
      <c r="F5" t="s">
        <v>5</v>
      </c>
      <c r="G5" t="s">
        <v>6</v>
      </c>
      <c r="H5" t="s">
        <v>7</v>
      </c>
      <c r="I5" t="s">
        <v>8</v>
      </c>
      <c r="J5" t="s">
        <v>9</v>
      </c>
      <c r="K5" t="s">
        <v>10</v>
      </c>
      <c r="L5" t="s">
        <v>11</v>
      </c>
      <c r="M5" t="s">
        <v>12</v>
      </c>
      <c r="N5" t="s">
        <v>13</v>
      </c>
      <c r="O5" t="s">
        <v>14</v>
      </c>
      <c r="P5" t="s">
        <v>15</v>
      </c>
      <c r="Q5" t="s">
        <v>16</v>
      </c>
      <c r="R5" t="s">
        <v>17</v>
      </c>
      <c r="S5" t="s">
        <v>18</v>
      </c>
      <c r="T5" t="s">
        <v>19</v>
      </c>
      <c r="U5" t="s">
        <v>20</v>
      </c>
      <c r="V5" t="s">
        <v>21</v>
      </c>
      <c r="W5" t="s">
        <v>22</v>
      </c>
      <c r="X5" t="s">
        <v>23</v>
      </c>
      <c r="Y5" t="s">
        <v>24</v>
      </c>
      <c r="Z5" t="s">
        <v>25</v>
      </c>
      <c r="AA5" t="s">
        <v>26</v>
      </c>
      <c r="AB5" t="s">
        <v>27</v>
      </c>
      <c r="AC5" t="s">
        <v>28</v>
      </c>
      <c r="AD5" t="s">
        <v>29</v>
      </c>
      <c r="AE5" t="s">
        <v>30</v>
      </c>
      <c r="AF5" t="s">
        <v>31</v>
      </c>
      <c r="AG5" t="s">
        <v>32</v>
      </c>
      <c r="AH5" t="s">
        <v>33</v>
      </c>
      <c r="AI5" t="s">
        <v>34</v>
      </c>
      <c r="AJ5" t="s">
        <v>35</v>
      </c>
      <c r="AK5" t="s">
        <v>36</v>
      </c>
      <c r="AL5" t="s">
        <v>37</v>
      </c>
      <c r="AM5" t="s">
        <v>38</v>
      </c>
      <c r="AN5" t="s">
        <v>39</v>
      </c>
      <c r="AO5" t="s">
        <v>40</v>
      </c>
      <c r="AP5" t="s">
        <v>41</v>
      </c>
      <c r="AQ5" t="s">
        <v>42</v>
      </c>
      <c r="AR5" t="s">
        <v>43</v>
      </c>
      <c r="AS5" t="s">
        <v>44</v>
      </c>
      <c r="AT5" t="s">
        <v>45</v>
      </c>
      <c r="AU5" t="s">
        <v>46</v>
      </c>
      <c r="AV5" t="s">
        <v>47</v>
      </c>
      <c r="AW5" t="s">
        <v>48</v>
      </c>
      <c r="AX5" t="s">
        <v>49</v>
      </c>
      <c r="AY5" t="s">
        <v>50</v>
      </c>
      <c r="AZ5" t="s">
        <v>51</v>
      </c>
      <c r="BA5" t="s">
        <v>52</v>
      </c>
      <c r="BB5" t="s">
        <v>53</v>
      </c>
      <c r="BC5" t="s">
        <v>54</v>
      </c>
      <c r="BD5" t="s">
        <v>55</v>
      </c>
      <c r="BE5" t="s">
        <v>56</v>
      </c>
      <c r="BF5" t="s">
        <v>57</v>
      </c>
      <c r="BG5" t="s">
        <v>58</v>
      </c>
      <c r="BH5" t="s">
        <v>59</v>
      </c>
      <c r="BI5" t="s">
        <v>60</v>
      </c>
      <c r="BJ5" t="s">
        <v>61</v>
      </c>
      <c r="BK5" t="s">
        <v>62</v>
      </c>
      <c r="BL5" t="s">
        <v>63</v>
      </c>
      <c r="BM5" t="s">
        <v>64</v>
      </c>
      <c r="BN5" t="s">
        <v>65</v>
      </c>
      <c r="BO5" t="s">
        <v>66</v>
      </c>
      <c r="BP5" t="s">
        <v>67</v>
      </c>
      <c r="BQ5" t="s">
        <v>68</v>
      </c>
      <c r="BR5" t="s">
        <v>69</v>
      </c>
      <c r="BS5" t="s">
        <v>70</v>
      </c>
      <c r="BT5" t="s">
        <v>71</v>
      </c>
      <c r="BU5" t="s">
        <v>72</v>
      </c>
      <c r="BV5" t="s">
        <v>73</v>
      </c>
      <c r="BW5" t="s">
        <v>74</v>
      </c>
      <c r="BX5" t="s">
        <v>75</v>
      </c>
      <c r="BY5" t="s">
        <v>76</v>
      </c>
      <c r="BZ5" t="s">
        <v>77</v>
      </c>
      <c r="CA5" t="s">
        <v>78</v>
      </c>
      <c r="CB5" t="s">
        <v>79</v>
      </c>
      <c r="CC5" t="s">
        <v>80</v>
      </c>
      <c r="CD5" t="s">
        <v>81</v>
      </c>
      <c r="CE5" t="s">
        <v>82</v>
      </c>
      <c r="CF5" t="s">
        <v>83</v>
      </c>
      <c r="CG5" t="s">
        <v>84</v>
      </c>
      <c r="CH5" t="s">
        <v>85</v>
      </c>
      <c r="CI5" t="s">
        <v>86</v>
      </c>
      <c r="CJ5" t="s">
        <v>87</v>
      </c>
      <c r="CK5" t="s">
        <v>88</v>
      </c>
      <c r="CL5" t="s">
        <v>89</v>
      </c>
      <c r="CM5" t="s">
        <v>90</v>
      </c>
      <c r="CN5" t="s">
        <v>91</v>
      </c>
      <c r="CO5" t="s">
        <v>92</v>
      </c>
      <c r="CP5" t="s">
        <v>93</v>
      </c>
      <c r="CQ5" t="s">
        <v>94</v>
      </c>
      <c r="CR5" t="s">
        <v>95</v>
      </c>
      <c r="CS5" t="s">
        <v>96</v>
      </c>
    </row>
    <row r="6" spans="1:97" x14ac:dyDescent="0.25">
      <c r="A6">
        <v>4</v>
      </c>
      <c r="B6" s="1">
        <v>44896.704687500001</v>
      </c>
      <c r="C6" s="1">
        <v>44896.705277777801</v>
      </c>
      <c r="D6" t="s">
        <v>97</v>
      </c>
      <c r="H6">
        <v>4</v>
      </c>
      <c r="N6">
        <v>2</v>
      </c>
      <c r="T6">
        <v>5</v>
      </c>
      <c r="Z6">
        <v>3</v>
      </c>
      <c r="AF6">
        <v>5</v>
      </c>
      <c r="AL6">
        <v>3</v>
      </c>
      <c r="AR6">
        <v>5</v>
      </c>
      <c r="AX6">
        <v>4</v>
      </c>
      <c r="BD6">
        <v>5</v>
      </c>
      <c r="BJ6">
        <v>5</v>
      </c>
      <c r="BP6">
        <v>3</v>
      </c>
      <c r="BV6">
        <v>2</v>
      </c>
      <c r="CB6">
        <v>2</v>
      </c>
      <c r="CH6">
        <v>4</v>
      </c>
      <c r="CN6">
        <v>2</v>
      </c>
    </row>
    <row r="7" spans="1:97" x14ac:dyDescent="0.25">
      <c r="A7">
        <v>5</v>
      </c>
      <c r="B7" s="1">
        <v>44900.486053240696</v>
      </c>
      <c r="C7" s="1">
        <v>44900.487129629597</v>
      </c>
      <c r="D7" t="s">
        <v>97</v>
      </c>
      <c r="H7">
        <v>4</v>
      </c>
      <c r="N7">
        <v>5</v>
      </c>
      <c r="T7">
        <v>5</v>
      </c>
      <c r="Z7">
        <v>4</v>
      </c>
      <c r="AF7">
        <v>4</v>
      </c>
      <c r="AL7">
        <v>4</v>
      </c>
      <c r="AR7">
        <v>4</v>
      </c>
      <c r="AX7">
        <v>4</v>
      </c>
      <c r="BD7">
        <v>4</v>
      </c>
      <c r="BJ7">
        <v>4</v>
      </c>
      <c r="BP7">
        <v>4</v>
      </c>
      <c r="BV7">
        <v>4</v>
      </c>
      <c r="CB7">
        <v>4</v>
      </c>
      <c r="CH7">
        <v>4</v>
      </c>
      <c r="CN7">
        <v>4</v>
      </c>
    </row>
    <row r="8" spans="1:97" x14ac:dyDescent="0.25">
      <c r="A8">
        <v>6</v>
      </c>
      <c r="B8" s="1">
        <v>44900.486655092602</v>
      </c>
      <c r="C8" s="1">
        <v>44900.489108796297</v>
      </c>
      <c r="D8" t="s">
        <v>97</v>
      </c>
      <c r="H8">
        <v>5</v>
      </c>
      <c r="N8">
        <v>5</v>
      </c>
      <c r="T8">
        <v>5</v>
      </c>
      <c r="Z8">
        <v>3</v>
      </c>
      <c r="AF8">
        <v>5</v>
      </c>
      <c r="AL8">
        <v>4</v>
      </c>
      <c r="AR8">
        <v>2</v>
      </c>
      <c r="AX8">
        <v>3</v>
      </c>
      <c r="BD8">
        <v>4</v>
      </c>
      <c r="BJ8">
        <v>3</v>
      </c>
      <c r="BP8">
        <v>3</v>
      </c>
      <c r="BV8">
        <v>4</v>
      </c>
      <c r="CB8">
        <v>2</v>
      </c>
      <c r="CH8">
        <v>4</v>
      </c>
      <c r="CN8">
        <v>3</v>
      </c>
    </row>
    <row r="9" spans="1:97" x14ac:dyDescent="0.25">
      <c r="A9">
        <v>7</v>
      </c>
      <c r="B9" s="1">
        <v>44900.487106481502</v>
      </c>
      <c r="C9" s="1">
        <v>44900.4900694444</v>
      </c>
      <c r="D9" t="s">
        <v>97</v>
      </c>
      <c r="H9">
        <v>5</v>
      </c>
      <c r="N9">
        <v>4</v>
      </c>
      <c r="T9">
        <v>5</v>
      </c>
      <c r="Z9">
        <v>5</v>
      </c>
      <c r="AF9">
        <v>4</v>
      </c>
      <c r="AL9">
        <v>5</v>
      </c>
      <c r="AR9">
        <v>4</v>
      </c>
      <c r="AX9">
        <v>5</v>
      </c>
      <c r="BD9">
        <v>5</v>
      </c>
      <c r="BJ9">
        <v>4</v>
      </c>
      <c r="BP9">
        <v>4</v>
      </c>
      <c r="BV9">
        <v>5</v>
      </c>
      <c r="CB9">
        <v>4</v>
      </c>
      <c r="CH9">
        <v>5</v>
      </c>
      <c r="CN9">
        <v>4</v>
      </c>
    </row>
    <row r="10" spans="1:97" x14ac:dyDescent="0.25">
      <c r="A10">
        <v>8</v>
      </c>
      <c r="B10" s="1">
        <v>44900.489143518498</v>
      </c>
      <c r="C10" s="1">
        <v>44900.493634259299</v>
      </c>
      <c r="D10" t="s">
        <v>97</v>
      </c>
      <c r="H10">
        <v>3</v>
      </c>
      <c r="N10">
        <v>3</v>
      </c>
      <c r="T10">
        <v>3</v>
      </c>
      <c r="Z10">
        <v>2</v>
      </c>
      <c r="AF10">
        <v>1</v>
      </c>
      <c r="AI10" t="s">
        <v>98</v>
      </c>
      <c r="AL10">
        <v>4</v>
      </c>
      <c r="AR10">
        <v>1</v>
      </c>
      <c r="AU10" t="s">
        <v>99</v>
      </c>
      <c r="AX10">
        <v>2</v>
      </c>
      <c r="BD10">
        <v>2</v>
      </c>
      <c r="BJ10">
        <v>4</v>
      </c>
      <c r="BP10">
        <v>3</v>
      </c>
      <c r="BV10">
        <v>3</v>
      </c>
      <c r="CB10">
        <v>2</v>
      </c>
      <c r="CH10">
        <v>1</v>
      </c>
      <c r="CK10" t="s">
        <v>100</v>
      </c>
      <c r="CN10">
        <v>2</v>
      </c>
    </row>
    <row r="11" spans="1:97" x14ac:dyDescent="0.25">
      <c r="A11">
        <v>9</v>
      </c>
      <c r="B11" s="1">
        <v>44900.509212962999</v>
      </c>
      <c r="C11" s="1">
        <v>44900.515011574098</v>
      </c>
      <c r="D11" t="s">
        <v>97</v>
      </c>
      <c r="H11">
        <v>5</v>
      </c>
      <c r="N11">
        <v>5</v>
      </c>
      <c r="T11">
        <v>5</v>
      </c>
      <c r="Z11">
        <v>5</v>
      </c>
      <c r="AF11">
        <v>5</v>
      </c>
      <c r="AL11">
        <v>5</v>
      </c>
      <c r="AR11">
        <v>5</v>
      </c>
      <c r="AX11">
        <v>5</v>
      </c>
      <c r="BD11">
        <v>5</v>
      </c>
      <c r="BJ11">
        <v>5</v>
      </c>
      <c r="BP11">
        <v>5</v>
      </c>
      <c r="BV11">
        <v>4</v>
      </c>
      <c r="BY11" t="s">
        <v>101</v>
      </c>
      <c r="CB11">
        <v>5</v>
      </c>
      <c r="CH11">
        <v>5</v>
      </c>
      <c r="CN11">
        <v>4</v>
      </c>
      <c r="CQ11" t="s">
        <v>102</v>
      </c>
    </row>
    <row r="12" spans="1:97" x14ac:dyDescent="0.25">
      <c r="A12">
        <v>10</v>
      </c>
      <c r="B12" s="1">
        <v>44900.543784722198</v>
      </c>
      <c r="C12" s="1">
        <v>44900.549768518496</v>
      </c>
      <c r="D12" t="s">
        <v>97</v>
      </c>
      <c r="H12">
        <v>5</v>
      </c>
      <c r="N12">
        <v>5</v>
      </c>
      <c r="T12">
        <v>5</v>
      </c>
      <c r="Z12">
        <v>4</v>
      </c>
      <c r="AC12" t="s">
        <v>103</v>
      </c>
      <c r="AF12">
        <v>4</v>
      </c>
      <c r="AI12" t="s">
        <v>104</v>
      </c>
      <c r="AL12">
        <v>5</v>
      </c>
      <c r="AR12">
        <v>4</v>
      </c>
      <c r="AX12">
        <v>5</v>
      </c>
      <c r="BD12">
        <v>4</v>
      </c>
      <c r="BJ12">
        <v>4</v>
      </c>
      <c r="BP12">
        <v>5</v>
      </c>
      <c r="BV12">
        <v>5</v>
      </c>
      <c r="CB12">
        <v>4</v>
      </c>
      <c r="CH12">
        <v>4</v>
      </c>
      <c r="CK12" t="s">
        <v>105</v>
      </c>
      <c r="CN12">
        <v>5</v>
      </c>
    </row>
    <row r="13" spans="1:97" x14ac:dyDescent="0.25">
      <c r="A13">
        <v>11</v>
      </c>
      <c r="B13" s="1">
        <v>44900.551736111098</v>
      </c>
      <c r="C13" s="1">
        <v>44900.555081018501</v>
      </c>
      <c r="D13" t="s">
        <v>97</v>
      </c>
      <c r="H13">
        <v>5</v>
      </c>
      <c r="N13">
        <v>5</v>
      </c>
      <c r="T13">
        <v>5</v>
      </c>
      <c r="Z13">
        <v>5</v>
      </c>
      <c r="AF13">
        <v>5</v>
      </c>
      <c r="AL13">
        <v>5</v>
      </c>
      <c r="AR13">
        <v>5</v>
      </c>
      <c r="AX13">
        <v>4</v>
      </c>
      <c r="BD13">
        <v>5</v>
      </c>
      <c r="BJ13">
        <v>3</v>
      </c>
      <c r="BP13">
        <v>5</v>
      </c>
      <c r="BV13">
        <v>4</v>
      </c>
      <c r="CB13">
        <v>4</v>
      </c>
      <c r="CH13">
        <v>5</v>
      </c>
      <c r="CN13">
        <v>5</v>
      </c>
    </row>
    <row r="14" spans="1:97" x14ac:dyDescent="0.25">
      <c r="A14">
        <v>12</v>
      </c>
      <c r="B14" s="1">
        <v>44900.562013888899</v>
      </c>
      <c r="C14" s="1">
        <v>44900.564398148097</v>
      </c>
      <c r="D14" t="s">
        <v>97</v>
      </c>
      <c r="H14">
        <v>4</v>
      </c>
      <c r="N14">
        <v>4</v>
      </c>
      <c r="T14">
        <v>5</v>
      </c>
      <c r="Z14">
        <v>5</v>
      </c>
      <c r="AF14">
        <v>5</v>
      </c>
      <c r="AL14">
        <v>5</v>
      </c>
      <c r="AR14">
        <v>5</v>
      </c>
      <c r="AX14">
        <v>5</v>
      </c>
      <c r="BD14">
        <v>5</v>
      </c>
      <c r="BJ14">
        <v>5</v>
      </c>
      <c r="BP14">
        <v>4</v>
      </c>
      <c r="BV14">
        <v>5</v>
      </c>
      <c r="CB14">
        <v>4</v>
      </c>
      <c r="CH14">
        <v>4</v>
      </c>
      <c r="CN14">
        <v>5</v>
      </c>
    </row>
    <row r="15" spans="1:97" x14ac:dyDescent="0.25">
      <c r="A15">
        <v>13</v>
      </c>
      <c r="B15" s="1">
        <v>44900.561886574098</v>
      </c>
      <c r="C15" s="1">
        <v>44900.564606481501</v>
      </c>
      <c r="D15" t="s">
        <v>97</v>
      </c>
      <c r="H15">
        <v>5</v>
      </c>
      <c r="N15">
        <v>4</v>
      </c>
      <c r="T15">
        <v>5</v>
      </c>
      <c r="Z15">
        <v>3</v>
      </c>
      <c r="AF15">
        <v>4</v>
      </c>
      <c r="AL15">
        <v>5</v>
      </c>
      <c r="AR15">
        <v>4</v>
      </c>
      <c r="AX15">
        <v>4</v>
      </c>
      <c r="BD15">
        <v>5</v>
      </c>
      <c r="BJ15">
        <v>5</v>
      </c>
      <c r="BP15">
        <v>5</v>
      </c>
      <c r="BV15">
        <v>2</v>
      </c>
      <c r="BY15" t="s">
        <v>106</v>
      </c>
      <c r="CB15">
        <v>4</v>
      </c>
      <c r="CH15">
        <v>4</v>
      </c>
      <c r="CN15">
        <v>3</v>
      </c>
    </row>
    <row r="16" spans="1:97" x14ac:dyDescent="0.25">
      <c r="A16">
        <v>14</v>
      </c>
      <c r="B16" s="1">
        <v>44900.571053240703</v>
      </c>
      <c r="C16" s="1">
        <v>44900.573391203703</v>
      </c>
      <c r="D16" t="s">
        <v>97</v>
      </c>
      <c r="H16">
        <v>3</v>
      </c>
      <c r="N16">
        <v>3</v>
      </c>
      <c r="T16">
        <v>3</v>
      </c>
      <c r="Z16">
        <v>3</v>
      </c>
      <c r="AF16">
        <v>3</v>
      </c>
      <c r="AL16">
        <v>3</v>
      </c>
      <c r="AR16">
        <v>2</v>
      </c>
      <c r="AX16">
        <v>4</v>
      </c>
      <c r="BD16">
        <v>3</v>
      </c>
      <c r="BJ16">
        <v>2</v>
      </c>
      <c r="BP16">
        <v>3</v>
      </c>
      <c r="BV16">
        <v>2</v>
      </c>
      <c r="CB16">
        <v>3</v>
      </c>
      <c r="CH16">
        <v>3</v>
      </c>
      <c r="CN16">
        <v>3</v>
      </c>
    </row>
    <row r="17" spans="1:95" x14ac:dyDescent="0.25">
      <c r="A17">
        <v>15</v>
      </c>
      <c r="B17" s="1">
        <v>44900.581909722197</v>
      </c>
      <c r="C17" s="1">
        <v>44900.583206018498</v>
      </c>
      <c r="D17" t="s">
        <v>97</v>
      </c>
      <c r="H17">
        <v>3</v>
      </c>
      <c r="N17">
        <v>3</v>
      </c>
      <c r="T17">
        <v>5</v>
      </c>
      <c r="Z17">
        <v>3</v>
      </c>
      <c r="AF17">
        <v>3</v>
      </c>
      <c r="AL17">
        <v>3</v>
      </c>
      <c r="AR17">
        <v>5</v>
      </c>
      <c r="AX17">
        <v>3</v>
      </c>
      <c r="BD17">
        <v>5</v>
      </c>
      <c r="BJ17">
        <v>5</v>
      </c>
      <c r="BP17">
        <v>3</v>
      </c>
      <c r="BV17">
        <v>3</v>
      </c>
      <c r="CB17">
        <v>3</v>
      </c>
      <c r="CH17">
        <v>3</v>
      </c>
      <c r="CN17">
        <v>3</v>
      </c>
    </row>
    <row r="18" spans="1:95" x14ac:dyDescent="0.25">
      <c r="A18">
        <v>16</v>
      </c>
      <c r="B18" s="1">
        <v>44900.596388888902</v>
      </c>
      <c r="C18" s="1">
        <v>44900.598263888904</v>
      </c>
      <c r="D18" t="s">
        <v>97</v>
      </c>
      <c r="H18">
        <v>5</v>
      </c>
      <c r="N18">
        <v>5</v>
      </c>
      <c r="T18">
        <v>5</v>
      </c>
      <c r="Z18">
        <v>4</v>
      </c>
      <c r="AF18">
        <v>4</v>
      </c>
      <c r="AL18">
        <v>3</v>
      </c>
      <c r="AR18">
        <v>2</v>
      </c>
      <c r="AX18">
        <v>4</v>
      </c>
      <c r="BD18">
        <v>4</v>
      </c>
      <c r="BJ18">
        <v>3</v>
      </c>
      <c r="BP18">
        <v>3</v>
      </c>
      <c r="BV18">
        <v>3</v>
      </c>
      <c r="CB18">
        <v>2</v>
      </c>
      <c r="CH18">
        <v>4</v>
      </c>
      <c r="CN18">
        <v>2</v>
      </c>
    </row>
    <row r="19" spans="1:95" x14ac:dyDescent="0.25">
      <c r="A19">
        <v>17</v>
      </c>
      <c r="B19" s="1">
        <v>44900.612858796303</v>
      </c>
      <c r="C19" s="1">
        <v>44900.6143981481</v>
      </c>
      <c r="D19" t="s">
        <v>97</v>
      </c>
      <c r="H19">
        <v>4</v>
      </c>
      <c r="N19">
        <v>3</v>
      </c>
      <c r="T19">
        <v>4</v>
      </c>
      <c r="Z19">
        <v>4</v>
      </c>
      <c r="AF19">
        <v>4</v>
      </c>
      <c r="AL19">
        <v>3</v>
      </c>
      <c r="AR19">
        <v>2</v>
      </c>
      <c r="AX19">
        <v>4</v>
      </c>
      <c r="BD19">
        <v>4</v>
      </c>
      <c r="BJ19">
        <v>4</v>
      </c>
      <c r="BP19">
        <v>3</v>
      </c>
      <c r="BV19">
        <v>3</v>
      </c>
      <c r="CB19">
        <v>2</v>
      </c>
      <c r="CH19">
        <v>2</v>
      </c>
      <c r="CN19">
        <v>3</v>
      </c>
    </row>
    <row r="20" spans="1:95" x14ac:dyDescent="0.25">
      <c r="A20">
        <v>18</v>
      </c>
      <c r="B20" s="1">
        <v>44900.623946759297</v>
      </c>
      <c r="C20" s="1">
        <v>44900.625081018501</v>
      </c>
      <c r="D20" t="s">
        <v>97</v>
      </c>
      <c r="H20">
        <v>4</v>
      </c>
      <c r="N20">
        <v>4</v>
      </c>
      <c r="T20">
        <v>4</v>
      </c>
      <c r="Z20">
        <v>3</v>
      </c>
      <c r="AF20">
        <v>3</v>
      </c>
      <c r="AL20">
        <v>3</v>
      </c>
      <c r="AR20">
        <v>3</v>
      </c>
      <c r="AX20">
        <v>4</v>
      </c>
      <c r="BD20">
        <v>4</v>
      </c>
      <c r="BJ20">
        <v>3</v>
      </c>
      <c r="BP20">
        <v>3</v>
      </c>
      <c r="BV20">
        <v>2</v>
      </c>
      <c r="CB20">
        <v>3</v>
      </c>
      <c r="CH20">
        <v>3</v>
      </c>
      <c r="CN20">
        <v>3</v>
      </c>
    </row>
    <row r="21" spans="1:95" x14ac:dyDescent="0.25">
      <c r="A21">
        <v>19</v>
      </c>
      <c r="B21" s="1">
        <v>44900.618252314802</v>
      </c>
      <c r="C21" s="1">
        <v>44900.643263888902</v>
      </c>
      <c r="D21" t="s">
        <v>97</v>
      </c>
      <c r="H21">
        <v>3</v>
      </c>
      <c r="K21" t="s">
        <v>107</v>
      </c>
      <c r="N21">
        <v>3</v>
      </c>
      <c r="T21">
        <v>4</v>
      </c>
      <c r="Z21">
        <v>3</v>
      </c>
      <c r="AF21">
        <v>3</v>
      </c>
      <c r="AL21">
        <v>1</v>
      </c>
      <c r="AO21" t="s">
        <v>108</v>
      </c>
      <c r="AR21">
        <v>1</v>
      </c>
      <c r="AU21" t="s">
        <v>109</v>
      </c>
      <c r="AX21">
        <v>1</v>
      </c>
      <c r="BA21" t="s">
        <v>110</v>
      </c>
      <c r="BD21">
        <v>1</v>
      </c>
      <c r="BG21" t="s">
        <v>111</v>
      </c>
      <c r="BJ21">
        <v>3</v>
      </c>
      <c r="BP21">
        <v>3</v>
      </c>
      <c r="BV21">
        <v>2</v>
      </c>
      <c r="CB21">
        <v>1</v>
      </c>
      <c r="CE21" t="s">
        <v>112</v>
      </c>
      <c r="CH21">
        <v>1</v>
      </c>
      <c r="CK21" t="s">
        <v>113</v>
      </c>
      <c r="CN21">
        <v>2</v>
      </c>
    </row>
    <row r="22" spans="1:95" x14ac:dyDescent="0.25">
      <c r="A22">
        <v>20</v>
      </c>
      <c r="B22" s="1">
        <v>44900.6877662037</v>
      </c>
      <c r="C22" s="1">
        <v>44900.689826388902</v>
      </c>
      <c r="D22" t="s">
        <v>97</v>
      </c>
      <c r="H22">
        <v>5</v>
      </c>
      <c r="N22">
        <v>5</v>
      </c>
      <c r="T22">
        <v>5</v>
      </c>
      <c r="Z22">
        <v>5</v>
      </c>
      <c r="AF22">
        <v>5</v>
      </c>
      <c r="AL22">
        <v>5</v>
      </c>
      <c r="AR22">
        <v>4</v>
      </c>
      <c r="AX22">
        <v>3</v>
      </c>
      <c r="BD22">
        <v>5</v>
      </c>
      <c r="BJ22">
        <v>3</v>
      </c>
      <c r="BP22">
        <v>4</v>
      </c>
      <c r="BV22">
        <v>4</v>
      </c>
      <c r="CB22">
        <v>3</v>
      </c>
      <c r="CH22">
        <v>3</v>
      </c>
      <c r="CN22">
        <v>4</v>
      </c>
    </row>
    <row r="23" spans="1:95" x14ac:dyDescent="0.25">
      <c r="A23">
        <v>21</v>
      </c>
      <c r="B23" s="1">
        <v>44900.493483796301</v>
      </c>
      <c r="C23" s="1">
        <v>44900.714837963002</v>
      </c>
      <c r="D23" t="s">
        <v>97</v>
      </c>
      <c r="H23">
        <v>4</v>
      </c>
      <c r="N23">
        <v>4</v>
      </c>
      <c r="T23">
        <v>5</v>
      </c>
      <c r="Z23">
        <v>4</v>
      </c>
      <c r="AF23">
        <v>1</v>
      </c>
      <c r="AI23" t="s">
        <v>114</v>
      </c>
      <c r="AL23">
        <v>3</v>
      </c>
      <c r="AR23">
        <v>1</v>
      </c>
      <c r="AU23" t="s">
        <v>115</v>
      </c>
      <c r="AX23">
        <v>1</v>
      </c>
      <c r="BA23" t="s">
        <v>116</v>
      </c>
      <c r="BD23">
        <v>5</v>
      </c>
      <c r="BJ23">
        <v>4</v>
      </c>
      <c r="BP23">
        <v>4</v>
      </c>
      <c r="BV23">
        <v>4</v>
      </c>
      <c r="CB23">
        <v>1</v>
      </c>
      <c r="CE23" t="s">
        <v>117</v>
      </c>
      <c r="CH23">
        <v>3</v>
      </c>
      <c r="CN23">
        <v>4</v>
      </c>
    </row>
    <row r="24" spans="1:95" x14ac:dyDescent="0.25">
      <c r="A24">
        <v>22</v>
      </c>
      <c r="B24" s="1">
        <v>44901.378043981502</v>
      </c>
      <c r="C24" s="1">
        <v>44901.384097222202</v>
      </c>
      <c r="D24" t="s">
        <v>97</v>
      </c>
      <c r="H24">
        <v>3</v>
      </c>
      <c r="N24">
        <v>5</v>
      </c>
      <c r="T24">
        <v>5</v>
      </c>
      <c r="Z24">
        <v>3</v>
      </c>
      <c r="AF24">
        <v>3</v>
      </c>
      <c r="AL24">
        <v>3</v>
      </c>
      <c r="AR24">
        <v>1</v>
      </c>
      <c r="AU24" t="s">
        <v>118</v>
      </c>
      <c r="AX24">
        <v>4</v>
      </c>
      <c r="BD24">
        <v>4</v>
      </c>
      <c r="BJ24">
        <v>1</v>
      </c>
      <c r="BM24" t="s">
        <v>119</v>
      </c>
      <c r="BP24">
        <v>3</v>
      </c>
      <c r="BS24" t="s">
        <v>120</v>
      </c>
      <c r="BV24">
        <v>3</v>
      </c>
      <c r="BY24" t="s">
        <v>121</v>
      </c>
      <c r="CB24">
        <v>3</v>
      </c>
      <c r="CH24">
        <v>3</v>
      </c>
      <c r="CN24">
        <v>3</v>
      </c>
    </row>
    <row r="25" spans="1:95" x14ac:dyDescent="0.25">
      <c r="A25">
        <v>23</v>
      </c>
      <c r="B25" s="1">
        <v>44901.3957407407</v>
      </c>
      <c r="C25" s="1">
        <v>44901.398275462998</v>
      </c>
      <c r="D25" t="s">
        <v>97</v>
      </c>
      <c r="H25">
        <v>4</v>
      </c>
      <c r="N25">
        <v>3</v>
      </c>
      <c r="T25">
        <v>4</v>
      </c>
      <c r="Z25">
        <v>3</v>
      </c>
      <c r="AF25">
        <v>3</v>
      </c>
      <c r="AL25">
        <v>2</v>
      </c>
      <c r="AR25">
        <v>4</v>
      </c>
      <c r="AX25">
        <v>3</v>
      </c>
      <c r="BD25">
        <v>4</v>
      </c>
      <c r="BJ25">
        <v>3</v>
      </c>
      <c r="BP25">
        <v>4</v>
      </c>
      <c r="BV25">
        <v>4</v>
      </c>
      <c r="CB25">
        <v>3</v>
      </c>
      <c r="CH25">
        <v>4</v>
      </c>
      <c r="CN25">
        <v>3</v>
      </c>
    </row>
    <row r="26" spans="1:95" x14ac:dyDescent="0.25">
      <c r="A26">
        <v>24</v>
      </c>
      <c r="B26" s="1">
        <v>44901.4363773148</v>
      </c>
      <c r="C26" s="1">
        <v>44901.4445949074</v>
      </c>
      <c r="D26" t="s">
        <v>97</v>
      </c>
      <c r="H26">
        <v>5</v>
      </c>
      <c r="N26">
        <v>5</v>
      </c>
      <c r="T26">
        <v>5</v>
      </c>
      <c r="Z26">
        <v>4</v>
      </c>
      <c r="AF26">
        <v>4</v>
      </c>
      <c r="AL26">
        <v>4</v>
      </c>
      <c r="AR26">
        <v>4</v>
      </c>
      <c r="AX26">
        <v>4</v>
      </c>
      <c r="BD26">
        <v>4</v>
      </c>
      <c r="BJ26">
        <v>4</v>
      </c>
      <c r="BP26">
        <v>4</v>
      </c>
      <c r="BV26">
        <v>4</v>
      </c>
      <c r="CB26">
        <v>4</v>
      </c>
      <c r="CH26">
        <v>4</v>
      </c>
      <c r="CN26">
        <v>4</v>
      </c>
    </row>
    <row r="27" spans="1:95" x14ac:dyDescent="0.25">
      <c r="A27">
        <v>25</v>
      </c>
      <c r="B27" s="1">
        <v>44901.5686921296</v>
      </c>
      <c r="C27" s="1">
        <v>44901.5713888889</v>
      </c>
      <c r="D27" t="s">
        <v>97</v>
      </c>
      <c r="H27">
        <v>5</v>
      </c>
      <c r="N27">
        <v>5</v>
      </c>
      <c r="T27">
        <v>5</v>
      </c>
      <c r="Z27">
        <v>4</v>
      </c>
      <c r="AF27">
        <v>5</v>
      </c>
      <c r="AL27">
        <v>4</v>
      </c>
      <c r="AR27">
        <v>2</v>
      </c>
      <c r="AX27">
        <v>3</v>
      </c>
      <c r="BD27">
        <v>5</v>
      </c>
      <c r="BJ27">
        <v>5</v>
      </c>
      <c r="BP27">
        <v>4</v>
      </c>
      <c r="BV27">
        <v>3</v>
      </c>
      <c r="CB27">
        <v>3</v>
      </c>
      <c r="CH27">
        <v>3</v>
      </c>
      <c r="CN27">
        <v>3</v>
      </c>
    </row>
    <row r="28" spans="1:95" x14ac:dyDescent="0.25">
      <c r="A28">
        <v>26</v>
      </c>
      <c r="B28" s="1">
        <v>44902.368125000001</v>
      </c>
      <c r="C28" s="1">
        <v>44902.376400462999</v>
      </c>
      <c r="D28" t="s">
        <v>97</v>
      </c>
      <c r="H28">
        <v>5</v>
      </c>
      <c r="N28">
        <v>5</v>
      </c>
      <c r="T28">
        <v>5</v>
      </c>
      <c r="Z28">
        <v>5</v>
      </c>
      <c r="AF28">
        <v>5</v>
      </c>
      <c r="AL28">
        <v>5</v>
      </c>
      <c r="AR28">
        <v>2</v>
      </c>
      <c r="AU28" t="s">
        <v>122</v>
      </c>
      <c r="AX28">
        <v>4</v>
      </c>
      <c r="BD28">
        <v>5</v>
      </c>
      <c r="BJ28">
        <v>5</v>
      </c>
      <c r="BP28">
        <v>3</v>
      </c>
      <c r="BS28" t="s">
        <v>123</v>
      </c>
      <c r="BV28">
        <v>5</v>
      </c>
      <c r="CB28">
        <v>2</v>
      </c>
      <c r="CE28" t="s">
        <v>124</v>
      </c>
      <c r="CH28">
        <v>2</v>
      </c>
      <c r="CK28" t="s">
        <v>125</v>
      </c>
      <c r="CN28">
        <v>4</v>
      </c>
    </row>
    <row r="29" spans="1:95" x14ac:dyDescent="0.25">
      <c r="A29">
        <v>27</v>
      </c>
      <c r="B29" s="1">
        <v>44902.750011574099</v>
      </c>
      <c r="C29" s="1">
        <v>44902.753240740698</v>
      </c>
      <c r="D29" t="s">
        <v>97</v>
      </c>
      <c r="H29">
        <v>5</v>
      </c>
      <c r="N29">
        <v>4</v>
      </c>
      <c r="T29">
        <v>5</v>
      </c>
      <c r="Z29">
        <v>4</v>
      </c>
      <c r="AF29">
        <v>5</v>
      </c>
      <c r="AL29">
        <v>5</v>
      </c>
      <c r="AR29">
        <v>4</v>
      </c>
      <c r="AX29">
        <v>5</v>
      </c>
      <c r="BD29">
        <v>4</v>
      </c>
      <c r="BJ29">
        <v>4</v>
      </c>
      <c r="BP29">
        <v>5</v>
      </c>
      <c r="BV29">
        <v>5</v>
      </c>
      <c r="CB29">
        <v>3</v>
      </c>
      <c r="CE29" t="s">
        <v>126</v>
      </c>
      <c r="CH29">
        <v>3</v>
      </c>
      <c r="CN29">
        <v>3</v>
      </c>
    </row>
    <row r="30" spans="1:95" x14ac:dyDescent="0.25">
      <c r="A30">
        <v>28</v>
      </c>
      <c r="B30" s="1">
        <v>44903.564062500001</v>
      </c>
      <c r="C30" s="1">
        <v>44903.744837963</v>
      </c>
      <c r="D30" t="s">
        <v>97</v>
      </c>
      <c r="H30">
        <v>5</v>
      </c>
      <c r="N30">
        <v>5</v>
      </c>
      <c r="T30">
        <v>5</v>
      </c>
      <c r="Z30">
        <v>3</v>
      </c>
      <c r="AF30">
        <v>3</v>
      </c>
      <c r="AI30" t="s">
        <v>127</v>
      </c>
      <c r="AL30">
        <v>1</v>
      </c>
      <c r="AO30" t="s">
        <v>128</v>
      </c>
      <c r="AR30">
        <v>1</v>
      </c>
      <c r="AU30" t="s">
        <v>129</v>
      </c>
      <c r="AX30">
        <v>2</v>
      </c>
      <c r="BA30" t="s">
        <v>130</v>
      </c>
      <c r="BD30">
        <v>3</v>
      </c>
      <c r="BG30" t="s">
        <v>131</v>
      </c>
      <c r="BJ30">
        <v>4</v>
      </c>
      <c r="BP30">
        <v>4</v>
      </c>
      <c r="BS30" t="s">
        <v>132</v>
      </c>
      <c r="BV30">
        <v>1</v>
      </c>
      <c r="BY30" t="s">
        <v>133</v>
      </c>
      <c r="CB30">
        <v>1</v>
      </c>
      <c r="CE30" t="s">
        <v>134</v>
      </c>
      <c r="CH30">
        <v>1</v>
      </c>
      <c r="CK30" t="s">
        <v>135</v>
      </c>
      <c r="CN30">
        <v>2</v>
      </c>
      <c r="CQ30" t="s">
        <v>136</v>
      </c>
    </row>
    <row r="31" spans="1:95" x14ac:dyDescent="0.25">
      <c r="A31">
        <v>29</v>
      </c>
      <c r="B31" s="1">
        <v>44904.511979166702</v>
      </c>
      <c r="C31" s="1">
        <v>44904.521539351903</v>
      </c>
      <c r="D31" t="s">
        <v>97</v>
      </c>
      <c r="H31">
        <v>3</v>
      </c>
      <c r="N31">
        <v>2</v>
      </c>
      <c r="Q31" t="s">
        <v>137</v>
      </c>
      <c r="T31">
        <v>2</v>
      </c>
      <c r="W31" t="s">
        <v>138</v>
      </c>
      <c r="Z31">
        <v>3</v>
      </c>
      <c r="AF31">
        <v>4</v>
      </c>
      <c r="AL31">
        <v>2</v>
      </c>
      <c r="AO31" t="s">
        <v>139</v>
      </c>
      <c r="AR31">
        <v>2</v>
      </c>
      <c r="AU31" t="s">
        <v>140</v>
      </c>
      <c r="AX31">
        <v>3</v>
      </c>
      <c r="BD31">
        <v>3</v>
      </c>
      <c r="BJ31">
        <v>3</v>
      </c>
      <c r="BP31">
        <v>3</v>
      </c>
      <c r="BV31">
        <v>2</v>
      </c>
      <c r="BY31" t="s">
        <v>141</v>
      </c>
      <c r="CB31">
        <v>2</v>
      </c>
      <c r="CE31" t="s">
        <v>142</v>
      </c>
      <c r="CH31">
        <v>3</v>
      </c>
      <c r="CN31">
        <v>3</v>
      </c>
    </row>
    <row r="32" spans="1:95" x14ac:dyDescent="0.25">
      <c r="A32">
        <v>30</v>
      </c>
      <c r="B32" s="1">
        <v>44904.683333333298</v>
      </c>
      <c r="C32" s="1">
        <v>44904.694270833301</v>
      </c>
      <c r="D32" t="s">
        <v>97</v>
      </c>
      <c r="H32">
        <v>5</v>
      </c>
      <c r="N32">
        <v>5</v>
      </c>
      <c r="T32">
        <v>5</v>
      </c>
      <c r="Z32">
        <v>3</v>
      </c>
      <c r="AF32">
        <v>4</v>
      </c>
      <c r="AL32">
        <v>4</v>
      </c>
      <c r="AR32">
        <v>3</v>
      </c>
      <c r="AU32" t="s">
        <v>143</v>
      </c>
      <c r="AX32">
        <v>5</v>
      </c>
      <c r="BD32">
        <v>4</v>
      </c>
      <c r="BG32" t="s">
        <v>144</v>
      </c>
      <c r="BJ32">
        <v>4</v>
      </c>
      <c r="BP32">
        <v>3</v>
      </c>
      <c r="BV32">
        <v>3</v>
      </c>
      <c r="CB32">
        <v>3</v>
      </c>
      <c r="CH32">
        <v>3</v>
      </c>
      <c r="CN32">
        <v>3</v>
      </c>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AF63F-21D7-48F7-A120-34228DB80E7D}">
  <sheetPr codeName="Blad5"/>
  <dimension ref="A1:CS24"/>
  <sheetViews>
    <sheetView workbookViewId="0">
      <selection activeCell="C7" sqref="C7"/>
    </sheetView>
  </sheetViews>
  <sheetFormatPr defaultRowHeight="15" x14ac:dyDescent="0.25"/>
  <cols>
    <col min="1" max="1" width="5.140625" bestFit="1" customWidth="1"/>
    <col min="2" max="2" width="17.28515625" bestFit="1" customWidth="1"/>
    <col min="3" max="3" width="16.42578125" bestFit="1" customWidth="1"/>
    <col min="4" max="4" width="24.140625" bestFit="1" customWidth="1"/>
    <col min="5" max="7" width="16.7109375" bestFit="1" customWidth="1"/>
    <col min="8" max="8" width="59.42578125" bestFit="1" customWidth="1"/>
    <col min="9" max="9" width="66.85546875" bestFit="1" customWidth="1"/>
    <col min="10" max="10" width="69.85546875" bestFit="1" customWidth="1"/>
    <col min="11" max="11" width="100.7109375" bestFit="1" customWidth="1"/>
    <col min="12" max="12" width="108.140625" bestFit="1" customWidth="1"/>
    <col min="13" max="13" width="111.140625" bestFit="1" customWidth="1"/>
    <col min="14" max="14" width="59.140625" bestFit="1" customWidth="1"/>
    <col min="15" max="15" width="66.5703125" bestFit="1" customWidth="1"/>
    <col min="16" max="16" width="69.5703125" bestFit="1" customWidth="1"/>
    <col min="17" max="17" width="101.7109375" bestFit="1" customWidth="1"/>
    <col min="18" max="18" width="109.140625" bestFit="1" customWidth="1"/>
    <col min="19" max="19" width="112.140625" bestFit="1" customWidth="1"/>
    <col min="20" max="20" width="51.42578125" bestFit="1" customWidth="1"/>
    <col min="21" max="21" width="58.85546875" bestFit="1" customWidth="1"/>
    <col min="22" max="22" width="61.85546875" bestFit="1" customWidth="1"/>
    <col min="23" max="23" width="126.140625" bestFit="1" customWidth="1"/>
    <col min="24" max="24" width="109.140625" bestFit="1" customWidth="1"/>
    <col min="25" max="25" width="112.140625" bestFit="1" customWidth="1"/>
    <col min="26" max="26" width="70.140625" bestFit="1" customWidth="1"/>
    <col min="27" max="27" width="77.5703125" bestFit="1" customWidth="1"/>
    <col min="28" max="28" width="80.42578125" bestFit="1" customWidth="1"/>
    <col min="29" max="29" width="146.85546875" bestFit="1" customWidth="1"/>
    <col min="30" max="30" width="109.140625" bestFit="1" customWidth="1"/>
    <col min="31" max="31" width="112.140625" bestFit="1" customWidth="1"/>
    <col min="32" max="32" width="64" bestFit="1" customWidth="1"/>
    <col min="33" max="33" width="71.42578125" bestFit="1" customWidth="1"/>
    <col min="34" max="34" width="74.42578125" bestFit="1" customWidth="1"/>
    <col min="35" max="35" width="101.7109375" bestFit="1" customWidth="1"/>
    <col min="36" max="36" width="109.140625" bestFit="1" customWidth="1"/>
    <col min="37" max="37" width="112.140625" bestFit="1" customWidth="1"/>
    <col min="38" max="38" width="98.28515625" bestFit="1" customWidth="1"/>
    <col min="39" max="39" width="105.5703125" bestFit="1" customWidth="1"/>
    <col min="40" max="40" width="108.5703125" bestFit="1" customWidth="1"/>
    <col min="41" max="41" width="168" bestFit="1" customWidth="1"/>
    <col min="42" max="42" width="109.140625" bestFit="1" customWidth="1"/>
    <col min="43" max="43" width="112.140625" bestFit="1" customWidth="1"/>
    <col min="44" max="44" width="90.42578125" bestFit="1" customWidth="1"/>
    <col min="45" max="45" width="97.7109375" bestFit="1" customWidth="1"/>
    <col min="46" max="46" width="100.7109375" bestFit="1" customWidth="1"/>
    <col min="47" max="47" width="255.7109375" bestFit="1" customWidth="1"/>
    <col min="48" max="48" width="109.140625" bestFit="1" customWidth="1"/>
    <col min="49" max="49" width="112.140625" bestFit="1" customWidth="1"/>
    <col min="50" max="50" width="71" bestFit="1" customWidth="1"/>
    <col min="51" max="51" width="78.42578125" bestFit="1" customWidth="1"/>
    <col min="52" max="52" width="81.28515625" bestFit="1" customWidth="1"/>
    <col min="53" max="53" width="255.7109375" bestFit="1" customWidth="1"/>
    <col min="54" max="54" width="112.140625" bestFit="1" customWidth="1"/>
    <col min="55" max="55" width="109.140625" bestFit="1" customWidth="1"/>
    <col min="56" max="56" width="118.140625" bestFit="1" customWidth="1"/>
    <col min="57" max="57" width="128.5703125" bestFit="1" customWidth="1"/>
    <col min="58" max="58" width="125.5703125" bestFit="1" customWidth="1"/>
    <col min="59" max="59" width="255.7109375" bestFit="1" customWidth="1"/>
    <col min="60" max="60" width="112.140625" bestFit="1" customWidth="1"/>
    <col min="61" max="61" width="109.140625" bestFit="1" customWidth="1"/>
    <col min="62" max="62" width="96.28515625" bestFit="1" customWidth="1"/>
    <col min="63" max="63" width="106.7109375" bestFit="1" customWidth="1"/>
    <col min="64" max="64" width="103.7109375" bestFit="1" customWidth="1"/>
    <col min="65" max="65" width="104.5703125" bestFit="1" customWidth="1"/>
    <col min="66" max="66" width="113.140625" bestFit="1" customWidth="1"/>
    <col min="67" max="67" width="110.140625" bestFit="1" customWidth="1"/>
    <col min="68" max="68" width="103.42578125" bestFit="1" customWidth="1"/>
    <col min="69" max="69" width="113.7109375" bestFit="1" customWidth="1"/>
    <col min="70" max="70" width="110.85546875" bestFit="1" customWidth="1"/>
    <col min="71" max="71" width="131.5703125" bestFit="1" customWidth="1"/>
    <col min="72" max="72" width="113.140625" bestFit="1" customWidth="1"/>
    <col min="73" max="73" width="110.140625" bestFit="1" customWidth="1"/>
    <col min="74" max="74" width="92.28515625" bestFit="1" customWidth="1"/>
    <col min="75" max="75" width="99.7109375" bestFit="1" customWidth="1"/>
    <col min="76" max="76" width="102.7109375" bestFit="1" customWidth="1"/>
    <col min="77" max="77" width="169.140625" bestFit="1" customWidth="1"/>
    <col min="78" max="78" width="110.140625" bestFit="1" customWidth="1"/>
    <col min="79" max="79" width="113.140625" bestFit="1" customWidth="1"/>
    <col min="80" max="80" width="71.85546875" bestFit="1" customWidth="1"/>
    <col min="81" max="81" width="79.28515625" bestFit="1" customWidth="1"/>
    <col min="82" max="82" width="82.28515625" bestFit="1" customWidth="1"/>
    <col min="83" max="83" width="135.42578125" bestFit="1" customWidth="1"/>
    <col min="84" max="84" width="110.140625" bestFit="1" customWidth="1"/>
    <col min="85" max="85" width="113.140625" bestFit="1" customWidth="1"/>
    <col min="86" max="86" width="88" bestFit="1" customWidth="1"/>
    <col min="87" max="87" width="95.42578125" bestFit="1" customWidth="1"/>
    <col min="88" max="88" width="98.42578125" bestFit="1" customWidth="1"/>
    <col min="89" max="89" width="154.7109375" bestFit="1" customWidth="1"/>
    <col min="90" max="90" width="110.140625" bestFit="1" customWidth="1"/>
    <col min="91" max="91" width="113.140625" bestFit="1" customWidth="1"/>
    <col min="92" max="92" width="84.5703125" bestFit="1" customWidth="1"/>
    <col min="93" max="93" width="92" bestFit="1" customWidth="1"/>
    <col min="94" max="94" width="95" bestFit="1" customWidth="1"/>
    <col min="95" max="95" width="102.85546875" bestFit="1" customWidth="1"/>
    <col min="96" max="96" width="110.140625" bestFit="1" customWidth="1"/>
    <col min="97" max="97" width="113.140625" bestFit="1" customWidth="1"/>
  </cols>
  <sheetData>
    <row r="1" spans="1:97" x14ac:dyDescent="0.25">
      <c r="A1">
        <f>AVERAGE(Table14[ID])</f>
        <v>10</v>
      </c>
      <c r="B1">
        <f>AVERAGE(Table14[Heure de début])</f>
        <v>44918.390431286549</v>
      </c>
      <c r="C1">
        <f>AVERAGE(Table14[Heure de fin])</f>
        <v>44918.394657651057</v>
      </c>
      <c r="D1" t="e">
        <f>AVERAGE(Table14[Adresse de messagerie])</f>
        <v>#DIV/0!</v>
      </c>
      <c r="E1" t="e">
        <f>AVERAGE(Table14[Nom])</f>
        <v>#DIV/0!</v>
      </c>
      <c r="F1" t="e">
        <f>AVERAGE(Table14[Total points])</f>
        <v>#DIV/0!</v>
      </c>
      <c r="G1" t="e">
        <f>AVERAGE(Table14[Quiz feedback])</f>
        <v>#DIV/0!</v>
      </c>
      <c r="H1">
        <f>AVERAGE(Table14[CLARTE : J''ai une vision claire de l’objectif final du programme])</f>
        <v>4.1578947368421053</v>
      </c>
      <c r="I1" t="e">
        <f>AVERAGE(Table14[Points - CLARTE : J''ai une vision claire de l’objectif final du programme])</f>
        <v>#DIV/0!</v>
      </c>
      <c r="J1" t="e">
        <f>AVERAGE(Table14[Feedback - CLARTE : J''ai une vision claire de l’objectif final du programme])</f>
        <v>#DIV/0!</v>
      </c>
      <c r="K1" t="e">
        <f>AVERAGE(Table14[Si la réponse comporte moins de 2 étoiles OUI, merci de préciser votre réponse dans le champs ci-dessous :])</f>
        <v>#DIV/0!</v>
      </c>
      <c r="L1" t="e">
        <f>AVERAGE(Table14[Points - Si la réponse comporte moins de 2 étoiles OUI, merci de préciser votre réponse dans le champs ci-dessous :])</f>
        <v>#DIV/0!</v>
      </c>
      <c r="M1" t="e">
        <f>AVERAGE(Table14[Feedback - Si la réponse comporte moins de 2 étoiles OUI, merci de préciser votre réponse dans le champs ci-dessous :])</f>
        <v>#DIV/0!</v>
      </c>
      <c r="N1">
        <f>AVERAGE(Table14[ALIGNEMENT : Je suis aligné sur l’objectif final du programme])</f>
        <v>4.2631578947368425</v>
      </c>
      <c r="O1" t="e">
        <f>AVERAGE(Table14[Points - ALIGNEMENT : Je suis aligné sur l’objectif final du programme])</f>
        <v>#DIV/0!</v>
      </c>
      <c r="P1" t="e">
        <f>AVERAGE(Table14[Feedback - ALIGNEMENT : Je suis aligné sur l’objectif final du programme])</f>
        <v>#DIV/0!</v>
      </c>
      <c r="Q1" t="e">
        <f>AVERAGE(Table14[Si la réponse comporte moins de 2 étoiles OUI, merci de préciser votre réponse dans le champs ci-dessous :2])</f>
        <v>#DIV/0!</v>
      </c>
      <c r="R1" t="e">
        <f>AVERAGE(Table14[Points - Si la réponse comporte moins de 2 étoiles OUI, merci de préciser votre réponse dans le champs ci-dessous :2])</f>
        <v>#DIV/0!</v>
      </c>
      <c r="S1" t="e">
        <f>AVERAGE(Table14[Feedback - Si la réponse comporte moins de 2 étoiles OUI, merci de préciser votre réponse dans le champs ci-dessous :2])</f>
        <v>#DIV/0!</v>
      </c>
      <c r="T1">
        <f>AVERAGE(Table14[ENGAGEMENT  : Je supporte l’objectif du programme])</f>
        <v>4.3684210526315788</v>
      </c>
      <c r="U1" t="e">
        <f>AVERAGE(Table14[Points - ENGAGEMENT  : Je supporte l’objectif du programme])</f>
        <v>#DIV/0!</v>
      </c>
      <c r="V1" t="e">
        <f>AVERAGE(Table14[Feedback - ENGAGEMENT  : Je supporte l’objectif du programme])</f>
        <v>#DIV/0!</v>
      </c>
      <c r="W1" t="e">
        <f>AVERAGE(Table14[Si la réponse comporte moins de 2 étoiles OUI, merci de préciser votre réponse dans le champs ci-dessous :3])</f>
        <v>#DIV/0!</v>
      </c>
      <c r="X1" t="e">
        <f>AVERAGE(Table14[Points - Si la réponse comporte moins de 2 étoiles OUI, merci de préciser votre réponse dans le champs ci-dessous :3])</f>
        <v>#DIV/0!</v>
      </c>
      <c r="Y1" t="e">
        <f>AVERAGE(Table14[Feedback - Si la réponse comporte moins de 2 étoiles OUI, merci de préciser votre réponse dans le champs ci-dessous :3])</f>
        <v>#DIV/0!</v>
      </c>
      <c r="Z1">
        <f>AVERAGE(Table14[SOLUTION  : L’approche pour atteindre l’objectif du programme est solide])</f>
        <v>3.3684210526315788</v>
      </c>
      <c r="AA1" t="e">
        <f>AVERAGE(Table14[Points - SOLUTION  : L’approche pour atteindre l’objectif du programme est solide])</f>
        <v>#DIV/0!</v>
      </c>
      <c r="AB1" t="e">
        <f>AVERAGE(Table14[Feedback - SOLUTION  : L’approche pour atteindre l’objectif du programme est solide])</f>
        <v>#DIV/0!</v>
      </c>
      <c r="AC1" t="e">
        <f>AVERAGE(Table14[Si la réponse comporte moins de 2 étoiles OUI, merci de préciser votre réponse dans le champs ci-dessous :4])</f>
        <v>#DIV/0!</v>
      </c>
      <c r="AD1" t="e">
        <f>AVERAGE(Table14[Points - Si la réponse comporte moins de 2 étoiles OUI, merci de préciser votre réponse dans le champs ci-dessous :4])</f>
        <v>#DIV/0!</v>
      </c>
      <c r="AE1" t="e">
        <f>AVERAGE(Table14[Feedback - Si la réponse comporte moins de 2 étoiles OUI, merci de préciser votre réponse dans le champs ci-dessous :4])</f>
        <v>#DIV/0!</v>
      </c>
      <c r="AF1">
        <f>AVERAGE(Table14[INTEGRITE : Les objectifs initiaux du programme restent les mêmes])</f>
        <v>3.736842105263158</v>
      </c>
      <c r="AG1" t="e">
        <f>AVERAGE(Table14[Points - INTEGRITE : Les objectifs initiaux du programme restent les mêmes])</f>
        <v>#DIV/0!</v>
      </c>
      <c r="AH1" t="e">
        <f>AVERAGE(Table14[Feedback - INTEGRITE : Les objectifs initiaux du programme restent les mêmes])</f>
        <v>#DIV/0!</v>
      </c>
      <c r="AI1" t="e">
        <f>AVERAGE(Table14[Si la réponse comporte moins de 2 étoiles OUI, merci de préciser votre réponse dans le champs ci-dessous :5])</f>
        <v>#DIV/0!</v>
      </c>
      <c r="AJ1" t="e">
        <f>AVERAGE(Table14[Points - Si la réponse comporte moins de 2 étoiles OUI, merci de préciser votre réponse dans le champs ci-dessous :5])</f>
        <v>#DIV/0!</v>
      </c>
      <c r="AK1" t="e">
        <f>AVERAGE(Table14[Feedback - Si la réponse comporte moins de 2 étoiles OUI, merci de préciser votre réponse dans le champs ci-dessous :5])</f>
        <v>#DIV/0!</v>
      </c>
      <c r="AL1">
        <f>AVERAGE(Table14[SPONSORSHIP  : Les leaders fournissent le niveau de sponsorship suffisant pour supporter le programme])</f>
        <v>3.5263157894736841</v>
      </c>
      <c r="AM1" t="e">
        <f>AVERAGE(Table14[Points - SPONSORSHIP  : Les leaders fournissent le niveau de sponsorship suffisant pour supporter le programme])</f>
        <v>#DIV/0!</v>
      </c>
      <c r="AN1" t="e">
        <f>AVERAGE(Table14[Feedback - SPONSORSHIP  : Les leaders fournissent le niveau de sponsorship suffisant pour supporter le programme])</f>
        <v>#DIV/0!</v>
      </c>
      <c r="AO1" t="e">
        <f>AVERAGE(Table14[Si la réponse comporte moins de 2 étoiles OUI, merci de préciser votre réponse dans le champs ci-dessous :6])</f>
        <v>#DIV/0!</v>
      </c>
      <c r="AP1" t="e">
        <f>AVERAGE(Table14[Points - Si la réponse comporte moins de 2 étoiles OUI, merci de préciser votre réponse dans le champs ci-dessous :6])</f>
        <v>#DIV/0!</v>
      </c>
      <c r="AQ1" t="e">
        <f>AVERAGE(Table14[Feedback - Si la réponse comporte moins de 2 étoiles OUI, merci de préciser votre réponse dans le champs ci-dessous :6])</f>
        <v>#DIV/0!</v>
      </c>
      <c r="AR1">
        <f>AVERAGE(Table14[CAPACITE : Ce changement entraine une charge de travail que nous pouvons absorber sur le site])</f>
        <v>2.736842105263158</v>
      </c>
      <c r="AS1" t="e">
        <f>AVERAGE(Table14[Points - CAPACITE : Ce changement entraine une charge de travail que nous pouvons absorber sur le site])</f>
        <v>#DIV/0!</v>
      </c>
      <c r="AT1" t="e">
        <f>AVERAGE(Table14[Feedback - CAPACITE : Ce changement entraine une charge de travail que nous pouvons absorber sur le site])</f>
        <v>#DIV/0!</v>
      </c>
      <c r="AU1" t="e">
        <f>AVERAGE(Table14[Si la réponse comporte moins de 2 étoiles OUI, merci de préciser votre réponse dans le champs ci-dessous :7])</f>
        <v>#DIV/0!</v>
      </c>
      <c r="AV1" t="e">
        <f>AVERAGE(Table14[Points - Si la réponse comporte moins de 2 étoiles OUI, merci de préciser votre réponse dans le champs ci-dessous :7])</f>
        <v>#DIV/0!</v>
      </c>
      <c r="AW1" t="e">
        <f>AVERAGE(Table14[Feedback - Si la réponse comporte moins de 2 étoiles OUI, merci de préciser votre réponse dans le champs ci-dessous :7])</f>
        <v>#DIV/0!</v>
      </c>
      <c r="AX1">
        <f>AVERAGE(Table14[CULTURE  : Nous avons la culture appropriée pour absorber ce changement])</f>
        <v>3.6315789473684212</v>
      </c>
      <c r="AY1" t="e">
        <f>AVERAGE(Table14[Points - CULTURE  : Nous avons la culture appropriée pour absorber ce changement])</f>
        <v>#DIV/0!</v>
      </c>
      <c r="AZ1" t="e">
        <f>AVERAGE(Table14[Feedback - CULTURE  : Nous avons la culture appropriée pour absorber ce changement])</f>
        <v>#DIV/0!</v>
      </c>
      <c r="BA1" t="e">
        <f>AVERAGE(Table14[Si la réponse comporte moins de 2 étoiles OUI, merci de préciser votre réponse dans le champs ci-dessous :8])</f>
        <v>#DIV/0!</v>
      </c>
      <c r="BB1" t="e">
        <f>AVERAGE(Table14[Feedback - Si la réponse comporte moins de 2 étoiles OUI, merci de préciser votre réponse dans le champs ci-dessous :8])</f>
        <v>#DIV/0!</v>
      </c>
      <c r="BC1" t="e">
        <f>AVERAGE(Table14[Points - Si la réponse comporte moins de 2 étoiles OUI, merci de préciser votre réponse dans le champs ci-dessous :8])</f>
        <v>#DIV/0!</v>
      </c>
      <c r="BD1">
        <f>AVERAGE(Table14[RESISTANCE  : Les personnes impactées par ce changement démontrent l''engagement nécessaire pour réussir sa mise en place])</f>
        <v>3.6842105263157894</v>
      </c>
      <c r="BE1" t="e">
        <f>AVERAGE(Table14[Feedback - RESISTANCE  : Les personnes impactées par ce changement démontrent l''engagement nécessaire pour réussir sa mise en place])</f>
        <v>#DIV/0!</v>
      </c>
      <c r="BF1" t="e">
        <f>AVERAGE(Table14[Points - RESISTANCE  : Les personnes impactées par ce changement démontrent l''engagement nécessaire pour réussir sa mise en place])</f>
        <v>#DIV/0!</v>
      </c>
      <c r="BG1" t="e">
        <f>AVERAGE(Table14[Si la réponse comporte moins de 2 étoiles OUI, merci de préciser votre réponse dans le champs ci-dessous :9])</f>
        <v>#DIV/0!</v>
      </c>
      <c r="BH1" t="e">
        <f>AVERAGE(Table14[Feedback - Si la réponse comporte moins de 2 étoiles OUI, merci de préciser votre réponse dans le champs ci-dessous :9])</f>
        <v>#DIV/0!</v>
      </c>
      <c r="BI1" t="e">
        <f>AVERAGE(Table14[Points - Si la réponse comporte moins de 2 étoiles OUI, merci de préciser votre réponse dans le champs ci-dessous :9])</f>
        <v>#DIV/0!</v>
      </c>
      <c r="BJ1">
        <f>AVERAGE(Table14[SYNERGIE : Nos efforts de collaboration pour ce projet nous font gagner du temps plus qu’il n’en coute])</f>
        <v>3</v>
      </c>
      <c r="BK1" t="e">
        <f>AVERAGE(Table14[Feedback - SYNERGIE : Nos efforts de collaboration pour ce projet nous font gagner du temps plus qu’il n’en coute])</f>
        <v>#DIV/0!</v>
      </c>
      <c r="BL1" t="e">
        <f>AVERAGE(Table14[Points - SYNERGIE : Nos efforts de collaboration pour ce projet nous font gagner du temps plus qu’il n’en coute])</f>
        <v>#DIV/0!</v>
      </c>
      <c r="BM1" t="e">
        <f>AVERAGE(Table14[Si la réponse comporte moins de 2 étoiles OUI, merci de préciser votre réponse dans le champs ci-dessous :10])</f>
        <v>#DIV/0!</v>
      </c>
      <c r="BN1" t="e">
        <f>AVERAGE(Table14[Feedback - Si la réponse comporte moins de 2 étoiles OUI, merci de préciser votre réponse dans le champs ci-dessous :10])</f>
        <v>#DIV/0!</v>
      </c>
      <c r="BO1" t="e">
        <f>AVERAGE(Table14[Points - Si la réponse comporte moins de 2 étoiles OUI, merci de préciser votre réponse dans le champs ci-dessous :10])</f>
        <v>#DIV/0!</v>
      </c>
      <c r="BP1">
        <f>AVERAGE(Table14[PARTENARIAT : Nos interactions avec des partenaires externes sont suffisantes pour supporter ce changement])</f>
        <v>3</v>
      </c>
      <c r="BQ1" t="e">
        <f>AVERAGE(Table14[Feedback - PARTENARIAT : Nos interactions avec des partenaires externes sont suffisantes pour supporter ce changement])</f>
        <v>#DIV/0!</v>
      </c>
      <c r="BR1" t="e">
        <f>AVERAGE(Table14[Points - PARTENARIAT : Nos interactions avec des partenaires externes sont suffisantes pour supporter ce changement])</f>
        <v>#DIV/0!</v>
      </c>
      <c r="BS1" t="e">
        <f>AVERAGE(Table14[Si la réponse comporte moins de 2 étoiles OUI, merci de préciser votre réponse dans le champs ci-dessous :11])</f>
        <v>#DIV/0!</v>
      </c>
      <c r="BT1" t="e">
        <f>AVERAGE(Table14[Feedback - Si la réponse comporte moins de 2 étoiles OUI, merci de préciser votre réponse dans le champs ci-dessous :11])</f>
        <v>#DIV/0!</v>
      </c>
      <c r="BU1" t="e">
        <f>AVERAGE(Table14[Points - Si la réponse comporte moins de 2 étoiles OUI, merci de préciser votre réponse dans le champs ci-dessous :11])</f>
        <v>#DIV/0!</v>
      </c>
      <c r="BV1">
        <f>AVERAGE(Table14[SUPERVISION : Les instances de pilotage permettent de prendre des décisions rapides et efficaces])</f>
        <v>3.1578947368421053</v>
      </c>
      <c r="BW1" t="e">
        <f>AVERAGE(Table14[Points - SUPERVISION : Les instances de pilotage permettent de prendre des décisions rapides et efficaces])</f>
        <v>#DIV/0!</v>
      </c>
      <c r="BX1" t="e">
        <f>AVERAGE(Table14[Feedback - SUPERVISION : Les instances de pilotage permettent de prendre des décisions rapides et efficaces])</f>
        <v>#DIV/0!</v>
      </c>
      <c r="BY1" t="e">
        <f>AVERAGE(Table14[Si la réponse comporte moins de 2 étoiles OUI, merci de préciser votre réponse dans le champs ci-dessous :12])</f>
        <v>#DIV/0!</v>
      </c>
      <c r="BZ1" t="e">
        <f>AVERAGE(Table14[Points - Si la réponse comporte moins de 2 étoiles OUI, merci de préciser votre réponse dans le champs ci-dessous :12])</f>
        <v>#DIV/0!</v>
      </c>
      <c r="CA1" t="e">
        <f>AVERAGE(Table14[Feedback - Si la réponse comporte moins de 2 étoiles OUI, merci de préciser votre réponse dans le champs ci-dessous :12])</f>
        <v>#DIV/0!</v>
      </c>
      <c r="CB1">
        <f>AVERAGE(Table14[RESSOURCES : Les ressources sont suffisantes pour absorber ce changement])</f>
        <v>2.8421052631578947</v>
      </c>
      <c r="CC1" t="e">
        <f>AVERAGE(Table14[Points - RESSOURCES : Les ressources sont suffisantes pour absorber ce changement])</f>
        <v>#DIV/0!</v>
      </c>
      <c r="CD1" t="e">
        <f>AVERAGE(Table14[Feedback - RESSOURCES : Les ressources sont suffisantes pour absorber ce changement])</f>
        <v>#DIV/0!</v>
      </c>
      <c r="CE1" t="e">
        <f>AVERAGE(Table14[Si la réponse comporte moins de 2 étoiles OUI, merci de préciser votre réponse dans le champs ci-dessous :13])</f>
        <v>#DIV/0!</v>
      </c>
      <c r="CF1" t="e">
        <f>AVERAGE(Table14[Points - Si la réponse comporte moins de 2 étoiles OUI, merci de préciser votre réponse dans le champs ci-dessous :13])</f>
        <v>#DIV/0!</v>
      </c>
      <c r="CG1" t="e">
        <f>AVERAGE(Table14[Feedback - Si la réponse comporte moins de 2 étoiles OUI, merci de préciser votre réponse dans le champs ci-dessous :13])</f>
        <v>#DIV/0!</v>
      </c>
      <c r="CH1">
        <f>AVERAGE(Table14[PORTFOLIO : Les interactions de ce projet avec les autres initiatives sont gérées correctement])</f>
        <v>3.2105263157894739</v>
      </c>
      <c r="CI1" t="e">
        <f>AVERAGE(Table14[Points - PORTFOLIO : Les interactions de ce projet avec les autres initiatives sont gérées correctement])</f>
        <v>#DIV/0!</v>
      </c>
      <c r="CJ1" t="e">
        <f>AVERAGE(Table14[Feedback - PORTFOLIO : Les interactions de ce projet avec les autres initiatives sont gérées correctement])</f>
        <v>#DIV/0!</v>
      </c>
      <c r="CK1" t="e">
        <f>AVERAGE(Table14[Si la réponse comporte moins de 2 étoiles OUI, merci de préciser votre réponse dans le champs ci-dessous :14])</f>
        <v>#DIV/0!</v>
      </c>
      <c r="CL1" t="e">
        <f>AVERAGE(Table14[Points - Si la réponse comporte moins de 2 étoiles OUI, merci de préciser votre réponse dans le champs ci-dessous :14])</f>
        <v>#DIV/0!</v>
      </c>
      <c r="CM1" t="e">
        <f>AVERAGE(Table14[Feedback - Si la réponse comporte moins de 2 étoiles OUI, merci de préciser votre réponse dans le champs ci-dessous :14])</f>
        <v>#DIV/0!</v>
      </c>
      <c r="CN1">
        <f>AVERAGE(Table14[CHEMIN CRITIQUE : Les délais et ressources à travers de ce projet sont gérés efficacement])</f>
        <v>3</v>
      </c>
      <c r="CO1" t="e">
        <f>AVERAGE(Table14[Points - CHEMIN CRITIQUE : Les délais et ressources à travers de ce projet sont gérés efficacement])</f>
        <v>#DIV/0!</v>
      </c>
      <c r="CP1" t="e">
        <f>AVERAGE(Table14[Feedback - CHEMIN CRITIQUE : Les délais et ressources à travers de ce projet sont gérés efficacement])</f>
        <v>#DIV/0!</v>
      </c>
      <c r="CQ1" t="e">
        <f>AVERAGE(Table14[Si la réponse comporte moins de 2 étoiles OUI, merci de préciser votre réponse dans le champs ci-dessous :15])</f>
        <v>#DIV/0!</v>
      </c>
      <c r="CR1" t="e">
        <f>AVERAGE(Table14[Points - Si la réponse comporte moins de 2 étoiles OUI, merci de préciser votre réponse dans le champs ci-dessous :15])</f>
        <v>#DIV/0!</v>
      </c>
      <c r="CS1" t="e">
        <f>AVERAGE(Table14[Feedback - Si la réponse comporte moins de 2 étoiles OUI, merci de préciser votre réponse dans le champs ci-dessous :15])</f>
        <v>#DIV/0!</v>
      </c>
    </row>
    <row r="2" spans="1:97" x14ac:dyDescent="0.25">
      <c r="A2">
        <f>MIN(Table14[ID])</f>
        <v>1</v>
      </c>
      <c r="B2">
        <f>MIN(Table14[Heure de début])</f>
        <v>44903.6631597222</v>
      </c>
      <c r="C2">
        <f>MIN(Table14[Heure de fin])</f>
        <v>44903.664236111101</v>
      </c>
      <c r="D2">
        <f>MIN(Table14[Adresse de messagerie])</f>
        <v>0</v>
      </c>
      <c r="E2">
        <f>MIN(Table14[Nom])</f>
        <v>0</v>
      </c>
      <c r="F2">
        <f>MIN(Table14[Total points])</f>
        <v>0</v>
      </c>
      <c r="G2">
        <f>MIN(Table14[Quiz feedback])</f>
        <v>0</v>
      </c>
      <c r="H2">
        <f>MIN(Table14[CLARTE : J''ai une vision claire de l’objectif final du programme])</f>
        <v>2</v>
      </c>
      <c r="I2">
        <f>MIN(Table14[Points - CLARTE : J''ai une vision claire de l’objectif final du programme])</f>
        <v>0</v>
      </c>
      <c r="J2">
        <f>MIN(Table14[Feedback - CLARTE : J''ai une vision claire de l’objectif final du programme])</f>
        <v>0</v>
      </c>
      <c r="K2">
        <f>MIN(Table14[Si la réponse comporte moins de 2 étoiles OUI, merci de préciser votre réponse dans le champs ci-dessous :])</f>
        <v>0</v>
      </c>
      <c r="L2">
        <f>MIN(Table14[Points - Si la réponse comporte moins de 2 étoiles OUI, merci de préciser votre réponse dans le champs ci-dessous :])</f>
        <v>0</v>
      </c>
      <c r="M2">
        <f>MIN(Table14[Feedback - Si la réponse comporte moins de 2 étoiles OUI, merci de préciser votre réponse dans le champs ci-dessous :])</f>
        <v>0</v>
      </c>
      <c r="N2">
        <f>MIN(Table14[ALIGNEMENT : Je suis aligné sur l’objectif final du programme])</f>
        <v>3</v>
      </c>
      <c r="O2">
        <f>MIN(Table14[Points - ALIGNEMENT : Je suis aligné sur l’objectif final du programme])</f>
        <v>0</v>
      </c>
      <c r="P2">
        <f>MIN(Table14[Feedback - ALIGNEMENT : Je suis aligné sur l’objectif final du programme])</f>
        <v>0</v>
      </c>
      <c r="Q2">
        <f>MIN(Table14[Si la réponse comporte moins de 2 étoiles OUI, merci de préciser votre réponse dans le champs ci-dessous :2])</f>
        <v>0</v>
      </c>
      <c r="R2">
        <f>MIN(Table14[Points - Si la réponse comporte moins de 2 étoiles OUI, merci de préciser votre réponse dans le champs ci-dessous :2])</f>
        <v>0</v>
      </c>
      <c r="S2">
        <f>MIN(Table14[Feedback - Si la réponse comporte moins de 2 étoiles OUI, merci de préciser votre réponse dans le champs ci-dessous :2])</f>
        <v>0</v>
      </c>
      <c r="T2">
        <f>MIN(Table14[ENGAGEMENT  : Je supporte l’objectif du programme])</f>
        <v>3</v>
      </c>
      <c r="U2">
        <f>MIN(Table14[Points - ENGAGEMENT  : Je supporte l’objectif du programme])</f>
        <v>0</v>
      </c>
      <c r="V2">
        <f>MIN(Table14[Feedback - ENGAGEMENT  : Je supporte l’objectif du programme])</f>
        <v>0</v>
      </c>
      <c r="W2">
        <f>MIN(Table14[Si la réponse comporte moins de 2 étoiles OUI, merci de préciser votre réponse dans le champs ci-dessous :3])</f>
        <v>0</v>
      </c>
      <c r="X2">
        <f>MIN(Table14[Points - Si la réponse comporte moins de 2 étoiles OUI, merci de préciser votre réponse dans le champs ci-dessous :3])</f>
        <v>0</v>
      </c>
      <c r="Y2">
        <f>MIN(Table14[Feedback - Si la réponse comporte moins de 2 étoiles OUI, merci de préciser votre réponse dans le champs ci-dessous :3])</f>
        <v>0</v>
      </c>
      <c r="Z2">
        <f>MIN(Table14[SOLUTION  : L’approche pour atteindre l’objectif du programme est solide])</f>
        <v>1</v>
      </c>
      <c r="AA2">
        <f>MIN(Table14[Points - SOLUTION  : L’approche pour atteindre l’objectif du programme est solide])</f>
        <v>0</v>
      </c>
      <c r="AB2">
        <f>MIN(Table14[Feedback - SOLUTION  : L’approche pour atteindre l’objectif du programme est solide])</f>
        <v>0</v>
      </c>
      <c r="AC2">
        <f>MIN(Table14[Si la réponse comporte moins de 2 étoiles OUI, merci de préciser votre réponse dans le champs ci-dessous :4])</f>
        <v>0</v>
      </c>
      <c r="AD2">
        <f>MIN(Table14[Points - Si la réponse comporte moins de 2 étoiles OUI, merci de préciser votre réponse dans le champs ci-dessous :4])</f>
        <v>0</v>
      </c>
      <c r="AE2">
        <f>MIN(Table14[Feedback - Si la réponse comporte moins de 2 étoiles OUI, merci de préciser votre réponse dans le champs ci-dessous :4])</f>
        <v>0</v>
      </c>
      <c r="AF2">
        <f>MIN(Table14[INTEGRITE : Les objectifs initiaux du programme restent les mêmes])</f>
        <v>1</v>
      </c>
      <c r="AG2">
        <f>MIN(Table14[Points - INTEGRITE : Les objectifs initiaux du programme restent les mêmes])</f>
        <v>0</v>
      </c>
      <c r="AH2">
        <f>MIN(Table14[Feedback - INTEGRITE : Les objectifs initiaux du programme restent les mêmes])</f>
        <v>0</v>
      </c>
      <c r="AI2">
        <f>MIN(Table14[Si la réponse comporte moins de 2 étoiles OUI, merci de préciser votre réponse dans le champs ci-dessous :5])</f>
        <v>0</v>
      </c>
      <c r="AJ2">
        <f>MIN(Table14[Points - Si la réponse comporte moins de 2 étoiles OUI, merci de préciser votre réponse dans le champs ci-dessous :5])</f>
        <v>0</v>
      </c>
      <c r="AK2">
        <f>MIN(Table14[Feedback - Si la réponse comporte moins de 2 étoiles OUI, merci de préciser votre réponse dans le champs ci-dessous :5])</f>
        <v>0</v>
      </c>
      <c r="AL2">
        <f>MIN(Table14[SPONSORSHIP  : Les leaders fournissent le niveau de sponsorship suffisant pour supporter le programme])</f>
        <v>1</v>
      </c>
      <c r="AM2">
        <f>MIN(Table14[Points - SPONSORSHIP  : Les leaders fournissent le niveau de sponsorship suffisant pour supporter le programme])</f>
        <v>0</v>
      </c>
      <c r="AN2">
        <f>MIN(Table14[Feedback - SPONSORSHIP  : Les leaders fournissent le niveau de sponsorship suffisant pour supporter le programme])</f>
        <v>0</v>
      </c>
      <c r="AO2">
        <f>MIN(Table14[Si la réponse comporte moins de 2 étoiles OUI, merci de préciser votre réponse dans le champs ci-dessous :6])</f>
        <v>0</v>
      </c>
      <c r="AP2">
        <f>MIN(Table14[Points - Si la réponse comporte moins de 2 étoiles OUI, merci de préciser votre réponse dans le champs ci-dessous :6])</f>
        <v>0</v>
      </c>
      <c r="AQ2">
        <f>MIN(Table14[Feedback - Si la réponse comporte moins de 2 étoiles OUI, merci de préciser votre réponse dans le champs ci-dessous :6])</f>
        <v>0</v>
      </c>
      <c r="AR2">
        <f>MIN(Table14[CAPACITE : Ce changement entraine une charge de travail que nous pouvons absorber sur le site])</f>
        <v>1</v>
      </c>
      <c r="AS2">
        <f>MIN(Table14[Points - CAPACITE : Ce changement entraine une charge de travail que nous pouvons absorber sur le site])</f>
        <v>0</v>
      </c>
      <c r="AT2">
        <f>MIN(Table14[Feedback - CAPACITE : Ce changement entraine une charge de travail que nous pouvons absorber sur le site])</f>
        <v>0</v>
      </c>
      <c r="AU2">
        <f>MIN(Table14[Si la réponse comporte moins de 2 étoiles OUI, merci de préciser votre réponse dans le champs ci-dessous :7])</f>
        <v>0</v>
      </c>
      <c r="AV2">
        <f>MIN(Table14[Points - Si la réponse comporte moins de 2 étoiles OUI, merci de préciser votre réponse dans le champs ci-dessous :7])</f>
        <v>0</v>
      </c>
      <c r="AW2">
        <f>MIN(Table14[Feedback - Si la réponse comporte moins de 2 étoiles OUI, merci de préciser votre réponse dans le champs ci-dessous :7])</f>
        <v>0</v>
      </c>
      <c r="AX2">
        <f>MIN(Table14[CULTURE  : Nous avons la culture appropriée pour absorber ce changement])</f>
        <v>1</v>
      </c>
      <c r="AY2">
        <f>MIN(Table14[Points - CULTURE  : Nous avons la culture appropriée pour absorber ce changement])</f>
        <v>0</v>
      </c>
      <c r="AZ2">
        <f>MIN(Table14[Feedback - CULTURE  : Nous avons la culture appropriée pour absorber ce changement])</f>
        <v>0</v>
      </c>
      <c r="BA2">
        <f>MIN(Table14[Si la réponse comporte moins de 2 étoiles OUI, merci de préciser votre réponse dans le champs ci-dessous :8])</f>
        <v>0</v>
      </c>
      <c r="BB2">
        <f>MIN(Table14[Feedback - Si la réponse comporte moins de 2 étoiles OUI, merci de préciser votre réponse dans le champs ci-dessous :8])</f>
        <v>0</v>
      </c>
      <c r="BC2">
        <f>MIN(Table14[Points - Si la réponse comporte moins de 2 étoiles OUI, merci de préciser votre réponse dans le champs ci-dessous :8])</f>
        <v>0</v>
      </c>
      <c r="BD2">
        <f>MIN(Table14[RESISTANCE  : Les personnes impactées par ce changement démontrent l''engagement nécessaire pour réussir sa mise en place])</f>
        <v>1</v>
      </c>
      <c r="BE2">
        <f>MIN(Table14[Feedback - RESISTANCE  : Les personnes impactées par ce changement démontrent l''engagement nécessaire pour réussir sa mise en place])</f>
        <v>0</v>
      </c>
      <c r="BF2">
        <f>MIN(Table14[Points - RESISTANCE  : Les personnes impactées par ce changement démontrent l''engagement nécessaire pour réussir sa mise en place])</f>
        <v>0</v>
      </c>
      <c r="BG2">
        <f>MIN(Table14[Si la réponse comporte moins de 2 étoiles OUI, merci de préciser votre réponse dans le champs ci-dessous :9])</f>
        <v>0</v>
      </c>
      <c r="BH2">
        <f>MIN(Table14[Feedback - Si la réponse comporte moins de 2 étoiles OUI, merci de préciser votre réponse dans le champs ci-dessous :9])</f>
        <v>0</v>
      </c>
      <c r="BI2">
        <f>MIN(Table14[Points - Si la réponse comporte moins de 2 étoiles OUI, merci de préciser votre réponse dans le champs ci-dessous :9])</f>
        <v>0</v>
      </c>
      <c r="BJ2">
        <f>MIN(Table14[SYNERGIE : Nos efforts de collaboration pour ce projet nous font gagner du temps plus qu’il n’en coute])</f>
        <v>1</v>
      </c>
      <c r="BK2">
        <f>MIN(Table14[Feedback - SYNERGIE : Nos efforts de collaboration pour ce projet nous font gagner du temps plus qu’il n’en coute])</f>
        <v>0</v>
      </c>
      <c r="BL2">
        <f>MIN(Table14[Points - SYNERGIE : Nos efforts de collaboration pour ce projet nous font gagner du temps plus qu’il n’en coute])</f>
        <v>0</v>
      </c>
      <c r="BM2">
        <f>MIN(Table14[Si la réponse comporte moins de 2 étoiles OUI, merci de préciser votre réponse dans le champs ci-dessous :10])</f>
        <v>0</v>
      </c>
      <c r="BN2">
        <f>MIN(Table14[Feedback - Si la réponse comporte moins de 2 étoiles OUI, merci de préciser votre réponse dans le champs ci-dessous :10])</f>
        <v>0</v>
      </c>
      <c r="BO2">
        <f>MIN(Table14[Points - Si la réponse comporte moins de 2 étoiles OUI, merci de préciser votre réponse dans le champs ci-dessous :10])</f>
        <v>0</v>
      </c>
      <c r="BP2">
        <f>MIN(Table14[PARTENARIAT : Nos interactions avec des partenaires externes sont suffisantes pour supporter ce changement])</f>
        <v>1</v>
      </c>
      <c r="BQ2">
        <f>MIN(Table14[Feedback - PARTENARIAT : Nos interactions avec des partenaires externes sont suffisantes pour supporter ce changement])</f>
        <v>0</v>
      </c>
      <c r="BR2">
        <f>MIN(Table14[Points - PARTENARIAT : Nos interactions avec des partenaires externes sont suffisantes pour supporter ce changement])</f>
        <v>0</v>
      </c>
      <c r="BS2">
        <f>MIN(Table14[Si la réponse comporte moins de 2 étoiles OUI, merci de préciser votre réponse dans le champs ci-dessous :11])</f>
        <v>0</v>
      </c>
      <c r="BT2">
        <f>MIN(Table14[Feedback - Si la réponse comporte moins de 2 étoiles OUI, merci de préciser votre réponse dans le champs ci-dessous :11])</f>
        <v>0</v>
      </c>
      <c r="BU2">
        <f>MIN(Table14[Points - Si la réponse comporte moins de 2 étoiles OUI, merci de préciser votre réponse dans le champs ci-dessous :11])</f>
        <v>0</v>
      </c>
      <c r="BV2">
        <f>MIN(Table14[SUPERVISION : Les instances de pilotage permettent de prendre des décisions rapides et efficaces])</f>
        <v>1</v>
      </c>
      <c r="BW2">
        <f>MIN(Table14[Points - SUPERVISION : Les instances de pilotage permettent de prendre des décisions rapides et efficaces])</f>
        <v>0</v>
      </c>
      <c r="BX2">
        <f>MIN(Table14[Feedback - SUPERVISION : Les instances de pilotage permettent de prendre des décisions rapides et efficaces])</f>
        <v>0</v>
      </c>
      <c r="BY2">
        <f>MIN(Table14[Si la réponse comporte moins de 2 étoiles OUI, merci de préciser votre réponse dans le champs ci-dessous :12])</f>
        <v>0</v>
      </c>
      <c r="BZ2">
        <f>MIN(Table14[Points - Si la réponse comporte moins de 2 étoiles OUI, merci de préciser votre réponse dans le champs ci-dessous :12])</f>
        <v>0</v>
      </c>
      <c r="CA2">
        <f>MIN(Table14[Feedback - Si la réponse comporte moins de 2 étoiles OUI, merci de préciser votre réponse dans le champs ci-dessous :12])</f>
        <v>0</v>
      </c>
      <c r="CB2">
        <f>MIN(Table14[RESSOURCES : Les ressources sont suffisantes pour absorber ce changement])</f>
        <v>1</v>
      </c>
      <c r="CC2">
        <f>MIN(Table14[Points - RESSOURCES : Les ressources sont suffisantes pour absorber ce changement])</f>
        <v>0</v>
      </c>
      <c r="CD2">
        <f>MIN(Table14[Feedback - RESSOURCES : Les ressources sont suffisantes pour absorber ce changement])</f>
        <v>0</v>
      </c>
      <c r="CE2">
        <f>MIN(Table14[Si la réponse comporte moins de 2 étoiles OUI, merci de préciser votre réponse dans le champs ci-dessous :13])</f>
        <v>0</v>
      </c>
      <c r="CF2">
        <f>MIN(Table14[Points - Si la réponse comporte moins de 2 étoiles OUI, merci de préciser votre réponse dans le champs ci-dessous :13])</f>
        <v>0</v>
      </c>
      <c r="CG2">
        <f>MIN(Table14[Feedback - Si la réponse comporte moins de 2 étoiles OUI, merci de préciser votre réponse dans le champs ci-dessous :13])</f>
        <v>0</v>
      </c>
      <c r="CH2">
        <f>MIN(Table14[PORTFOLIO : Les interactions de ce projet avec les autres initiatives sont gérées correctement])</f>
        <v>1</v>
      </c>
      <c r="CI2">
        <f>MIN(Table14[Points - PORTFOLIO : Les interactions de ce projet avec les autres initiatives sont gérées correctement])</f>
        <v>0</v>
      </c>
      <c r="CJ2">
        <f>MIN(Table14[Feedback - PORTFOLIO : Les interactions de ce projet avec les autres initiatives sont gérées correctement])</f>
        <v>0</v>
      </c>
      <c r="CK2">
        <f>MIN(Table14[Si la réponse comporte moins de 2 étoiles OUI, merci de préciser votre réponse dans le champs ci-dessous :14])</f>
        <v>0</v>
      </c>
      <c r="CL2">
        <f>MIN(Table14[Points - Si la réponse comporte moins de 2 étoiles OUI, merci de préciser votre réponse dans le champs ci-dessous :14])</f>
        <v>0</v>
      </c>
      <c r="CM2">
        <f>MIN(Table14[Feedback - Si la réponse comporte moins de 2 étoiles OUI, merci de préciser votre réponse dans le champs ci-dessous :14])</f>
        <v>0</v>
      </c>
      <c r="CN2">
        <f>MIN(Table14[CHEMIN CRITIQUE : Les délais et ressources à travers de ce projet sont gérés efficacement])</f>
        <v>1</v>
      </c>
      <c r="CO2">
        <f>MIN(Table14[Points - CHEMIN CRITIQUE : Les délais et ressources à travers de ce projet sont gérés efficacement])</f>
        <v>0</v>
      </c>
      <c r="CP2">
        <f>MIN(Table14[Feedback - CHEMIN CRITIQUE : Les délais et ressources à travers de ce projet sont gérés efficacement])</f>
        <v>0</v>
      </c>
      <c r="CQ2">
        <f>MIN(Table14[Si la réponse comporte moins de 2 étoiles OUI, merci de préciser votre réponse dans le champs ci-dessous :15])</f>
        <v>0</v>
      </c>
      <c r="CR2">
        <f>MIN(Table14[Points - Si la réponse comporte moins de 2 étoiles OUI, merci de préciser votre réponse dans le champs ci-dessous :15])</f>
        <v>0</v>
      </c>
      <c r="CS2">
        <f>MIN(Table14[Feedback - Si la réponse comporte moins de 2 étoiles OUI, merci de préciser votre réponse dans le champs ci-dessous :15])</f>
        <v>0</v>
      </c>
    </row>
    <row r="3" spans="1:97" x14ac:dyDescent="0.25">
      <c r="A3">
        <f>MAX(Table14[ID])</f>
        <v>19</v>
      </c>
      <c r="B3">
        <f>MAX(Table14[Heure de début])</f>
        <v>44935.449166666702</v>
      </c>
      <c r="C3">
        <f>MAX(Table14[Heure de fin])</f>
        <v>44935.462037037003</v>
      </c>
      <c r="D3">
        <f>MAX(Table14[Adresse de messagerie])</f>
        <v>0</v>
      </c>
      <c r="E3">
        <f>MAX(Table14[Nom])</f>
        <v>0</v>
      </c>
      <c r="F3">
        <f>MAX(Table14[Total points])</f>
        <v>0</v>
      </c>
      <c r="G3">
        <f>MAX(Table14[Quiz feedback])</f>
        <v>0</v>
      </c>
      <c r="H3">
        <f>MAX(Table14[CLARTE : J''ai une vision claire de l’objectif final du programme])</f>
        <v>5</v>
      </c>
      <c r="I3">
        <f>MAX(Table14[Points - CLARTE : J''ai une vision claire de l’objectif final du programme])</f>
        <v>0</v>
      </c>
      <c r="J3">
        <f>MAX(Table14[Feedback - CLARTE : J''ai une vision claire de l’objectif final du programme])</f>
        <v>0</v>
      </c>
      <c r="K3">
        <f>MAX(Table14[Si la réponse comporte moins de 2 étoiles OUI, merci de préciser votre réponse dans le champs ci-dessous :])</f>
        <v>0</v>
      </c>
      <c r="L3">
        <f>MAX(Table14[Points - Si la réponse comporte moins de 2 étoiles OUI, merci de préciser votre réponse dans le champs ci-dessous :])</f>
        <v>0</v>
      </c>
      <c r="M3">
        <f>MAX(Table14[Feedback - Si la réponse comporte moins de 2 étoiles OUI, merci de préciser votre réponse dans le champs ci-dessous :])</f>
        <v>0</v>
      </c>
      <c r="N3">
        <f>MAX(Table14[ALIGNEMENT : Je suis aligné sur l’objectif final du programme])</f>
        <v>5</v>
      </c>
      <c r="O3">
        <f>MAX(Table14[Points - ALIGNEMENT : Je suis aligné sur l’objectif final du programme])</f>
        <v>0</v>
      </c>
      <c r="P3">
        <f>MAX(Table14[Feedback - ALIGNEMENT : Je suis aligné sur l’objectif final du programme])</f>
        <v>0</v>
      </c>
      <c r="Q3">
        <f>MAX(Table14[Si la réponse comporte moins de 2 étoiles OUI, merci de préciser votre réponse dans le champs ci-dessous :2])</f>
        <v>0</v>
      </c>
      <c r="R3">
        <f>MAX(Table14[Points - Si la réponse comporte moins de 2 étoiles OUI, merci de préciser votre réponse dans le champs ci-dessous :2])</f>
        <v>0</v>
      </c>
      <c r="S3">
        <f>MAX(Table14[Feedback - Si la réponse comporte moins de 2 étoiles OUI, merci de préciser votre réponse dans le champs ci-dessous :2])</f>
        <v>0</v>
      </c>
      <c r="T3">
        <f>MAX(Table14[ENGAGEMENT  : Je supporte l’objectif du programme])</f>
        <v>5</v>
      </c>
      <c r="U3">
        <f>MAX(Table14[Points - ENGAGEMENT  : Je supporte l’objectif du programme])</f>
        <v>0</v>
      </c>
      <c r="V3">
        <f>MAX(Table14[Feedback - ENGAGEMENT  : Je supporte l’objectif du programme])</f>
        <v>0</v>
      </c>
      <c r="W3">
        <f>MAX(Table14[Si la réponse comporte moins de 2 étoiles OUI, merci de préciser votre réponse dans le champs ci-dessous :3])</f>
        <v>0</v>
      </c>
      <c r="X3">
        <f>MAX(Table14[Points - Si la réponse comporte moins de 2 étoiles OUI, merci de préciser votre réponse dans le champs ci-dessous :3])</f>
        <v>0</v>
      </c>
      <c r="Y3">
        <f>MAX(Table14[Feedback - Si la réponse comporte moins de 2 étoiles OUI, merci de préciser votre réponse dans le champs ci-dessous :3])</f>
        <v>0</v>
      </c>
      <c r="Z3">
        <f>MAX(Table14[SOLUTION  : L’approche pour atteindre l’objectif du programme est solide])</f>
        <v>5</v>
      </c>
      <c r="AA3">
        <f>MAX(Table14[Points - SOLUTION  : L’approche pour atteindre l’objectif du programme est solide])</f>
        <v>0</v>
      </c>
      <c r="AB3">
        <f>MAX(Table14[Feedback - SOLUTION  : L’approche pour atteindre l’objectif du programme est solide])</f>
        <v>0</v>
      </c>
      <c r="AC3">
        <f>MAX(Table14[Si la réponse comporte moins de 2 étoiles OUI, merci de préciser votre réponse dans le champs ci-dessous :4])</f>
        <v>0</v>
      </c>
      <c r="AD3">
        <f>MAX(Table14[Points - Si la réponse comporte moins de 2 étoiles OUI, merci de préciser votre réponse dans le champs ci-dessous :4])</f>
        <v>0</v>
      </c>
      <c r="AE3">
        <f>MAX(Table14[Feedback - Si la réponse comporte moins de 2 étoiles OUI, merci de préciser votre réponse dans le champs ci-dessous :4])</f>
        <v>0</v>
      </c>
      <c r="AF3">
        <f>MAX(Table14[INTEGRITE : Les objectifs initiaux du programme restent les mêmes])</f>
        <v>5</v>
      </c>
      <c r="AG3">
        <f>MAX(Table14[Points - INTEGRITE : Les objectifs initiaux du programme restent les mêmes])</f>
        <v>0</v>
      </c>
      <c r="AH3">
        <f>MAX(Table14[Feedback - INTEGRITE : Les objectifs initiaux du programme restent les mêmes])</f>
        <v>0</v>
      </c>
      <c r="AI3">
        <f>MAX(Table14[Si la réponse comporte moins de 2 étoiles OUI, merci de préciser votre réponse dans le champs ci-dessous :5])</f>
        <v>0</v>
      </c>
      <c r="AJ3">
        <f>MAX(Table14[Points - Si la réponse comporte moins de 2 étoiles OUI, merci de préciser votre réponse dans le champs ci-dessous :5])</f>
        <v>0</v>
      </c>
      <c r="AK3">
        <f>MAX(Table14[Feedback - Si la réponse comporte moins de 2 étoiles OUI, merci de préciser votre réponse dans le champs ci-dessous :5])</f>
        <v>0</v>
      </c>
      <c r="AL3">
        <f>MAX(Table14[SPONSORSHIP  : Les leaders fournissent le niveau de sponsorship suffisant pour supporter le programme])</f>
        <v>5</v>
      </c>
      <c r="AM3">
        <f>MAX(Table14[Points - SPONSORSHIP  : Les leaders fournissent le niveau de sponsorship suffisant pour supporter le programme])</f>
        <v>0</v>
      </c>
      <c r="AN3">
        <f>MAX(Table14[Feedback - SPONSORSHIP  : Les leaders fournissent le niveau de sponsorship suffisant pour supporter le programme])</f>
        <v>0</v>
      </c>
      <c r="AO3">
        <f>MAX(Table14[Si la réponse comporte moins de 2 étoiles OUI, merci de préciser votre réponse dans le champs ci-dessous :6])</f>
        <v>0</v>
      </c>
      <c r="AP3">
        <f>MAX(Table14[Points - Si la réponse comporte moins de 2 étoiles OUI, merci de préciser votre réponse dans le champs ci-dessous :6])</f>
        <v>0</v>
      </c>
      <c r="AQ3">
        <f>MAX(Table14[Feedback - Si la réponse comporte moins de 2 étoiles OUI, merci de préciser votre réponse dans le champs ci-dessous :6])</f>
        <v>0</v>
      </c>
      <c r="AR3">
        <f>MAX(Table14[CAPACITE : Ce changement entraine une charge de travail que nous pouvons absorber sur le site])</f>
        <v>5</v>
      </c>
      <c r="AS3">
        <f>MAX(Table14[Points - CAPACITE : Ce changement entraine une charge de travail que nous pouvons absorber sur le site])</f>
        <v>0</v>
      </c>
      <c r="AT3">
        <f>MAX(Table14[Feedback - CAPACITE : Ce changement entraine une charge de travail que nous pouvons absorber sur le site])</f>
        <v>0</v>
      </c>
      <c r="AU3">
        <f>MAX(Table14[Si la réponse comporte moins de 2 étoiles OUI, merci de préciser votre réponse dans le champs ci-dessous :7])</f>
        <v>0</v>
      </c>
      <c r="AV3">
        <f>MAX(Table14[Points - Si la réponse comporte moins de 2 étoiles OUI, merci de préciser votre réponse dans le champs ci-dessous :7])</f>
        <v>0</v>
      </c>
      <c r="AW3">
        <f>MAX(Table14[Feedback - Si la réponse comporte moins de 2 étoiles OUI, merci de préciser votre réponse dans le champs ci-dessous :7])</f>
        <v>0</v>
      </c>
      <c r="AX3">
        <f>MAX(Table14[CULTURE  : Nous avons la culture appropriée pour absorber ce changement])</f>
        <v>5</v>
      </c>
      <c r="AY3">
        <f>MAX(Table14[Points - CULTURE  : Nous avons la culture appropriée pour absorber ce changement])</f>
        <v>0</v>
      </c>
      <c r="AZ3">
        <f>MAX(Table14[Feedback - CULTURE  : Nous avons la culture appropriée pour absorber ce changement])</f>
        <v>0</v>
      </c>
      <c r="BA3">
        <f>MAX(Table14[Si la réponse comporte moins de 2 étoiles OUI, merci de préciser votre réponse dans le champs ci-dessous :8])</f>
        <v>0</v>
      </c>
      <c r="BB3">
        <f>MAX(Table14[Feedback - Si la réponse comporte moins de 2 étoiles OUI, merci de préciser votre réponse dans le champs ci-dessous :8])</f>
        <v>0</v>
      </c>
      <c r="BC3">
        <f>MAX(Table14[Points - Si la réponse comporte moins de 2 étoiles OUI, merci de préciser votre réponse dans le champs ci-dessous :8])</f>
        <v>0</v>
      </c>
      <c r="BD3">
        <f>MAX(Table14[RESISTANCE  : Les personnes impactées par ce changement démontrent l''engagement nécessaire pour réussir sa mise en place])</f>
        <v>5</v>
      </c>
      <c r="BE3">
        <f>MAX(Table14[Feedback - RESISTANCE  : Les personnes impactées par ce changement démontrent l''engagement nécessaire pour réussir sa mise en place])</f>
        <v>0</v>
      </c>
      <c r="BF3">
        <f>MAX(Table14[Points - RESISTANCE  : Les personnes impactées par ce changement démontrent l''engagement nécessaire pour réussir sa mise en place])</f>
        <v>0</v>
      </c>
      <c r="BG3">
        <f>MAX(Table14[Si la réponse comporte moins de 2 étoiles OUI, merci de préciser votre réponse dans le champs ci-dessous :9])</f>
        <v>0</v>
      </c>
      <c r="BH3">
        <f>MAX(Table14[Feedback - Si la réponse comporte moins de 2 étoiles OUI, merci de préciser votre réponse dans le champs ci-dessous :9])</f>
        <v>0</v>
      </c>
      <c r="BI3">
        <f>MAX(Table14[Points - Si la réponse comporte moins de 2 étoiles OUI, merci de préciser votre réponse dans le champs ci-dessous :9])</f>
        <v>0</v>
      </c>
      <c r="BJ3">
        <f>MAX(Table14[SYNERGIE : Nos efforts de collaboration pour ce projet nous font gagner du temps plus qu’il n’en coute])</f>
        <v>5</v>
      </c>
      <c r="BK3">
        <f>MAX(Table14[Feedback - SYNERGIE : Nos efforts de collaboration pour ce projet nous font gagner du temps plus qu’il n’en coute])</f>
        <v>0</v>
      </c>
      <c r="BL3">
        <f>MAX(Table14[Points - SYNERGIE : Nos efforts de collaboration pour ce projet nous font gagner du temps plus qu’il n’en coute])</f>
        <v>0</v>
      </c>
      <c r="BM3">
        <f>MAX(Table14[Si la réponse comporte moins de 2 étoiles OUI, merci de préciser votre réponse dans le champs ci-dessous :10])</f>
        <v>0</v>
      </c>
      <c r="BN3">
        <f>MAX(Table14[Feedback - Si la réponse comporte moins de 2 étoiles OUI, merci de préciser votre réponse dans le champs ci-dessous :10])</f>
        <v>0</v>
      </c>
      <c r="BO3">
        <f>MAX(Table14[Points - Si la réponse comporte moins de 2 étoiles OUI, merci de préciser votre réponse dans le champs ci-dessous :10])</f>
        <v>0</v>
      </c>
      <c r="BP3">
        <f>MAX(Table14[PARTENARIAT : Nos interactions avec des partenaires externes sont suffisantes pour supporter ce changement])</f>
        <v>5</v>
      </c>
      <c r="BQ3">
        <f>MAX(Table14[Feedback - PARTENARIAT : Nos interactions avec des partenaires externes sont suffisantes pour supporter ce changement])</f>
        <v>0</v>
      </c>
      <c r="BR3">
        <f>MAX(Table14[Points - PARTENARIAT : Nos interactions avec des partenaires externes sont suffisantes pour supporter ce changement])</f>
        <v>0</v>
      </c>
      <c r="BS3">
        <f>MAX(Table14[Si la réponse comporte moins de 2 étoiles OUI, merci de préciser votre réponse dans le champs ci-dessous :11])</f>
        <v>0</v>
      </c>
      <c r="BT3">
        <f>MAX(Table14[Feedback - Si la réponse comporte moins de 2 étoiles OUI, merci de préciser votre réponse dans le champs ci-dessous :11])</f>
        <v>0</v>
      </c>
      <c r="BU3">
        <f>MAX(Table14[Points - Si la réponse comporte moins de 2 étoiles OUI, merci de préciser votre réponse dans le champs ci-dessous :11])</f>
        <v>0</v>
      </c>
      <c r="BV3">
        <f>MAX(Table14[SUPERVISION : Les instances de pilotage permettent de prendre des décisions rapides et efficaces])</f>
        <v>5</v>
      </c>
      <c r="BW3">
        <f>MAX(Table14[Points - SUPERVISION : Les instances de pilotage permettent de prendre des décisions rapides et efficaces])</f>
        <v>0</v>
      </c>
      <c r="BX3">
        <f>MAX(Table14[Feedback - SUPERVISION : Les instances de pilotage permettent de prendre des décisions rapides et efficaces])</f>
        <v>0</v>
      </c>
      <c r="BY3">
        <f>MAX(Table14[Si la réponse comporte moins de 2 étoiles OUI, merci de préciser votre réponse dans le champs ci-dessous :12])</f>
        <v>0</v>
      </c>
      <c r="BZ3">
        <f>MAX(Table14[Points - Si la réponse comporte moins de 2 étoiles OUI, merci de préciser votre réponse dans le champs ci-dessous :12])</f>
        <v>0</v>
      </c>
      <c r="CA3">
        <f>MAX(Table14[Feedback - Si la réponse comporte moins de 2 étoiles OUI, merci de préciser votre réponse dans le champs ci-dessous :12])</f>
        <v>0</v>
      </c>
      <c r="CB3">
        <f>MAX(Table14[RESSOURCES : Les ressources sont suffisantes pour absorber ce changement])</f>
        <v>5</v>
      </c>
      <c r="CC3">
        <f>MAX(Table14[Points - RESSOURCES : Les ressources sont suffisantes pour absorber ce changement])</f>
        <v>0</v>
      </c>
      <c r="CD3">
        <f>MAX(Table14[Feedback - RESSOURCES : Les ressources sont suffisantes pour absorber ce changement])</f>
        <v>0</v>
      </c>
      <c r="CE3">
        <f>MAX(Table14[Si la réponse comporte moins de 2 étoiles OUI, merci de préciser votre réponse dans le champs ci-dessous :13])</f>
        <v>0</v>
      </c>
      <c r="CF3">
        <f>MAX(Table14[Points - Si la réponse comporte moins de 2 étoiles OUI, merci de préciser votre réponse dans le champs ci-dessous :13])</f>
        <v>0</v>
      </c>
      <c r="CG3">
        <f>MAX(Table14[Feedback - Si la réponse comporte moins de 2 étoiles OUI, merci de préciser votre réponse dans le champs ci-dessous :13])</f>
        <v>0</v>
      </c>
      <c r="CH3">
        <f>MAX(Table14[PORTFOLIO : Les interactions de ce projet avec les autres initiatives sont gérées correctement])</f>
        <v>5</v>
      </c>
      <c r="CI3">
        <f>MAX(Table14[Points - PORTFOLIO : Les interactions de ce projet avec les autres initiatives sont gérées correctement])</f>
        <v>0</v>
      </c>
      <c r="CJ3">
        <f>MAX(Table14[Feedback - PORTFOLIO : Les interactions de ce projet avec les autres initiatives sont gérées correctement])</f>
        <v>0</v>
      </c>
      <c r="CK3">
        <f>MAX(Table14[Si la réponse comporte moins de 2 étoiles OUI, merci de préciser votre réponse dans le champs ci-dessous :14])</f>
        <v>0</v>
      </c>
      <c r="CL3">
        <f>MAX(Table14[Points - Si la réponse comporte moins de 2 étoiles OUI, merci de préciser votre réponse dans le champs ci-dessous :14])</f>
        <v>0</v>
      </c>
      <c r="CM3">
        <f>MAX(Table14[Feedback - Si la réponse comporte moins de 2 étoiles OUI, merci de préciser votre réponse dans le champs ci-dessous :14])</f>
        <v>0</v>
      </c>
      <c r="CN3">
        <f>MAX(Table14[CHEMIN CRITIQUE : Les délais et ressources à travers de ce projet sont gérés efficacement])</f>
        <v>5</v>
      </c>
      <c r="CO3">
        <f>MAX(Table14[Points - CHEMIN CRITIQUE : Les délais et ressources à travers de ce projet sont gérés efficacement])</f>
        <v>0</v>
      </c>
      <c r="CP3">
        <f>MAX(Table14[Feedback - CHEMIN CRITIQUE : Les délais et ressources à travers de ce projet sont gérés efficacement])</f>
        <v>0</v>
      </c>
      <c r="CQ3">
        <f>MAX(Table14[Si la réponse comporte moins de 2 étoiles OUI, merci de préciser votre réponse dans le champs ci-dessous :15])</f>
        <v>0</v>
      </c>
      <c r="CR3">
        <f>MAX(Table14[Points - Si la réponse comporte moins de 2 étoiles OUI, merci de préciser votre réponse dans le champs ci-dessous :15])</f>
        <v>0</v>
      </c>
      <c r="CS3">
        <f>MAX(Table14[Feedback - Si la réponse comporte moins de 2 étoiles OUI, merci de préciser votre réponse dans le champs ci-dessous :15])</f>
        <v>0</v>
      </c>
    </row>
    <row r="4" spans="1:97" x14ac:dyDescent="0.25">
      <c r="A4">
        <f>COUNT(Table14[ID])</f>
        <v>19</v>
      </c>
      <c r="B4">
        <f>COUNT(Table14[Heure de début])</f>
        <v>19</v>
      </c>
      <c r="C4">
        <f>COUNT(Table14[Heure de fin])</f>
        <v>19</v>
      </c>
      <c r="D4">
        <f>COUNT(Table14[Adresse de messagerie])</f>
        <v>0</v>
      </c>
      <c r="E4">
        <f>COUNT(Table14[Nom])</f>
        <v>0</v>
      </c>
      <c r="F4">
        <f>COUNT(Table14[Total points])</f>
        <v>0</v>
      </c>
      <c r="G4">
        <f>COUNT(Table14[Quiz feedback])</f>
        <v>0</v>
      </c>
      <c r="H4">
        <f>COUNT(Table14[CLARTE : J''ai une vision claire de l’objectif final du programme])</f>
        <v>19</v>
      </c>
      <c r="I4">
        <f>COUNT(Table14[Points - CLARTE : J''ai une vision claire de l’objectif final du programme])</f>
        <v>0</v>
      </c>
      <c r="J4">
        <f>COUNT(Table14[Feedback - CLARTE : J''ai une vision claire de l’objectif final du programme])</f>
        <v>0</v>
      </c>
      <c r="K4">
        <f>COUNT(Table14[Si la réponse comporte moins de 2 étoiles OUI, merci de préciser votre réponse dans le champs ci-dessous :])</f>
        <v>0</v>
      </c>
      <c r="L4">
        <f>COUNT(Table14[Points - Si la réponse comporte moins de 2 étoiles OUI, merci de préciser votre réponse dans le champs ci-dessous :])</f>
        <v>0</v>
      </c>
      <c r="M4">
        <f>COUNT(Table14[Feedback - Si la réponse comporte moins de 2 étoiles OUI, merci de préciser votre réponse dans le champs ci-dessous :])</f>
        <v>0</v>
      </c>
      <c r="N4">
        <f>COUNT(Table14[ALIGNEMENT : Je suis aligné sur l’objectif final du programme])</f>
        <v>19</v>
      </c>
      <c r="O4">
        <f>COUNT(Table14[Points - ALIGNEMENT : Je suis aligné sur l’objectif final du programme])</f>
        <v>0</v>
      </c>
      <c r="P4">
        <f>COUNT(Table14[Feedback - ALIGNEMENT : Je suis aligné sur l’objectif final du programme])</f>
        <v>0</v>
      </c>
      <c r="Q4">
        <f>COUNT(Table14[Si la réponse comporte moins de 2 étoiles OUI, merci de préciser votre réponse dans le champs ci-dessous :2])</f>
        <v>0</v>
      </c>
      <c r="R4">
        <f>COUNT(Table14[Points - Si la réponse comporte moins de 2 étoiles OUI, merci de préciser votre réponse dans le champs ci-dessous :2])</f>
        <v>0</v>
      </c>
      <c r="S4">
        <f>COUNT(Table14[Feedback - Si la réponse comporte moins de 2 étoiles OUI, merci de préciser votre réponse dans le champs ci-dessous :2])</f>
        <v>0</v>
      </c>
      <c r="T4">
        <f>COUNT(Table14[ENGAGEMENT  : Je supporte l’objectif du programme])</f>
        <v>19</v>
      </c>
      <c r="U4">
        <f>COUNT(Table14[Points - ENGAGEMENT  : Je supporte l’objectif du programme])</f>
        <v>0</v>
      </c>
      <c r="V4">
        <f>COUNT(Table14[Feedback - ENGAGEMENT  : Je supporte l’objectif du programme])</f>
        <v>0</v>
      </c>
      <c r="W4">
        <f>COUNT(Table14[Si la réponse comporte moins de 2 étoiles OUI, merci de préciser votre réponse dans le champs ci-dessous :3])</f>
        <v>0</v>
      </c>
      <c r="X4">
        <f>COUNT(Table14[Points - Si la réponse comporte moins de 2 étoiles OUI, merci de préciser votre réponse dans le champs ci-dessous :3])</f>
        <v>0</v>
      </c>
      <c r="Y4">
        <f>COUNT(Table14[Feedback - Si la réponse comporte moins de 2 étoiles OUI, merci de préciser votre réponse dans le champs ci-dessous :3])</f>
        <v>0</v>
      </c>
      <c r="Z4">
        <f>COUNT(Table14[SOLUTION  : L’approche pour atteindre l’objectif du programme est solide])</f>
        <v>19</v>
      </c>
      <c r="AA4">
        <f>COUNT(Table14[Points - SOLUTION  : L’approche pour atteindre l’objectif du programme est solide])</f>
        <v>0</v>
      </c>
      <c r="AB4">
        <f>COUNT(Table14[Feedback - SOLUTION  : L’approche pour atteindre l’objectif du programme est solide])</f>
        <v>0</v>
      </c>
      <c r="AC4">
        <f>COUNT(Table14[Si la réponse comporte moins de 2 étoiles OUI, merci de préciser votre réponse dans le champs ci-dessous :4])</f>
        <v>0</v>
      </c>
      <c r="AD4">
        <f>COUNT(Table14[Points - Si la réponse comporte moins de 2 étoiles OUI, merci de préciser votre réponse dans le champs ci-dessous :4])</f>
        <v>0</v>
      </c>
      <c r="AE4">
        <f>COUNT(Table14[Feedback - Si la réponse comporte moins de 2 étoiles OUI, merci de préciser votre réponse dans le champs ci-dessous :4])</f>
        <v>0</v>
      </c>
      <c r="AF4">
        <f>COUNT(Table14[INTEGRITE : Les objectifs initiaux du programme restent les mêmes])</f>
        <v>19</v>
      </c>
      <c r="AG4">
        <f>COUNT(Table14[Points - INTEGRITE : Les objectifs initiaux du programme restent les mêmes])</f>
        <v>0</v>
      </c>
      <c r="AH4">
        <f>COUNT(Table14[Feedback - INTEGRITE : Les objectifs initiaux du programme restent les mêmes])</f>
        <v>0</v>
      </c>
      <c r="AI4">
        <f>COUNT(Table14[Si la réponse comporte moins de 2 étoiles OUI, merci de préciser votre réponse dans le champs ci-dessous :5])</f>
        <v>0</v>
      </c>
      <c r="AJ4">
        <f>COUNT(Table14[Points - Si la réponse comporte moins de 2 étoiles OUI, merci de préciser votre réponse dans le champs ci-dessous :5])</f>
        <v>0</v>
      </c>
      <c r="AK4">
        <f>COUNT(Table14[Feedback - Si la réponse comporte moins de 2 étoiles OUI, merci de préciser votre réponse dans le champs ci-dessous :5])</f>
        <v>0</v>
      </c>
      <c r="AL4">
        <f>COUNT(Table14[SPONSORSHIP  : Les leaders fournissent le niveau de sponsorship suffisant pour supporter le programme])</f>
        <v>19</v>
      </c>
      <c r="AM4">
        <f>COUNT(Table14[Points - SPONSORSHIP  : Les leaders fournissent le niveau de sponsorship suffisant pour supporter le programme])</f>
        <v>0</v>
      </c>
      <c r="AN4">
        <f>COUNT(Table14[Feedback - SPONSORSHIP  : Les leaders fournissent le niveau de sponsorship suffisant pour supporter le programme])</f>
        <v>0</v>
      </c>
      <c r="AO4">
        <f>COUNT(Table14[Si la réponse comporte moins de 2 étoiles OUI, merci de préciser votre réponse dans le champs ci-dessous :6])</f>
        <v>0</v>
      </c>
      <c r="AP4">
        <f>COUNT(Table14[Points - Si la réponse comporte moins de 2 étoiles OUI, merci de préciser votre réponse dans le champs ci-dessous :6])</f>
        <v>0</v>
      </c>
      <c r="AQ4">
        <f>COUNT(Table14[Feedback - Si la réponse comporte moins de 2 étoiles OUI, merci de préciser votre réponse dans le champs ci-dessous :6])</f>
        <v>0</v>
      </c>
      <c r="AR4">
        <f>COUNT(Table14[CAPACITE : Ce changement entraine une charge de travail que nous pouvons absorber sur le site])</f>
        <v>19</v>
      </c>
      <c r="AS4">
        <f>COUNT(Table14[Points - CAPACITE : Ce changement entraine une charge de travail que nous pouvons absorber sur le site])</f>
        <v>0</v>
      </c>
      <c r="AT4">
        <f>COUNT(Table14[Feedback - CAPACITE : Ce changement entraine une charge de travail que nous pouvons absorber sur le site])</f>
        <v>0</v>
      </c>
      <c r="AU4">
        <f>COUNT(Table14[Si la réponse comporte moins de 2 étoiles OUI, merci de préciser votre réponse dans le champs ci-dessous :7])</f>
        <v>0</v>
      </c>
      <c r="AV4">
        <f>COUNT(Table14[Points - Si la réponse comporte moins de 2 étoiles OUI, merci de préciser votre réponse dans le champs ci-dessous :7])</f>
        <v>0</v>
      </c>
      <c r="AW4">
        <f>COUNT(Table14[Feedback - Si la réponse comporte moins de 2 étoiles OUI, merci de préciser votre réponse dans le champs ci-dessous :7])</f>
        <v>0</v>
      </c>
      <c r="AX4">
        <f>COUNT(Table14[CULTURE  : Nous avons la culture appropriée pour absorber ce changement])</f>
        <v>19</v>
      </c>
      <c r="AY4">
        <f>COUNT(Table14[Points - CULTURE  : Nous avons la culture appropriée pour absorber ce changement])</f>
        <v>0</v>
      </c>
      <c r="AZ4">
        <f>COUNT(Table14[Feedback - CULTURE  : Nous avons la culture appropriée pour absorber ce changement])</f>
        <v>0</v>
      </c>
      <c r="BA4">
        <f>COUNT(Table14[Si la réponse comporte moins de 2 étoiles OUI, merci de préciser votre réponse dans le champs ci-dessous :8])</f>
        <v>0</v>
      </c>
      <c r="BB4">
        <f>COUNT(Table14[Feedback - Si la réponse comporte moins de 2 étoiles OUI, merci de préciser votre réponse dans le champs ci-dessous :8])</f>
        <v>0</v>
      </c>
      <c r="BC4">
        <f>COUNT(Table14[Points - Si la réponse comporte moins de 2 étoiles OUI, merci de préciser votre réponse dans le champs ci-dessous :8])</f>
        <v>0</v>
      </c>
      <c r="BD4">
        <f>COUNT(Table14[RESISTANCE  : Les personnes impactées par ce changement démontrent l''engagement nécessaire pour réussir sa mise en place])</f>
        <v>19</v>
      </c>
      <c r="BE4">
        <f>COUNT(Table14[Feedback - RESISTANCE  : Les personnes impactées par ce changement démontrent l''engagement nécessaire pour réussir sa mise en place])</f>
        <v>0</v>
      </c>
      <c r="BF4">
        <f>COUNT(Table14[Points - RESISTANCE  : Les personnes impactées par ce changement démontrent l''engagement nécessaire pour réussir sa mise en place])</f>
        <v>0</v>
      </c>
      <c r="BG4">
        <f>COUNT(Table14[Si la réponse comporte moins de 2 étoiles OUI, merci de préciser votre réponse dans le champs ci-dessous :9])</f>
        <v>0</v>
      </c>
      <c r="BH4">
        <f>COUNT(Table14[Feedback - Si la réponse comporte moins de 2 étoiles OUI, merci de préciser votre réponse dans le champs ci-dessous :9])</f>
        <v>0</v>
      </c>
      <c r="BI4">
        <f>COUNT(Table14[Points - Si la réponse comporte moins de 2 étoiles OUI, merci de préciser votre réponse dans le champs ci-dessous :9])</f>
        <v>0</v>
      </c>
      <c r="BJ4">
        <f>COUNT(Table14[SYNERGIE : Nos efforts de collaboration pour ce projet nous font gagner du temps plus qu’il n’en coute])</f>
        <v>19</v>
      </c>
      <c r="BK4">
        <f>COUNT(Table14[Feedback - SYNERGIE : Nos efforts de collaboration pour ce projet nous font gagner du temps plus qu’il n’en coute])</f>
        <v>0</v>
      </c>
      <c r="BL4">
        <f>COUNT(Table14[Points - SYNERGIE : Nos efforts de collaboration pour ce projet nous font gagner du temps plus qu’il n’en coute])</f>
        <v>0</v>
      </c>
      <c r="BM4">
        <f>COUNT(Table14[Si la réponse comporte moins de 2 étoiles OUI, merci de préciser votre réponse dans le champs ci-dessous :10])</f>
        <v>0</v>
      </c>
      <c r="BN4">
        <f>COUNT(Table14[Feedback - Si la réponse comporte moins de 2 étoiles OUI, merci de préciser votre réponse dans le champs ci-dessous :10])</f>
        <v>0</v>
      </c>
      <c r="BO4">
        <f>COUNT(Table14[Points - Si la réponse comporte moins de 2 étoiles OUI, merci de préciser votre réponse dans le champs ci-dessous :10])</f>
        <v>0</v>
      </c>
      <c r="BP4">
        <f>COUNT(Table14[PARTENARIAT : Nos interactions avec des partenaires externes sont suffisantes pour supporter ce changement])</f>
        <v>19</v>
      </c>
      <c r="BQ4">
        <f>COUNT(Table14[Feedback - PARTENARIAT : Nos interactions avec des partenaires externes sont suffisantes pour supporter ce changement])</f>
        <v>0</v>
      </c>
      <c r="BR4">
        <f>COUNT(Table14[Points - PARTENARIAT : Nos interactions avec des partenaires externes sont suffisantes pour supporter ce changement])</f>
        <v>0</v>
      </c>
      <c r="BS4">
        <f>COUNT(Table14[Si la réponse comporte moins de 2 étoiles OUI, merci de préciser votre réponse dans le champs ci-dessous :11])</f>
        <v>0</v>
      </c>
      <c r="BT4">
        <f>COUNT(Table14[Feedback - Si la réponse comporte moins de 2 étoiles OUI, merci de préciser votre réponse dans le champs ci-dessous :11])</f>
        <v>0</v>
      </c>
      <c r="BU4">
        <f>COUNT(Table14[Points - Si la réponse comporte moins de 2 étoiles OUI, merci de préciser votre réponse dans le champs ci-dessous :11])</f>
        <v>0</v>
      </c>
      <c r="BV4">
        <f>COUNT(Table14[SUPERVISION : Les instances de pilotage permettent de prendre des décisions rapides et efficaces])</f>
        <v>19</v>
      </c>
      <c r="BW4">
        <f>COUNT(Table14[Points - SUPERVISION : Les instances de pilotage permettent de prendre des décisions rapides et efficaces])</f>
        <v>0</v>
      </c>
      <c r="BX4">
        <f>COUNT(Table14[Feedback - SUPERVISION : Les instances de pilotage permettent de prendre des décisions rapides et efficaces])</f>
        <v>0</v>
      </c>
      <c r="BY4">
        <f>COUNT(Table14[Si la réponse comporte moins de 2 étoiles OUI, merci de préciser votre réponse dans le champs ci-dessous :12])</f>
        <v>0</v>
      </c>
      <c r="BZ4">
        <f>COUNT(Table14[Points - Si la réponse comporte moins de 2 étoiles OUI, merci de préciser votre réponse dans le champs ci-dessous :12])</f>
        <v>0</v>
      </c>
      <c r="CA4">
        <f>COUNT(Table14[Feedback - Si la réponse comporte moins de 2 étoiles OUI, merci de préciser votre réponse dans le champs ci-dessous :12])</f>
        <v>0</v>
      </c>
      <c r="CB4">
        <f>COUNT(Table14[RESSOURCES : Les ressources sont suffisantes pour absorber ce changement])</f>
        <v>19</v>
      </c>
      <c r="CC4">
        <f>COUNT(Table14[Points - RESSOURCES : Les ressources sont suffisantes pour absorber ce changement])</f>
        <v>0</v>
      </c>
      <c r="CD4">
        <f>COUNT(Table14[Feedback - RESSOURCES : Les ressources sont suffisantes pour absorber ce changement])</f>
        <v>0</v>
      </c>
      <c r="CE4">
        <f>COUNT(Table14[Si la réponse comporte moins de 2 étoiles OUI, merci de préciser votre réponse dans le champs ci-dessous :13])</f>
        <v>0</v>
      </c>
      <c r="CF4">
        <f>COUNT(Table14[Points - Si la réponse comporte moins de 2 étoiles OUI, merci de préciser votre réponse dans le champs ci-dessous :13])</f>
        <v>0</v>
      </c>
      <c r="CG4">
        <f>COUNT(Table14[Feedback - Si la réponse comporte moins de 2 étoiles OUI, merci de préciser votre réponse dans le champs ci-dessous :13])</f>
        <v>0</v>
      </c>
      <c r="CH4">
        <f>COUNT(Table14[PORTFOLIO : Les interactions de ce projet avec les autres initiatives sont gérées correctement])</f>
        <v>19</v>
      </c>
      <c r="CI4">
        <f>COUNT(Table14[Points - PORTFOLIO : Les interactions de ce projet avec les autres initiatives sont gérées correctement])</f>
        <v>0</v>
      </c>
      <c r="CJ4">
        <f>COUNT(Table14[Feedback - PORTFOLIO : Les interactions de ce projet avec les autres initiatives sont gérées correctement])</f>
        <v>0</v>
      </c>
      <c r="CK4">
        <f>COUNT(Table14[Si la réponse comporte moins de 2 étoiles OUI, merci de préciser votre réponse dans le champs ci-dessous :14])</f>
        <v>0</v>
      </c>
      <c r="CL4">
        <f>COUNT(Table14[Points - Si la réponse comporte moins de 2 étoiles OUI, merci de préciser votre réponse dans le champs ci-dessous :14])</f>
        <v>0</v>
      </c>
      <c r="CM4">
        <f>COUNT(Table14[Feedback - Si la réponse comporte moins de 2 étoiles OUI, merci de préciser votre réponse dans le champs ci-dessous :14])</f>
        <v>0</v>
      </c>
      <c r="CN4">
        <f>COUNT(Table14[CHEMIN CRITIQUE : Les délais et ressources à travers de ce projet sont gérés efficacement])</f>
        <v>19</v>
      </c>
      <c r="CO4">
        <f>COUNT(Table14[Points - CHEMIN CRITIQUE : Les délais et ressources à travers de ce projet sont gérés efficacement])</f>
        <v>0</v>
      </c>
      <c r="CP4">
        <f>COUNT(Table14[Feedback - CHEMIN CRITIQUE : Les délais et ressources à travers de ce projet sont gérés efficacement])</f>
        <v>0</v>
      </c>
      <c r="CQ4">
        <f>COUNT(Table14[Si la réponse comporte moins de 2 étoiles OUI, merci de préciser votre réponse dans le champs ci-dessous :15])</f>
        <v>0</v>
      </c>
      <c r="CR4">
        <f>COUNT(Table14[Points - Si la réponse comporte moins de 2 étoiles OUI, merci de préciser votre réponse dans le champs ci-dessous :15])</f>
        <v>0</v>
      </c>
      <c r="CS4">
        <f>COUNT(Table14[Feedback - Si la réponse comporte moins de 2 étoiles OUI, merci de préciser votre réponse dans le champs ci-dessous :15])</f>
        <v>0</v>
      </c>
    </row>
    <row r="5" spans="1:97" x14ac:dyDescent="0.25">
      <c r="A5" t="s">
        <v>0</v>
      </c>
      <c r="B5" t="s">
        <v>1</v>
      </c>
      <c r="C5" t="s">
        <v>2</v>
      </c>
      <c r="D5" t="s">
        <v>3</v>
      </c>
      <c r="E5" t="s">
        <v>4</v>
      </c>
      <c r="F5" t="s">
        <v>5</v>
      </c>
      <c r="G5" t="s">
        <v>6</v>
      </c>
      <c r="H5" t="s">
        <v>7</v>
      </c>
      <c r="I5" t="s">
        <v>8</v>
      </c>
      <c r="J5" t="s">
        <v>9</v>
      </c>
      <c r="K5" t="s">
        <v>10</v>
      </c>
      <c r="L5" t="s">
        <v>11</v>
      </c>
      <c r="M5" t="s">
        <v>12</v>
      </c>
      <c r="N5" t="s">
        <v>13</v>
      </c>
      <c r="O5" t="s">
        <v>14</v>
      </c>
      <c r="P5" t="s">
        <v>15</v>
      </c>
      <c r="Q5" t="s">
        <v>16</v>
      </c>
      <c r="R5" t="s">
        <v>17</v>
      </c>
      <c r="S5" t="s">
        <v>18</v>
      </c>
      <c r="T5" t="s">
        <v>19</v>
      </c>
      <c r="U5" t="s">
        <v>20</v>
      </c>
      <c r="V5" t="s">
        <v>21</v>
      </c>
      <c r="W5" t="s">
        <v>22</v>
      </c>
      <c r="X5" t="s">
        <v>23</v>
      </c>
      <c r="Y5" t="s">
        <v>24</v>
      </c>
      <c r="Z5" t="s">
        <v>25</v>
      </c>
      <c r="AA5" t="s">
        <v>26</v>
      </c>
      <c r="AB5" t="s">
        <v>27</v>
      </c>
      <c r="AC5" t="s">
        <v>28</v>
      </c>
      <c r="AD5" t="s">
        <v>29</v>
      </c>
      <c r="AE5" t="s">
        <v>30</v>
      </c>
      <c r="AF5" t="s">
        <v>31</v>
      </c>
      <c r="AG5" t="s">
        <v>32</v>
      </c>
      <c r="AH5" t="s">
        <v>33</v>
      </c>
      <c r="AI5" t="s">
        <v>34</v>
      </c>
      <c r="AJ5" t="s">
        <v>35</v>
      </c>
      <c r="AK5" t="s">
        <v>36</v>
      </c>
      <c r="AL5" t="s">
        <v>37</v>
      </c>
      <c r="AM5" t="s">
        <v>38</v>
      </c>
      <c r="AN5" t="s">
        <v>39</v>
      </c>
      <c r="AO5" t="s">
        <v>40</v>
      </c>
      <c r="AP5" t="s">
        <v>41</v>
      </c>
      <c r="AQ5" t="s">
        <v>42</v>
      </c>
      <c r="AR5" t="s">
        <v>43</v>
      </c>
      <c r="AS5" t="s">
        <v>44</v>
      </c>
      <c r="AT5" t="s">
        <v>45</v>
      </c>
      <c r="AU5" t="s">
        <v>46</v>
      </c>
      <c r="AV5" t="s">
        <v>47</v>
      </c>
      <c r="AW5" t="s">
        <v>48</v>
      </c>
      <c r="AX5" t="s">
        <v>49</v>
      </c>
      <c r="AY5" t="s">
        <v>50</v>
      </c>
      <c r="AZ5" t="s">
        <v>51</v>
      </c>
      <c r="BA5" t="s">
        <v>52</v>
      </c>
      <c r="BB5" t="s">
        <v>53</v>
      </c>
      <c r="BC5" t="s">
        <v>54</v>
      </c>
      <c r="BD5" t="s">
        <v>55</v>
      </c>
      <c r="BE5" t="s">
        <v>56</v>
      </c>
      <c r="BF5" t="s">
        <v>57</v>
      </c>
      <c r="BG5" t="s">
        <v>58</v>
      </c>
      <c r="BH5" t="s">
        <v>59</v>
      </c>
      <c r="BI5" t="s">
        <v>60</v>
      </c>
      <c r="BJ5" t="s">
        <v>61</v>
      </c>
      <c r="BK5" t="s">
        <v>62</v>
      </c>
      <c r="BL5" t="s">
        <v>63</v>
      </c>
      <c r="BM5" t="s">
        <v>64</v>
      </c>
      <c r="BN5" t="s">
        <v>65</v>
      </c>
      <c r="BO5" t="s">
        <v>66</v>
      </c>
      <c r="BP5" t="s">
        <v>67</v>
      </c>
      <c r="BQ5" t="s">
        <v>68</v>
      </c>
      <c r="BR5" t="s">
        <v>69</v>
      </c>
      <c r="BS5" t="s">
        <v>70</v>
      </c>
      <c r="BT5" t="s">
        <v>71</v>
      </c>
      <c r="BU5" t="s">
        <v>72</v>
      </c>
      <c r="BV5" t="s">
        <v>73</v>
      </c>
      <c r="BW5" t="s">
        <v>74</v>
      </c>
      <c r="BX5" t="s">
        <v>75</v>
      </c>
      <c r="BY5" t="s">
        <v>76</v>
      </c>
      <c r="BZ5" t="s">
        <v>77</v>
      </c>
      <c r="CA5" t="s">
        <v>78</v>
      </c>
      <c r="CB5" t="s">
        <v>79</v>
      </c>
      <c r="CC5" t="s">
        <v>80</v>
      </c>
      <c r="CD5" t="s">
        <v>81</v>
      </c>
      <c r="CE5" t="s">
        <v>82</v>
      </c>
      <c r="CF5" t="s">
        <v>83</v>
      </c>
      <c r="CG5" t="s">
        <v>84</v>
      </c>
      <c r="CH5" t="s">
        <v>85</v>
      </c>
      <c r="CI5" t="s">
        <v>86</v>
      </c>
      <c r="CJ5" t="s">
        <v>87</v>
      </c>
      <c r="CK5" t="s">
        <v>88</v>
      </c>
      <c r="CL5" t="s">
        <v>89</v>
      </c>
      <c r="CM5" t="s">
        <v>90</v>
      </c>
      <c r="CN5" t="s">
        <v>91</v>
      </c>
      <c r="CO5" t="s">
        <v>92</v>
      </c>
      <c r="CP5" t="s">
        <v>93</v>
      </c>
      <c r="CQ5" t="s">
        <v>94</v>
      </c>
      <c r="CR5" t="s">
        <v>95</v>
      </c>
      <c r="CS5" t="s">
        <v>96</v>
      </c>
    </row>
    <row r="6" spans="1:97" x14ac:dyDescent="0.25">
      <c r="A6">
        <v>1</v>
      </c>
      <c r="B6" s="1">
        <v>44903.6631597222</v>
      </c>
      <c r="C6" s="1">
        <v>44903.664236111101</v>
      </c>
      <c r="D6" t="s">
        <v>97</v>
      </c>
      <c r="H6">
        <v>5</v>
      </c>
      <c r="N6">
        <v>5</v>
      </c>
      <c r="T6">
        <v>5</v>
      </c>
      <c r="Z6">
        <v>5</v>
      </c>
      <c r="AF6">
        <v>5</v>
      </c>
      <c r="AL6">
        <v>5</v>
      </c>
      <c r="AR6">
        <v>5</v>
      </c>
      <c r="AX6">
        <v>5</v>
      </c>
      <c r="BD6">
        <v>5</v>
      </c>
      <c r="BJ6">
        <v>5</v>
      </c>
      <c r="BP6">
        <v>5</v>
      </c>
      <c r="BV6">
        <v>5</v>
      </c>
      <c r="CB6">
        <v>5</v>
      </c>
      <c r="CH6">
        <v>5</v>
      </c>
      <c r="CN6">
        <v>5</v>
      </c>
    </row>
    <row r="7" spans="1:97" x14ac:dyDescent="0.25">
      <c r="A7">
        <v>2</v>
      </c>
      <c r="B7" s="1">
        <v>44903.666712963</v>
      </c>
      <c r="C7" s="1">
        <v>44903.668333333299</v>
      </c>
      <c r="D7" t="s">
        <v>97</v>
      </c>
      <c r="H7">
        <v>4</v>
      </c>
      <c r="N7">
        <v>4</v>
      </c>
      <c r="T7">
        <v>5</v>
      </c>
      <c r="Z7">
        <v>5</v>
      </c>
      <c r="AF7">
        <v>5</v>
      </c>
      <c r="AL7">
        <v>5</v>
      </c>
      <c r="AR7">
        <v>3</v>
      </c>
      <c r="AX7">
        <v>4</v>
      </c>
      <c r="BD7">
        <v>5</v>
      </c>
      <c r="BJ7">
        <v>4</v>
      </c>
      <c r="BP7">
        <v>3</v>
      </c>
      <c r="BV7">
        <v>5</v>
      </c>
      <c r="CB7">
        <v>3</v>
      </c>
      <c r="CH7">
        <v>4</v>
      </c>
      <c r="CN7">
        <v>4</v>
      </c>
    </row>
    <row r="8" spans="1:97" x14ac:dyDescent="0.25">
      <c r="A8">
        <v>3</v>
      </c>
      <c r="B8" s="1">
        <v>44903.694398148102</v>
      </c>
      <c r="C8" s="1">
        <v>44903.695925925902</v>
      </c>
      <c r="D8" t="s">
        <v>97</v>
      </c>
      <c r="H8">
        <v>3</v>
      </c>
      <c r="N8">
        <v>3</v>
      </c>
      <c r="T8">
        <v>4</v>
      </c>
      <c r="Z8">
        <v>4</v>
      </c>
      <c r="AF8">
        <v>3</v>
      </c>
      <c r="AL8">
        <v>4</v>
      </c>
      <c r="AR8">
        <v>2</v>
      </c>
      <c r="AX8">
        <v>3</v>
      </c>
      <c r="BD8">
        <v>4</v>
      </c>
      <c r="BJ8">
        <v>4</v>
      </c>
      <c r="BP8">
        <v>3</v>
      </c>
      <c r="BV8">
        <v>4</v>
      </c>
      <c r="CB8">
        <v>3</v>
      </c>
      <c r="CH8">
        <v>3</v>
      </c>
      <c r="CN8">
        <v>3</v>
      </c>
    </row>
    <row r="9" spans="1:97" x14ac:dyDescent="0.25">
      <c r="A9">
        <v>4</v>
      </c>
      <c r="B9" s="1">
        <v>44904.366099537001</v>
      </c>
      <c r="C9" s="1">
        <v>44904.366817129601</v>
      </c>
      <c r="D9" t="s">
        <v>97</v>
      </c>
      <c r="H9">
        <v>5</v>
      </c>
      <c r="N9">
        <v>5</v>
      </c>
      <c r="T9">
        <v>5</v>
      </c>
      <c r="Z9">
        <v>5</v>
      </c>
      <c r="AF9">
        <v>5</v>
      </c>
      <c r="AL9">
        <v>5</v>
      </c>
      <c r="AR9">
        <v>4</v>
      </c>
      <c r="AX9">
        <v>4</v>
      </c>
      <c r="BD9">
        <v>5</v>
      </c>
      <c r="BJ9">
        <v>5</v>
      </c>
      <c r="BP9">
        <v>5</v>
      </c>
      <c r="BV9">
        <v>5</v>
      </c>
      <c r="CB9">
        <v>5</v>
      </c>
      <c r="CH9">
        <v>5</v>
      </c>
      <c r="CN9">
        <v>5</v>
      </c>
    </row>
    <row r="10" spans="1:97" x14ac:dyDescent="0.25">
      <c r="A10">
        <v>5</v>
      </c>
      <c r="B10" s="1">
        <v>44904.4766550926</v>
      </c>
      <c r="C10" s="1">
        <v>44904.483368055597</v>
      </c>
      <c r="D10" t="s">
        <v>97</v>
      </c>
      <c r="H10">
        <v>4</v>
      </c>
      <c r="N10">
        <v>4</v>
      </c>
      <c r="T10">
        <v>4</v>
      </c>
      <c r="Z10">
        <v>1</v>
      </c>
      <c r="AC10" t="s">
        <v>155</v>
      </c>
      <c r="AF10">
        <v>4</v>
      </c>
      <c r="AL10">
        <v>3</v>
      </c>
      <c r="AR10">
        <v>1</v>
      </c>
      <c r="AU10" t="s">
        <v>156</v>
      </c>
      <c r="AX10">
        <v>4</v>
      </c>
      <c r="BD10">
        <v>4</v>
      </c>
      <c r="BJ10">
        <v>1</v>
      </c>
      <c r="BM10" t="s">
        <v>157</v>
      </c>
      <c r="BP10">
        <v>1</v>
      </c>
      <c r="BS10" t="s">
        <v>158</v>
      </c>
      <c r="BV10">
        <v>1</v>
      </c>
      <c r="BY10" t="s">
        <v>159</v>
      </c>
      <c r="CB10">
        <v>1</v>
      </c>
      <c r="CE10" t="s">
        <v>160</v>
      </c>
      <c r="CH10">
        <v>3</v>
      </c>
      <c r="CN10">
        <v>1</v>
      </c>
      <c r="CQ10" t="s">
        <v>161</v>
      </c>
    </row>
    <row r="11" spans="1:97" x14ac:dyDescent="0.25">
      <c r="A11">
        <v>6</v>
      </c>
      <c r="B11" s="1">
        <v>44907.562465277799</v>
      </c>
      <c r="C11" s="1">
        <v>44907.565810185202</v>
      </c>
      <c r="D11" t="s">
        <v>97</v>
      </c>
      <c r="H11">
        <v>4</v>
      </c>
      <c r="N11">
        <v>4</v>
      </c>
      <c r="T11">
        <v>5</v>
      </c>
      <c r="Z11">
        <v>3</v>
      </c>
      <c r="AF11">
        <v>5</v>
      </c>
      <c r="AL11">
        <v>5</v>
      </c>
      <c r="AR11">
        <v>3</v>
      </c>
      <c r="AX11">
        <v>3</v>
      </c>
      <c r="BD11">
        <v>5</v>
      </c>
      <c r="BJ11">
        <v>3</v>
      </c>
      <c r="BP11">
        <v>5</v>
      </c>
      <c r="BV11">
        <v>4</v>
      </c>
      <c r="CB11">
        <v>4</v>
      </c>
      <c r="CH11">
        <v>4</v>
      </c>
      <c r="CN11">
        <v>3</v>
      </c>
    </row>
    <row r="12" spans="1:97" x14ac:dyDescent="0.25">
      <c r="A12">
        <v>7</v>
      </c>
      <c r="B12" s="1">
        <v>44907.639421296299</v>
      </c>
      <c r="C12" s="1">
        <v>44907.6410763889</v>
      </c>
      <c r="D12" t="s">
        <v>97</v>
      </c>
      <c r="H12">
        <v>2</v>
      </c>
      <c r="N12">
        <v>3</v>
      </c>
      <c r="T12">
        <v>5</v>
      </c>
      <c r="Z12">
        <v>3</v>
      </c>
      <c r="AF12">
        <v>3</v>
      </c>
      <c r="AL12">
        <v>2</v>
      </c>
      <c r="AR12">
        <v>3</v>
      </c>
      <c r="AX12">
        <v>4</v>
      </c>
      <c r="BD12">
        <v>3</v>
      </c>
      <c r="BJ12">
        <v>2</v>
      </c>
      <c r="BP12">
        <v>3</v>
      </c>
      <c r="BV12">
        <v>3</v>
      </c>
      <c r="CB12">
        <v>3</v>
      </c>
      <c r="CH12">
        <v>3</v>
      </c>
      <c r="CN12">
        <v>3</v>
      </c>
    </row>
    <row r="13" spans="1:97" x14ac:dyDescent="0.25">
      <c r="A13">
        <v>8</v>
      </c>
      <c r="B13" s="1">
        <v>44907.684537036999</v>
      </c>
      <c r="C13" s="1">
        <v>44907.6863310185</v>
      </c>
      <c r="D13" t="s">
        <v>97</v>
      </c>
      <c r="H13">
        <v>5</v>
      </c>
      <c r="N13">
        <v>4</v>
      </c>
      <c r="T13">
        <v>5</v>
      </c>
      <c r="Z13">
        <v>4</v>
      </c>
      <c r="AF13">
        <v>4</v>
      </c>
      <c r="AL13">
        <v>5</v>
      </c>
      <c r="AR13">
        <v>3</v>
      </c>
      <c r="AX13">
        <v>5</v>
      </c>
      <c r="BD13">
        <v>5</v>
      </c>
      <c r="BJ13">
        <v>4</v>
      </c>
      <c r="BP13">
        <v>4</v>
      </c>
      <c r="BV13">
        <v>4</v>
      </c>
      <c r="CB13">
        <v>4</v>
      </c>
      <c r="CH13">
        <v>5</v>
      </c>
      <c r="CN13">
        <v>4</v>
      </c>
    </row>
    <row r="14" spans="1:97" x14ac:dyDescent="0.25">
      <c r="A14">
        <v>9</v>
      </c>
      <c r="B14" s="1">
        <v>44907.849548611099</v>
      </c>
      <c r="C14" s="1">
        <v>44907.862349536997</v>
      </c>
      <c r="D14" t="s">
        <v>97</v>
      </c>
      <c r="H14">
        <v>3</v>
      </c>
      <c r="N14">
        <v>5</v>
      </c>
      <c r="T14">
        <v>3</v>
      </c>
      <c r="Z14">
        <v>3</v>
      </c>
      <c r="AF14">
        <v>4</v>
      </c>
      <c r="AL14">
        <v>3</v>
      </c>
      <c r="AR14">
        <v>1</v>
      </c>
      <c r="AU14" t="s">
        <v>162</v>
      </c>
      <c r="AX14">
        <v>1</v>
      </c>
      <c r="BA14" t="s">
        <v>163</v>
      </c>
      <c r="BD14">
        <v>2</v>
      </c>
      <c r="BJ14">
        <v>2</v>
      </c>
      <c r="BP14">
        <v>1</v>
      </c>
      <c r="BS14" t="s">
        <v>164</v>
      </c>
      <c r="BV14">
        <v>2</v>
      </c>
      <c r="CB14">
        <v>1</v>
      </c>
      <c r="CE14" t="s">
        <v>165</v>
      </c>
      <c r="CH14">
        <v>2</v>
      </c>
      <c r="CN14">
        <v>2</v>
      </c>
    </row>
    <row r="15" spans="1:97" x14ac:dyDescent="0.25">
      <c r="A15">
        <v>10</v>
      </c>
      <c r="B15" s="1">
        <v>44909.430821759299</v>
      </c>
      <c r="C15" s="1">
        <v>44909.435624999998</v>
      </c>
      <c r="D15" t="s">
        <v>97</v>
      </c>
      <c r="H15">
        <v>4</v>
      </c>
      <c r="N15">
        <v>4</v>
      </c>
      <c r="T15">
        <v>3</v>
      </c>
      <c r="W15" t="s">
        <v>166</v>
      </c>
      <c r="Z15">
        <v>3</v>
      </c>
      <c r="AC15" t="s">
        <v>167</v>
      </c>
      <c r="AF15">
        <v>4</v>
      </c>
      <c r="AL15">
        <v>4</v>
      </c>
      <c r="AR15">
        <v>3</v>
      </c>
      <c r="AU15" t="s">
        <v>168</v>
      </c>
      <c r="AX15">
        <v>4</v>
      </c>
      <c r="BA15" t="s">
        <v>169</v>
      </c>
      <c r="BD15">
        <v>3</v>
      </c>
      <c r="BG15" t="s">
        <v>170</v>
      </c>
      <c r="BJ15">
        <v>3</v>
      </c>
      <c r="BM15" t="s">
        <v>171</v>
      </c>
      <c r="BP15">
        <v>3</v>
      </c>
      <c r="BS15" t="s">
        <v>172</v>
      </c>
      <c r="BV15">
        <v>3</v>
      </c>
      <c r="BY15" t="s">
        <v>172</v>
      </c>
      <c r="CB15">
        <v>3</v>
      </c>
      <c r="CE15" t="s">
        <v>173</v>
      </c>
      <c r="CH15">
        <v>4</v>
      </c>
      <c r="CN15">
        <v>3</v>
      </c>
      <c r="CQ15" t="s">
        <v>174</v>
      </c>
    </row>
    <row r="16" spans="1:97" x14ac:dyDescent="0.25">
      <c r="A16">
        <v>11</v>
      </c>
      <c r="B16" s="1">
        <v>44930.605902777803</v>
      </c>
      <c r="C16" s="1">
        <v>44930.607743055603</v>
      </c>
      <c r="D16" t="s">
        <v>97</v>
      </c>
      <c r="H16">
        <v>4</v>
      </c>
      <c r="N16">
        <v>4</v>
      </c>
      <c r="T16">
        <v>4</v>
      </c>
      <c r="Z16">
        <v>3</v>
      </c>
      <c r="AF16">
        <v>3</v>
      </c>
      <c r="AL16">
        <v>3</v>
      </c>
      <c r="AR16">
        <v>3</v>
      </c>
      <c r="AX16">
        <v>2</v>
      </c>
      <c r="BD16">
        <v>3</v>
      </c>
      <c r="BJ16">
        <v>3</v>
      </c>
      <c r="BP16">
        <v>3</v>
      </c>
      <c r="BV16">
        <v>3</v>
      </c>
      <c r="CB16">
        <v>2</v>
      </c>
      <c r="CH16">
        <v>3</v>
      </c>
      <c r="CN16">
        <v>3</v>
      </c>
    </row>
    <row r="17" spans="1:95" x14ac:dyDescent="0.25">
      <c r="A17">
        <v>12</v>
      </c>
      <c r="B17" s="1">
        <v>44930.624606481499</v>
      </c>
      <c r="C17" s="1">
        <v>44930.628831018497</v>
      </c>
      <c r="D17" t="s">
        <v>97</v>
      </c>
      <c r="H17">
        <v>5</v>
      </c>
      <c r="N17">
        <v>5</v>
      </c>
      <c r="T17">
        <v>5</v>
      </c>
      <c r="Z17">
        <v>3</v>
      </c>
      <c r="AC17" t="s">
        <v>175</v>
      </c>
      <c r="AF17">
        <v>3</v>
      </c>
      <c r="AL17">
        <v>3</v>
      </c>
      <c r="AO17" t="s">
        <v>176</v>
      </c>
      <c r="AR17">
        <v>3</v>
      </c>
      <c r="AU17" t="s">
        <v>177</v>
      </c>
      <c r="AX17">
        <v>5</v>
      </c>
      <c r="BD17">
        <v>5</v>
      </c>
      <c r="BJ17">
        <v>3</v>
      </c>
      <c r="BM17" t="s">
        <v>178</v>
      </c>
      <c r="BP17">
        <v>3</v>
      </c>
      <c r="BS17" t="s">
        <v>179</v>
      </c>
      <c r="BV17">
        <v>3</v>
      </c>
      <c r="BY17" t="s">
        <v>180</v>
      </c>
      <c r="CB17">
        <v>3</v>
      </c>
      <c r="CE17" t="s">
        <v>133</v>
      </c>
      <c r="CH17">
        <v>3</v>
      </c>
      <c r="CK17" t="s">
        <v>181</v>
      </c>
      <c r="CN17">
        <v>3</v>
      </c>
      <c r="CQ17" t="s">
        <v>182</v>
      </c>
    </row>
    <row r="18" spans="1:95" x14ac:dyDescent="0.25">
      <c r="A18">
        <v>13</v>
      </c>
      <c r="B18" s="1">
        <v>44930.9925925926</v>
      </c>
      <c r="C18" s="1">
        <v>44930.999699074098</v>
      </c>
      <c r="D18" t="s">
        <v>97</v>
      </c>
      <c r="H18">
        <v>5</v>
      </c>
      <c r="N18">
        <v>5</v>
      </c>
      <c r="T18">
        <v>5</v>
      </c>
      <c r="Z18">
        <v>1</v>
      </c>
      <c r="AC18" t="s">
        <v>183</v>
      </c>
      <c r="AF18">
        <v>1</v>
      </c>
      <c r="AI18" t="s">
        <v>184</v>
      </c>
      <c r="AL18">
        <v>1</v>
      </c>
      <c r="AO18" t="s">
        <v>185</v>
      </c>
      <c r="AR18">
        <v>1</v>
      </c>
      <c r="AU18" t="s">
        <v>186</v>
      </c>
      <c r="AX18">
        <v>5</v>
      </c>
      <c r="BD18">
        <v>1</v>
      </c>
      <c r="BG18" t="s">
        <v>187</v>
      </c>
      <c r="BJ18">
        <v>1</v>
      </c>
      <c r="BM18" t="s">
        <v>188</v>
      </c>
      <c r="BP18">
        <v>1</v>
      </c>
      <c r="BS18" t="s">
        <v>174</v>
      </c>
      <c r="BV18">
        <v>1</v>
      </c>
      <c r="BY18" t="s">
        <v>174</v>
      </c>
      <c r="CB18">
        <v>1</v>
      </c>
      <c r="CE18" t="s">
        <v>174</v>
      </c>
      <c r="CH18">
        <v>1</v>
      </c>
      <c r="CK18" t="s">
        <v>174</v>
      </c>
      <c r="CN18">
        <v>1</v>
      </c>
      <c r="CQ18" t="s">
        <v>174</v>
      </c>
    </row>
    <row r="19" spans="1:95" x14ac:dyDescent="0.25">
      <c r="A19">
        <v>14</v>
      </c>
      <c r="B19" s="1">
        <v>44931.322569444397</v>
      </c>
      <c r="C19" s="1">
        <v>44931.326122685197</v>
      </c>
      <c r="D19" t="s">
        <v>97</v>
      </c>
      <c r="H19">
        <v>5</v>
      </c>
      <c r="N19">
        <v>5</v>
      </c>
      <c r="T19">
        <v>5</v>
      </c>
      <c r="Z19">
        <v>5</v>
      </c>
      <c r="AF19">
        <v>5</v>
      </c>
      <c r="AL19">
        <v>5</v>
      </c>
      <c r="AR19">
        <v>5</v>
      </c>
      <c r="AX19">
        <v>5</v>
      </c>
      <c r="BD19">
        <v>5</v>
      </c>
      <c r="BJ19">
        <v>5</v>
      </c>
      <c r="BP19">
        <v>5</v>
      </c>
      <c r="BV19">
        <v>5</v>
      </c>
      <c r="CB19">
        <v>5</v>
      </c>
      <c r="CH19">
        <v>5</v>
      </c>
      <c r="CN19">
        <v>5</v>
      </c>
    </row>
    <row r="20" spans="1:95" x14ac:dyDescent="0.25">
      <c r="A20">
        <v>15</v>
      </c>
      <c r="B20" s="1">
        <v>44931.416122685201</v>
      </c>
      <c r="C20" s="1">
        <v>44931.420081018499</v>
      </c>
      <c r="D20" t="s">
        <v>97</v>
      </c>
      <c r="H20">
        <v>4</v>
      </c>
      <c r="N20">
        <v>4</v>
      </c>
      <c r="T20">
        <v>4</v>
      </c>
      <c r="Z20">
        <v>4</v>
      </c>
      <c r="AF20">
        <v>3</v>
      </c>
      <c r="AL20">
        <v>3</v>
      </c>
      <c r="AR20">
        <v>2</v>
      </c>
      <c r="AX20">
        <v>2</v>
      </c>
      <c r="BD20">
        <v>4</v>
      </c>
      <c r="BJ20">
        <v>2</v>
      </c>
      <c r="BP20">
        <v>2</v>
      </c>
      <c r="BV20">
        <v>2</v>
      </c>
      <c r="CB20">
        <v>2</v>
      </c>
      <c r="CH20">
        <v>2</v>
      </c>
      <c r="CN20">
        <v>3</v>
      </c>
    </row>
    <row r="21" spans="1:95" x14ac:dyDescent="0.25">
      <c r="A21">
        <v>16</v>
      </c>
      <c r="B21" s="1">
        <v>44931.733784722201</v>
      </c>
      <c r="C21" s="1">
        <v>44931.7366203704</v>
      </c>
      <c r="D21" t="s">
        <v>97</v>
      </c>
      <c r="H21">
        <v>5</v>
      </c>
      <c r="N21">
        <v>5</v>
      </c>
      <c r="T21">
        <v>4</v>
      </c>
      <c r="Z21">
        <v>3</v>
      </c>
      <c r="AC21" t="s">
        <v>189</v>
      </c>
      <c r="AF21">
        <v>4</v>
      </c>
      <c r="AL21">
        <v>4</v>
      </c>
      <c r="AR21">
        <v>3</v>
      </c>
      <c r="AU21" t="s">
        <v>190</v>
      </c>
      <c r="AX21">
        <v>4</v>
      </c>
      <c r="BD21">
        <v>2</v>
      </c>
      <c r="BG21" t="s">
        <v>191</v>
      </c>
      <c r="BJ21">
        <v>3</v>
      </c>
      <c r="BP21">
        <v>3</v>
      </c>
      <c r="BS21" t="s">
        <v>133</v>
      </c>
      <c r="BV21">
        <v>3</v>
      </c>
      <c r="BY21" t="s">
        <v>133</v>
      </c>
      <c r="CB21">
        <v>3</v>
      </c>
      <c r="CE21" t="s">
        <v>192</v>
      </c>
      <c r="CH21">
        <v>4</v>
      </c>
      <c r="CN21">
        <v>3</v>
      </c>
      <c r="CQ21" t="s">
        <v>193</v>
      </c>
    </row>
    <row r="22" spans="1:95" x14ac:dyDescent="0.25">
      <c r="A22">
        <v>17</v>
      </c>
      <c r="B22" s="1">
        <v>44932.861956018503</v>
      </c>
      <c r="C22" s="1">
        <v>44932.863483796304</v>
      </c>
      <c r="D22" t="s">
        <v>97</v>
      </c>
      <c r="H22">
        <v>5</v>
      </c>
      <c r="N22">
        <v>5</v>
      </c>
      <c r="T22">
        <v>5</v>
      </c>
      <c r="Z22">
        <v>3</v>
      </c>
      <c r="AF22">
        <v>3</v>
      </c>
      <c r="AL22">
        <v>3</v>
      </c>
      <c r="AR22">
        <v>3</v>
      </c>
      <c r="AX22">
        <v>3</v>
      </c>
      <c r="BD22">
        <v>3</v>
      </c>
      <c r="BJ22">
        <v>3</v>
      </c>
      <c r="BP22">
        <v>3</v>
      </c>
      <c r="BV22">
        <v>3</v>
      </c>
      <c r="CB22">
        <v>3</v>
      </c>
      <c r="CH22">
        <v>3</v>
      </c>
      <c r="CN22">
        <v>3</v>
      </c>
    </row>
    <row r="23" spans="1:95" x14ac:dyDescent="0.25">
      <c r="A23">
        <v>18</v>
      </c>
      <c r="B23" s="1">
        <v>44934.377673611103</v>
      </c>
      <c r="C23" s="1">
        <v>44934.384004629603</v>
      </c>
      <c r="D23" t="s">
        <v>97</v>
      </c>
      <c r="H23">
        <v>3</v>
      </c>
      <c r="N23">
        <v>3</v>
      </c>
      <c r="T23">
        <v>3</v>
      </c>
      <c r="Z23">
        <v>3</v>
      </c>
      <c r="AF23">
        <v>3</v>
      </c>
      <c r="AL23">
        <v>2</v>
      </c>
      <c r="AO23" t="s">
        <v>194</v>
      </c>
      <c r="AR23">
        <v>2</v>
      </c>
      <c r="AU23" t="s">
        <v>195</v>
      </c>
      <c r="AX23">
        <v>3</v>
      </c>
      <c r="BD23">
        <v>3</v>
      </c>
      <c r="BJ23">
        <v>2</v>
      </c>
      <c r="BM23" t="s">
        <v>196</v>
      </c>
      <c r="BP23">
        <v>1</v>
      </c>
      <c r="BS23" t="s">
        <v>197</v>
      </c>
      <c r="BV23">
        <v>1</v>
      </c>
      <c r="BY23" t="s">
        <v>198</v>
      </c>
      <c r="CB23">
        <v>1</v>
      </c>
      <c r="CE23" t="s">
        <v>199</v>
      </c>
      <c r="CH23">
        <v>1</v>
      </c>
      <c r="CK23" t="s">
        <v>200</v>
      </c>
      <c r="CN23">
        <v>1</v>
      </c>
      <c r="CQ23" t="s">
        <v>201</v>
      </c>
    </row>
    <row r="24" spans="1:95" x14ac:dyDescent="0.25">
      <c r="A24">
        <v>19</v>
      </c>
      <c r="B24" s="1">
        <v>44935.449166666702</v>
      </c>
      <c r="C24" s="1">
        <v>44935.462037037003</v>
      </c>
      <c r="D24" t="s">
        <v>97</v>
      </c>
      <c r="H24">
        <v>4</v>
      </c>
      <c r="N24">
        <v>4</v>
      </c>
      <c r="T24">
        <v>4</v>
      </c>
      <c r="Z24">
        <v>3</v>
      </c>
      <c r="AC24" t="s">
        <v>202</v>
      </c>
      <c r="AF24">
        <v>4</v>
      </c>
      <c r="AL24">
        <v>2</v>
      </c>
      <c r="AR24">
        <v>2</v>
      </c>
      <c r="AX24">
        <v>3</v>
      </c>
      <c r="BD24">
        <v>3</v>
      </c>
      <c r="BJ24">
        <v>2</v>
      </c>
      <c r="BP24">
        <v>3</v>
      </c>
      <c r="BS24" t="s">
        <v>203</v>
      </c>
      <c r="BV24">
        <v>3</v>
      </c>
      <c r="CB24">
        <v>2</v>
      </c>
      <c r="CH24">
        <v>1</v>
      </c>
      <c r="CK24" t="s">
        <v>204</v>
      </c>
      <c r="CN24">
        <v>2</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04E00-56CA-4E5D-9404-7F4D5189C187}">
  <sheetPr codeName="Blad3" filterMode="1"/>
  <dimension ref="A1:O98"/>
  <sheetViews>
    <sheetView workbookViewId="0">
      <selection activeCell="B101" sqref="B101"/>
    </sheetView>
  </sheetViews>
  <sheetFormatPr defaultRowHeight="15" x14ac:dyDescent="0.25"/>
  <cols>
    <col min="1" max="1" width="16.7109375" bestFit="1" customWidth="1"/>
    <col min="2" max="3" width="12" bestFit="1" customWidth="1"/>
    <col min="4" max="4" width="2" bestFit="1" customWidth="1"/>
    <col min="5" max="5" width="31.7109375" customWidth="1"/>
    <col min="6" max="6" width="16.7109375" style="3" bestFit="1" customWidth="1"/>
    <col min="7" max="8" width="12" bestFit="1" customWidth="1"/>
    <col min="9" max="9" width="3" bestFit="1" customWidth="1"/>
    <col min="10" max="10" width="29.42578125" style="2" customWidth="1"/>
    <col min="11" max="11" width="16.7109375" bestFit="1" customWidth="1"/>
    <col min="12" max="13" width="12" bestFit="1" customWidth="1"/>
    <col min="14" max="14" width="3" bestFit="1" customWidth="1"/>
    <col min="15" max="15" width="29.42578125" style="2" customWidth="1"/>
  </cols>
  <sheetData>
    <row r="1" spans="1:15" x14ac:dyDescent="0.25">
      <c r="A1" t="s">
        <v>149</v>
      </c>
      <c r="B1" t="s">
        <v>150</v>
      </c>
      <c r="C1" t="s">
        <v>151</v>
      </c>
      <c r="D1" t="s">
        <v>152</v>
      </c>
      <c r="E1" t="s">
        <v>153</v>
      </c>
      <c r="F1" s="3" t="s">
        <v>149</v>
      </c>
      <c r="G1" t="s">
        <v>150</v>
      </c>
      <c r="H1" t="s">
        <v>151</v>
      </c>
      <c r="I1" t="s">
        <v>152</v>
      </c>
      <c r="J1" s="2" t="s">
        <v>153</v>
      </c>
      <c r="K1" t="s">
        <v>149</v>
      </c>
      <c r="L1" t="s">
        <v>150</v>
      </c>
      <c r="M1" t="s">
        <v>151</v>
      </c>
      <c r="N1" t="s">
        <v>152</v>
      </c>
      <c r="O1" s="2" t="s">
        <v>153</v>
      </c>
    </row>
    <row r="2" spans="1:15" hidden="1" x14ac:dyDescent="0.25">
      <c r="A2" cm="1">
        <f t="array" aca="1" ref="A2" ca="1">OFFSET('Sheet1 (2)'!$A$1,COLUMN()-1,ROW()-2,,)</f>
        <v>4</v>
      </c>
      <c r="B2" cm="1">
        <f t="array" aca="1" ref="B2" ca="1">OFFSET('Sheet1 (2)'!$A$1,COLUMN()-1,ROW()-2,,)</f>
        <v>1</v>
      </c>
      <c r="C2" cm="1">
        <f t="array" aca="1" ref="C2" ca="1">OFFSET('Sheet1 (2)'!$A$1,COLUMN()-1,ROW()-2,,)</f>
        <v>7</v>
      </c>
      <c r="D2" cm="1">
        <f t="array" aca="1" ref="D2" ca="1">OFFSET('Sheet1 (2)'!$A$1,COLUMN()-1,ROW()-2,,)</f>
        <v>7</v>
      </c>
      <c r="E2" t="str" cm="1">
        <f t="array" aca="1" ref="E2" ca="1">OFFSET('Sheet1 (2)'!$A$1,COLUMN()-1,ROW()-2,,)</f>
        <v>ID</v>
      </c>
      <c r="F2" s="3" cm="1">
        <f t="array" aca="1" ref="F2" ca="1">OFFSET(Sheet1!$A$1,COLUMN()-6,ROW()-2,,)</f>
        <v>17</v>
      </c>
      <c r="G2" cm="1">
        <f t="array" aca="1" ref="G2" ca="1">OFFSET(Sheet1!$A$1,COLUMN()-6,ROW()-2,,)</f>
        <v>4</v>
      </c>
      <c r="H2" cm="1">
        <f t="array" aca="1" ref="H2" ca="1">OFFSET(Sheet1!$A$1,COLUMN()-6,ROW()-2,,)</f>
        <v>30</v>
      </c>
      <c r="I2" cm="1">
        <f t="array" aca="1" ref="I2" ca="1">OFFSET(Sheet1!$A$1,COLUMN()-6,ROW()-2,,)</f>
        <v>27</v>
      </c>
      <c r="J2" s="2" t="str" cm="1">
        <f t="array" aca="1" ref="J2" ca="1">OFFSET(Sheet1!$A$1,COLUMN()-6,ROW()-2,,)</f>
        <v>ID</v>
      </c>
      <c r="K2" cm="1">
        <f t="array" aca="1" ref="K2" ca="1">OFFSET('3-evol'!$A$1,COLUMN()-11,ROW()-2,,)</f>
        <v>10</v>
      </c>
      <c r="L2" cm="1">
        <f t="array" aca="1" ref="L2" ca="1">OFFSET('3-evol'!$A$1,COLUMN()-11,ROW()-2,,)</f>
        <v>1</v>
      </c>
      <c r="M2" cm="1">
        <f t="array" aca="1" ref="M2" ca="1">OFFSET('3-evol'!$A$1,COLUMN()-11,ROW()-2,,)</f>
        <v>19</v>
      </c>
      <c r="N2" cm="1">
        <f t="array" aca="1" ref="N2" ca="1">OFFSET('3-evol'!$A$1,COLUMN()-11,ROW()-2,,)</f>
        <v>19</v>
      </c>
      <c r="O2" s="2" t="str" cm="1">
        <f t="array" aca="1" ref="O2" ca="1">OFFSET('3-evol'!$A$1,COLUMN()-11,ROW()-2,,)</f>
        <v>ID</v>
      </c>
    </row>
    <row r="3" spans="1:15" hidden="1" x14ac:dyDescent="0.25">
      <c r="A3" cm="1">
        <f t="array" aca="1" ref="A3" ca="1">OFFSET('Sheet1 (2)'!$A$1,COLUMN()-1,ROW()-1,,)</f>
        <v>44901.60087962963</v>
      </c>
      <c r="B3" cm="1">
        <f t="array" aca="1" ref="B3" ca="1">OFFSET('Sheet1 (2)'!$A$1,COLUMN()-1,ROW()-1,,)</f>
        <v>44900.358483796299</v>
      </c>
      <c r="C3" cm="1">
        <f t="array" aca="1" ref="C3" ca="1">OFFSET('Sheet1 (2)'!$A$1,COLUMN()-1,ROW()-1,,)</f>
        <v>44903.491678240702</v>
      </c>
      <c r="D3" cm="1">
        <f t="array" aca="1" ref="D3" ca="1">OFFSET('Sheet1 (2)'!$A$1,COLUMN()-1,ROW()-1,,)</f>
        <v>7</v>
      </c>
      <c r="E3" t="str" cm="1">
        <f t="array" aca="1" ref="E3" ca="1">OFFSET('Sheet1 (2)'!$A$1,COLUMN()-1,ROW()-1,,)</f>
        <v>Heure de fin</v>
      </c>
      <c r="F3" s="3" cm="1">
        <f t="array" aca="1" ref="F3" ca="1">OFFSET(Sheet1!$A$1,COLUMN()-6,ROW()-1,,)</f>
        <v>44901.123888888898</v>
      </c>
      <c r="G3" cm="1">
        <f t="array" aca="1" ref="G3" ca="1">OFFSET(Sheet1!$A$1,COLUMN()-6,ROW()-1,,)</f>
        <v>44896.705277777801</v>
      </c>
      <c r="H3" cm="1">
        <f t="array" aca="1" ref="H3" ca="1">OFFSET(Sheet1!$A$1,COLUMN()-6,ROW()-1,,)</f>
        <v>44904.694270833301</v>
      </c>
      <c r="I3" cm="1">
        <f t="array" aca="1" ref="I3" ca="1">OFFSET(Sheet1!$A$1,COLUMN()-6,ROW()-1,,)</f>
        <v>27</v>
      </c>
      <c r="J3" s="2" t="str" cm="1">
        <f t="array" aca="1" ref="J3" ca="1">OFFSET(Sheet1!$A$1,COLUMN()-6,ROW()-1,,)</f>
        <v>Heure de fin</v>
      </c>
      <c r="K3" cm="1">
        <f t="array" aca="1" ref="K3" ca="1">OFFSET('3-evol'!$A$1,COLUMN()-11,ROW()-1,,)</f>
        <v>44918.394657651057</v>
      </c>
      <c r="L3" cm="1">
        <f t="array" aca="1" ref="L3" ca="1">OFFSET('3-evol'!$A$1,COLUMN()-11,ROW()-1,,)</f>
        <v>44903.664236111101</v>
      </c>
      <c r="M3" cm="1">
        <f t="array" aca="1" ref="M3" ca="1">OFFSET('3-evol'!$A$1,COLUMN()-11,ROW()-1,,)</f>
        <v>44935.462037037003</v>
      </c>
      <c r="N3" cm="1">
        <f t="array" aca="1" ref="N3" ca="1">OFFSET('3-evol'!$A$1,COLUMN()-11,ROW()-1,,)</f>
        <v>19</v>
      </c>
      <c r="O3" t="str" cm="1">
        <f t="array" aca="1" ref="O3" ca="1">OFFSET('3-evol'!$A$1,COLUMN()-11,ROW()-1,,)</f>
        <v>Heure de fin</v>
      </c>
    </row>
    <row r="4" spans="1:15" hidden="1" x14ac:dyDescent="0.25">
      <c r="A4" t="e" cm="1">
        <f t="array" aca="1" ref="A4" ca="1">OFFSET('Sheet1 (2)'!$A$1,COLUMN()-1,ROW()-1,,)</f>
        <v>#DIV/0!</v>
      </c>
      <c r="B4" cm="1">
        <f t="array" aca="1" ref="B4" ca="1">OFFSET('Sheet1 (2)'!$A$1,COLUMN()-1,ROW()-1,,)</f>
        <v>0</v>
      </c>
      <c r="C4" cm="1">
        <f t="array" aca="1" ref="C4" ca="1">OFFSET('Sheet1 (2)'!$A$1,COLUMN()-1,ROW()-1,,)</f>
        <v>0</v>
      </c>
      <c r="D4" cm="1">
        <f t="array" aca="1" ref="D4" ca="1">OFFSET('Sheet1 (2)'!$A$1,COLUMN()-1,ROW()-1,,)</f>
        <v>0</v>
      </c>
      <c r="E4" t="str" cm="1">
        <f t="array" aca="1" ref="E4" ca="1">OFFSET('Sheet1 (2)'!$A$1,COLUMN()-1,ROW()-1,,)</f>
        <v>Adresse de messagerie</v>
      </c>
      <c r="F4" s="3" t="e" cm="1">
        <f t="array" aca="1" ref="F4" ca="1">OFFSET(Sheet1!$A$1,COLUMN()-6,ROW()-1,,)</f>
        <v>#DIV/0!</v>
      </c>
      <c r="G4" cm="1">
        <f t="array" aca="1" ref="G4" ca="1">OFFSET(Sheet1!$A$1,COLUMN()-6,ROW()-1,,)</f>
        <v>0</v>
      </c>
      <c r="H4" cm="1">
        <f t="array" aca="1" ref="H4" ca="1">OFFSET(Sheet1!$A$1,COLUMN()-6,ROW()-1,,)</f>
        <v>0</v>
      </c>
      <c r="I4" cm="1">
        <f t="array" aca="1" ref="I4" ca="1">OFFSET(Sheet1!$A$1,COLUMN()-6,ROW()-1,,)</f>
        <v>0</v>
      </c>
      <c r="J4" s="2" t="str" cm="1">
        <f t="array" aca="1" ref="J4" ca="1">OFFSET(Sheet1!$A$1,COLUMN()-6,ROW()-1,,)</f>
        <v>Adresse de messagerie</v>
      </c>
      <c r="K4" t="e" cm="1">
        <f t="array" aca="1" ref="K4" ca="1">OFFSET('3-evol'!$A$1,COLUMN()-11,ROW()-1,,)</f>
        <v>#DIV/0!</v>
      </c>
      <c r="L4" cm="1">
        <f t="array" aca="1" ref="L4" ca="1">OFFSET('3-evol'!$A$1,COLUMN()-11,ROW()-1,,)</f>
        <v>0</v>
      </c>
      <c r="M4" cm="1">
        <f t="array" aca="1" ref="M4" ca="1">OFFSET('3-evol'!$A$1,COLUMN()-11,ROW()-1,,)</f>
        <v>0</v>
      </c>
      <c r="N4" cm="1">
        <f t="array" aca="1" ref="N4" ca="1">OFFSET('3-evol'!$A$1,COLUMN()-11,ROW()-1,,)</f>
        <v>0</v>
      </c>
      <c r="O4" t="str" cm="1">
        <f t="array" aca="1" ref="O4" ca="1">OFFSET('3-evol'!$A$1,COLUMN()-11,ROW()-1,,)</f>
        <v>Adresse de messagerie</v>
      </c>
    </row>
    <row r="5" spans="1:15" hidden="1" x14ac:dyDescent="0.25">
      <c r="A5" t="e" cm="1">
        <f t="array" aca="1" ref="A5" ca="1">OFFSET('Sheet1 (2)'!$A$1,COLUMN()-1,ROW()-1,,)</f>
        <v>#DIV/0!</v>
      </c>
      <c r="B5" cm="1">
        <f t="array" aca="1" ref="B5" ca="1">OFFSET('Sheet1 (2)'!$A$1,COLUMN()-1,ROW()-1,,)</f>
        <v>0</v>
      </c>
      <c r="C5" cm="1">
        <f t="array" aca="1" ref="C5" ca="1">OFFSET('Sheet1 (2)'!$A$1,COLUMN()-1,ROW()-1,,)</f>
        <v>0</v>
      </c>
      <c r="D5" cm="1">
        <f t="array" aca="1" ref="D5" ca="1">OFFSET('Sheet1 (2)'!$A$1,COLUMN()-1,ROW()-1,,)</f>
        <v>0</v>
      </c>
      <c r="E5" t="str" cm="1">
        <f t="array" aca="1" ref="E5" ca="1">OFFSET('Sheet1 (2)'!$A$1,COLUMN()-1,ROW()-1,,)</f>
        <v>Nom</v>
      </c>
      <c r="F5" s="3" t="e" cm="1">
        <f t="array" aca="1" ref="F5" ca="1">OFFSET(Sheet1!$A$1,COLUMN()-6,ROW()-1,,)</f>
        <v>#DIV/0!</v>
      </c>
      <c r="G5" cm="1">
        <f t="array" aca="1" ref="G5" ca="1">OFFSET(Sheet1!$A$1,COLUMN()-6,ROW()-1,,)</f>
        <v>0</v>
      </c>
      <c r="H5" cm="1">
        <f t="array" aca="1" ref="H5" ca="1">OFFSET(Sheet1!$A$1,COLUMN()-6,ROW()-1,,)</f>
        <v>0</v>
      </c>
      <c r="I5" cm="1">
        <f t="array" aca="1" ref="I5" ca="1">OFFSET(Sheet1!$A$1,COLUMN()-6,ROW()-1,,)</f>
        <v>0</v>
      </c>
      <c r="J5" s="2" t="str" cm="1">
        <f t="array" aca="1" ref="J5" ca="1">OFFSET(Sheet1!$A$1,COLUMN()-6,ROW()-1,,)</f>
        <v>Nom</v>
      </c>
      <c r="K5" t="e" cm="1">
        <f t="array" aca="1" ref="K5" ca="1">OFFSET('3-evol'!$A$1,COLUMN()-11,ROW()-1,,)</f>
        <v>#DIV/0!</v>
      </c>
      <c r="L5" cm="1">
        <f t="array" aca="1" ref="L5" ca="1">OFFSET('3-evol'!$A$1,COLUMN()-11,ROW()-1,,)</f>
        <v>0</v>
      </c>
      <c r="M5" cm="1">
        <f t="array" aca="1" ref="M5" ca="1">OFFSET('3-evol'!$A$1,COLUMN()-11,ROW()-1,,)</f>
        <v>0</v>
      </c>
      <c r="N5" cm="1">
        <f t="array" aca="1" ref="N5" ca="1">OFFSET('3-evol'!$A$1,COLUMN()-11,ROW()-1,,)</f>
        <v>0</v>
      </c>
      <c r="O5" t="str" cm="1">
        <f t="array" aca="1" ref="O5" ca="1">OFFSET('3-evol'!$A$1,COLUMN()-11,ROW()-1,,)</f>
        <v>Nom</v>
      </c>
    </row>
    <row r="6" spans="1:15" hidden="1" x14ac:dyDescent="0.25">
      <c r="A6" t="e" cm="1">
        <f t="array" aca="1" ref="A6" ca="1">OFFSET('Sheet1 (2)'!$A$1,COLUMN()-1,ROW()-1,,)</f>
        <v>#DIV/0!</v>
      </c>
      <c r="B6" cm="1">
        <f t="array" aca="1" ref="B6" ca="1">OFFSET('Sheet1 (2)'!$A$1,COLUMN()-1,ROW()-1,,)</f>
        <v>0</v>
      </c>
      <c r="C6" cm="1">
        <f t="array" aca="1" ref="C6" ca="1">OFFSET('Sheet1 (2)'!$A$1,COLUMN()-1,ROW()-1,,)</f>
        <v>0</v>
      </c>
      <c r="D6" cm="1">
        <f t="array" aca="1" ref="D6" ca="1">OFFSET('Sheet1 (2)'!$A$1,COLUMN()-1,ROW()-1,,)</f>
        <v>0</v>
      </c>
      <c r="E6" t="str" cm="1">
        <f t="array" aca="1" ref="E6" ca="1">OFFSET('Sheet1 (2)'!$A$1,COLUMN()-1,ROW()-1,,)</f>
        <v>Total points</v>
      </c>
      <c r="F6" s="3" t="e" cm="1">
        <f t="array" aca="1" ref="F6" ca="1">OFFSET(Sheet1!$A$1,COLUMN()-6,ROW()-1,,)</f>
        <v>#DIV/0!</v>
      </c>
      <c r="G6" cm="1">
        <f t="array" aca="1" ref="G6" ca="1">OFFSET(Sheet1!$A$1,COLUMN()-6,ROW()-1,,)</f>
        <v>0</v>
      </c>
      <c r="H6" cm="1">
        <f t="array" aca="1" ref="H6" ca="1">OFFSET(Sheet1!$A$1,COLUMN()-6,ROW()-1,,)</f>
        <v>0</v>
      </c>
      <c r="I6" cm="1">
        <f t="array" aca="1" ref="I6" ca="1">OFFSET(Sheet1!$A$1,COLUMN()-6,ROW()-1,,)</f>
        <v>0</v>
      </c>
      <c r="J6" s="2" t="str" cm="1">
        <f t="array" aca="1" ref="J6" ca="1">OFFSET(Sheet1!$A$1,COLUMN()-6,ROW()-1,,)</f>
        <v>Total points</v>
      </c>
      <c r="K6" t="e" cm="1">
        <f t="array" aca="1" ref="K6" ca="1">OFFSET('3-evol'!$A$1,COLUMN()-11,ROW()-1,,)</f>
        <v>#DIV/0!</v>
      </c>
      <c r="L6" cm="1">
        <f t="array" aca="1" ref="L6" ca="1">OFFSET('3-evol'!$A$1,COLUMN()-11,ROW()-1,,)</f>
        <v>0</v>
      </c>
      <c r="M6" cm="1">
        <f t="array" aca="1" ref="M6" ca="1">OFFSET('3-evol'!$A$1,COLUMN()-11,ROW()-1,,)</f>
        <v>0</v>
      </c>
      <c r="N6" cm="1">
        <f t="array" aca="1" ref="N6" ca="1">OFFSET('3-evol'!$A$1,COLUMN()-11,ROW()-1,,)</f>
        <v>0</v>
      </c>
      <c r="O6" t="str" cm="1">
        <f t="array" aca="1" ref="O6" ca="1">OFFSET('3-evol'!$A$1,COLUMN()-11,ROW()-1,,)</f>
        <v>Total points</v>
      </c>
    </row>
    <row r="7" spans="1:15" hidden="1" x14ac:dyDescent="0.25">
      <c r="A7" t="e" cm="1">
        <f t="array" aca="1" ref="A7" ca="1">OFFSET('Sheet1 (2)'!$A$1,COLUMN()-1,ROW()-1,,)</f>
        <v>#DIV/0!</v>
      </c>
      <c r="B7" cm="1">
        <f t="array" aca="1" ref="B7" ca="1">OFFSET('Sheet1 (2)'!$A$1,COLUMN()-1,ROW()-1,,)</f>
        <v>0</v>
      </c>
      <c r="C7" cm="1">
        <f t="array" aca="1" ref="C7" ca="1">OFFSET('Sheet1 (2)'!$A$1,COLUMN()-1,ROW()-1,,)</f>
        <v>0</v>
      </c>
      <c r="D7" cm="1">
        <f t="array" aca="1" ref="D7" ca="1">OFFSET('Sheet1 (2)'!$A$1,COLUMN()-1,ROW()-1,,)</f>
        <v>0</v>
      </c>
      <c r="E7" t="str" cm="1">
        <f t="array" aca="1" ref="E7" ca="1">OFFSET('Sheet1 (2)'!$A$1,COLUMN()-1,ROW()-1,,)</f>
        <v>Quiz feedback</v>
      </c>
      <c r="F7" s="3" t="e" cm="1">
        <f t="array" aca="1" ref="F7" ca="1">OFFSET(Sheet1!$A$1,COLUMN()-6,ROW()-1,,)</f>
        <v>#DIV/0!</v>
      </c>
      <c r="G7" cm="1">
        <f t="array" aca="1" ref="G7" ca="1">OFFSET(Sheet1!$A$1,COLUMN()-6,ROW()-1,,)</f>
        <v>0</v>
      </c>
      <c r="H7" cm="1">
        <f t="array" aca="1" ref="H7" ca="1">OFFSET(Sheet1!$A$1,COLUMN()-6,ROW()-1,,)</f>
        <v>0</v>
      </c>
      <c r="I7" cm="1">
        <f t="array" aca="1" ref="I7" ca="1">OFFSET(Sheet1!$A$1,COLUMN()-6,ROW()-1,,)</f>
        <v>0</v>
      </c>
      <c r="J7" s="2" t="str" cm="1">
        <f t="array" aca="1" ref="J7" ca="1">OFFSET(Sheet1!$A$1,COLUMN()-6,ROW()-1,,)</f>
        <v>Quiz feedback</v>
      </c>
      <c r="K7" t="e" cm="1">
        <f t="array" aca="1" ref="K7" ca="1">OFFSET('3-evol'!$A$1,COLUMN()-11,ROW()-1,,)</f>
        <v>#DIV/0!</v>
      </c>
      <c r="L7" cm="1">
        <f t="array" aca="1" ref="L7" ca="1">OFFSET('3-evol'!$A$1,COLUMN()-11,ROW()-1,,)</f>
        <v>0</v>
      </c>
      <c r="M7" cm="1">
        <f t="array" aca="1" ref="M7" ca="1">OFFSET('3-evol'!$A$1,COLUMN()-11,ROW()-1,,)</f>
        <v>0</v>
      </c>
      <c r="N7" cm="1">
        <f t="array" aca="1" ref="N7" ca="1">OFFSET('3-evol'!$A$1,COLUMN()-11,ROW()-1,,)</f>
        <v>0</v>
      </c>
      <c r="O7" t="str" cm="1">
        <f t="array" aca="1" ref="O7" ca="1">OFFSET('3-evol'!$A$1,COLUMN()-11,ROW()-1,,)</f>
        <v>Quiz feedback</v>
      </c>
    </row>
    <row r="8" spans="1:15" x14ac:dyDescent="0.25">
      <c r="A8" cm="1">
        <f t="array" aca="1" ref="A8" ca="1">OFFSET('Sheet1 (2)'!$A$1,COLUMN()-1,ROW()-1,,)</f>
        <v>5</v>
      </c>
      <c r="B8" cm="1">
        <f t="array" aca="1" ref="B8" ca="1">OFFSET('Sheet1 (2)'!$A$1,COLUMN()-1,ROW()-1,,)</f>
        <v>5</v>
      </c>
      <c r="C8" cm="1">
        <f t="array" aca="1" ref="C8" ca="1">OFFSET('Sheet1 (2)'!$A$1,COLUMN()-1,ROW()-1,,)</f>
        <v>5</v>
      </c>
      <c r="D8" cm="1">
        <f t="array" aca="1" ref="D8" ca="1">OFFSET('Sheet1 (2)'!$A$1,COLUMN()-1,ROW()-1,,)</f>
        <v>7</v>
      </c>
      <c r="E8" t="str" cm="1">
        <f t="array" aca="1" ref="E8" ca="1">OFFSET('Sheet1 (2)'!$A$1,COLUMN()-1,ROW()-1,,)</f>
        <v>CLARTE : J'ai une vision claire de l’objectif final du programme</v>
      </c>
      <c r="F8" s="3" cm="1">
        <f t="array" aca="1" ref="F8" ca="1">OFFSET(Sheet1!$A$1,COLUMN()-6,ROW()-1,,)</f>
        <v>4.2962962962962967</v>
      </c>
      <c r="G8" cm="1">
        <f t="array" aca="1" ref="G8" ca="1">OFFSET(Sheet1!$A$1,COLUMN()-6,ROW()-1,,)</f>
        <v>3</v>
      </c>
      <c r="H8" cm="1">
        <f t="array" aca="1" ref="H8" ca="1">OFFSET(Sheet1!$A$1,COLUMN()-6,ROW()-1,,)</f>
        <v>5</v>
      </c>
      <c r="I8" cm="1">
        <f t="array" aca="1" ref="I8" ca="1">OFFSET(Sheet1!$A$1,COLUMN()-6,ROW()-1,,)</f>
        <v>27</v>
      </c>
      <c r="J8" s="2" t="str" cm="1">
        <f t="array" aca="1" ref="J8" ca="1">OFFSET(Sheet1!$A$1,COLUMN()-6,ROW()-1,,)</f>
        <v>CLARTE : J'ai une vision claire de l’objectif final du programme</v>
      </c>
      <c r="K8" cm="1">
        <f t="array" aca="1" ref="K8" ca="1">OFFSET('3-evol'!$A$1,COLUMN()-11,ROW()-1,,)</f>
        <v>4.1578947368421053</v>
      </c>
      <c r="L8" cm="1">
        <f t="array" aca="1" ref="L8" ca="1">OFFSET('3-evol'!$A$1,COLUMN()-11,ROW()-1,,)</f>
        <v>2</v>
      </c>
      <c r="M8" cm="1">
        <f t="array" aca="1" ref="M8" ca="1">OFFSET('3-evol'!$A$1,COLUMN()-11,ROW()-1,,)</f>
        <v>5</v>
      </c>
      <c r="N8" cm="1">
        <f t="array" aca="1" ref="N8" ca="1">OFFSET('3-evol'!$A$1,COLUMN()-11,ROW()-1,,)</f>
        <v>19</v>
      </c>
      <c r="O8" t="str" cm="1">
        <f t="array" aca="1" ref="O8" ca="1">OFFSET('3-evol'!$A$1,COLUMN()-11,ROW()-1,,)</f>
        <v>CLARTE : J'ai une vision claire de l’objectif final du programme</v>
      </c>
    </row>
    <row r="9" spans="1:15" hidden="1" x14ac:dyDescent="0.25">
      <c r="A9" t="e" cm="1">
        <f t="array" aca="1" ref="A9" ca="1">OFFSET('Sheet1 (2)'!$A$1,COLUMN()-1,ROW()-1,,)</f>
        <v>#DIV/0!</v>
      </c>
      <c r="B9" cm="1">
        <f t="array" aca="1" ref="B9" ca="1">OFFSET('Sheet1 (2)'!$A$1,COLUMN()-1,ROW()-1,,)</f>
        <v>0</v>
      </c>
      <c r="C9" cm="1">
        <f t="array" aca="1" ref="C9" ca="1">OFFSET('Sheet1 (2)'!$A$1,COLUMN()-1,ROW()-1,,)</f>
        <v>0</v>
      </c>
      <c r="D9" cm="1">
        <f t="array" aca="1" ref="D9" ca="1">OFFSET('Sheet1 (2)'!$A$1,COLUMN()-1,ROW()-1,,)</f>
        <v>0</v>
      </c>
      <c r="E9" t="str" cm="1">
        <f t="array" aca="1" ref="E9" ca="1">OFFSET('Sheet1 (2)'!$A$1,COLUMN()-1,ROW()-1,,)</f>
        <v>Points - CLARTE : J'ai une vision claire de l’objectif final du programme</v>
      </c>
      <c r="F9" s="3" t="e" cm="1">
        <f t="array" aca="1" ref="F9" ca="1">OFFSET(Sheet1!$A$1,COLUMN()-6,ROW()-1,,)</f>
        <v>#DIV/0!</v>
      </c>
      <c r="G9" cm="1">
        <f t="array" aca="1" ref="G9" ca="1">OFFSET(Sheet1!$A$1,COLUMN()-6,ROW()-1,,)</f>
        <v>0</v>
      </c>
      <c r="H9" cm="1">
        <f t="array" aca="1" ref="H9" ca="1">OFFSET(Sheet1!$A$1,COLUMN()-6,ROW()-1,,)</f>
        <v>0</v>
      </c>
      <c r="I9" cm="1">
        <f t="array" aca="1" ref="I9" ca="1">OFFSET(Sheet1!$A$1,COLUMN()-6,ROW()-1,,)</f>
        <v>0</v>
      </c>
      <c r="J9" s="2" t="str" cm="1">
        <f t="array" aca="1" ref="J9" ca="1">OFFSET(Sheet1!$A$1,COLUMN()-6,ROW()-1,,)</f>
        <v>Points - CLARTE : J'ai une vision claire de l’objectif final du programme</v>
      </c>
      <c r="K9" t="e" cm="1">
        <f t="array" aca="1" ref="K9" ca="1">OFFSET('3-evol'!$A$1,COLUMN()-11,ROW()-1,,)</f>
        <v>#DIV/0!</v>
      </c>
      <c r="L9" cm="1">
        <f t="array" aca="1" ref="L9" ca="1">OFFSET('3-evol'!$A$1,COLUMN()-11,ROW()-1,,)</f>
        <v>0</v>
      </c>
      <c r="M9" cm="1">
        <f t="array" aca="1" ref="M9" ca="1">OFFSET('3-evol'!$A$1,COLUMN()-11,ROW()-1,,)</f>
        <v>0</v>
      </c>
      <c r="N9" cm="1">
        <f t="array" aca="1" ref="N9" ca="1">OFFSET('3-evol'!$A$1,COLUMN()-11,ROW()-1,,)</f>
        <v>0</v>
      </c>
      <c r="O9" t="str" cm="1">
        <f t="array" aca="1" ref="O9" ca="1">OFFSET('3-evol'!$A$1,COLUMN()-11,ROW()-1,,)</f>
        <v>Points - CLARTE : J'ai une vision claire de l’objectif final du programme</v>
      </c>
    </row>
    <row r="10" spans="1:15" hidden="1" x14ac:dyDescent="0.25">
      <c r="A10" t="e" cm="1">
        <f t="array" aca="1" ref="A10" ca="1">OFFSET('Sheet1 (2)'!$A$1,COLUMN()-1,ROW()-1,,)</f>
        <v>#DIV/0!</v>
      </c>
      <c r="B10" cm="1">
        <f t="array" aca="1" ref="B10" ca="1">OFFSET('Sheet1 (2)'!$A$1,COLUMN()-1,ROW()-1,,)</f>
        <v>0</v>
      </c>
      <c r="C10" cm="1">
        <f t="array" aca="1" ref="C10" ca="1">OFFSET('Sheet1 (2)'!$A$1,COLUMN()-1,ROW()-1,,)</f>
        <v>0</v>
      </c>
      <c r="D10" cm="1">
        <f t="array" aca="1" ref="D10" ca="1">OFFSET('Sheet1 (2)'!$A$1,COLUMN()-1,ROW()-1,,)</f>
        <v>0</v>
      </c>
      <c r="E10" t="str" cm="1">
        <f t="array" aca="1" ref="E10" ca="1">OFFSET('Sheet1 (2)'!$A$1,COLUMN()-1,ROW()-1,,)</f>
        <v>Feedback - CLARTE : J'ai une vision claire de l’objectif final du programme</v>
      </c>
      <c r="F10" s="3" t="e" cm="1">
        <f t="array" aca="1" ref="F10" ca="1">OFFSET(Sheet1!$A$1,COLUMN()-6,ROW()-1,,)</f>
        <v>#DIV/0!</v>
      </c>
      <c r="G10" cm="1">
        <f t="array" aca="1" ref="G10" ca="1">OFFSET(Sheet1!$A$1,COLUMN()-6,ROW()-1,,)</f>
        <v>0</v>
      </c>
      <c r="H10" cm="1">
        <f t="array" aca="1" ref="H10" ca="1">OFFSET(Sheet1!$A$1,COLUMN()-6,ROW()-1,,)</f>
        <v>0</v>
      </c>
      <c r="I10" cm="1">
        <f t="array" aca="1" ref="I10" ca="1">OFFSET(Sheet1!$A$1,COLUMN()-6,ROW()-1,,)</f>
        <v>0</v>
      </c>
      <c r="J10" s="2" t="str" cm="1">
        <f t="array" aca="1" ref="J10" ca="1">OFFSET(Sheet1!$A$1,COLUMN()-6,ROW()-1,,)</f>
        <v>Feedback - CLARTE : J'ai une vision claire de l’objectif final du programme</v>
      </c>
      <c r="K10" t="e" cm="1">
        <f t="array" aca="1" ref="K10" ca="1">OFFSET('3-evol'!$A$1,COLUMN()-11,ROW()-1,,)</f>
        <v>#DIV/0!</v>
      </c>
      <c r="L10" cm="1">
        <f t="array" aca="1" ref="L10" ca="1">OFFSET('3-evol'!$A$1,COLUMN()-11,ROW()-1,,)</f>
        <v>0</v>
      </c>
      <c r="M10" cm="1">
        <f t="array" aca="1" ref="M10" ca="1">OFFSET('3-evol'!$A$1,COLUMN()-11,ROW()-1,,)</f>
        <v>0</v>
      </c>
      <c r="N10" cm="1">
        <f t="array" aca="1" ref="N10" ca="1">OFFSET('3-evol'!$A$1,COLUMN()-11,ROW()-1,,)</f>
        <v>0</v>
      </c>
      <c r="O10" t="str" cm="1">
        <f t="array" aca="1" ref="O10" ca="1">OFFSET('3-evol'!$A$1,COLUMN()-11,ROW()-1,,)</f>
        <v>Feedback - CLARTE : J'ai une vision claire de l’objectif final du programme</v>
      </c>
    </row>
    <row r="11" spans="1:15" hidden="1" x14ac:dyDescent="0.25">
      <c r="A11" t="e" cm="1">
        <f t="array" aca="1" ref="A11" ca="1">OFFSET('Sheet1 (2)'!$A$1,COLUMN()-1,ROW()-1,,)</f>
        <v>#DIV/0!</v>
      </c>
      <c r="B11" cm="1">
        <f t="array" aca="1" ref="B11" ca="1">OFFSET('Sheet1 (2)'!$A$1,COLUMN()-1,ROW()-1,,)</f>
        <v>0</v>
      </c>
      <c r="C11" cm="1">
        <f t="array" aca="1" ref="C11" ca="1">OFFSET('Sheet1 (2)'!$A$1,COLUMN()-1,ROW()-1,,)</f>
        <v>0</v>
      </c>
      <c r="D11" cm="1">
        <f t="array" aca="1" ref="D11" ca="1">OFFSET('Sheet1 (2)'!$A$1,COLUMN()-1,ROW()-1,,)</f>
        <v>0</v>
      </c>
      <c r="E11" t="str" cm="1">
        <f t="array" aca="1" ref="E11" ca="1">OFFSET('Sheet1 (2)'!$A$1,COLUMN()-1,ROW()-1,,)</f>
        <v>Si la réponse comporte moins de 2 étoiles OUI, merci de préciser votre réponse dans le champs ci-dessous :</v>
      </c>
      <c r="F11" s="3" t="e" cm="1">
        <f t="array" aca="1" ref="F11" ca="1">OFFSET(Sheet1!$A$1,COLUMN()-6,ROW()-1,,)</f>
        <v>#DIV/0!</v>
      </c>
      <c r="G11" cm="1">
        <f t="array" aca="1" ref="G11" ca="1">OFFSET(Sheet1!$A$1,COLUMN()-6,ROW()-1,,)</f>
        <v>0</v>
      </c>
      <c r="H11" cm="1">
        <f t="array" aca="1" ref="H11" ca="1">OFFSET(Sheet1!$A$1,COLUMN()-6,ROW()-1,,)</f>
        <v>0</v>
      </c>
      <c r="I11" cm="1">
        <f t="array" aca="1" ref="I11" ca="1">OFFSET(Sheet1!$A$1,COLUMN()-6,ROW()-1,,)</f>
        <v>0</v>
      </c>
      <c r="J11" s="2" t="str" cm="1">
        <f t="array" aca="1" ref="J11" ca="1">OFFSET(Sheet1!$A$1,COLUMN()-6,ROW()-1,,)</f>
        <v>Si la réponse comporte moins de 2 étoiles OUI, merci de préciser votre réponse dans le champs ci-dessous :</v>
      </c>
      <c r="K11" t="e" cm="1">
        <f t="array" aca="1" ref="K11" ca="1">OFFSET('3-evol'!$A$1,COLUMN()-11,ROW()-1,,)</f>
        <v>#DIV/0!</v>
      </c>
      <c r="L11" cm="1">
        <f t="array" aca="1" ref="L11" ca="1">OFFSET('3-evol'!$A$1,COLUMN()-11,ROW()-1,,)</f>
        <v>0</v>
      </c>
      <c r="M11" cm="1">
        <f t="array" aca="1" ref="M11" ca="1">OFFSET('3-evol'!$A$1,COLUMN()-11,ROW()-1,,)</f>
        <v>0</v>
      </c>
      <c r="N11" cm="1">
        <f t="array" aca="1" ref="N11" ca="1">OFFSET('3-evol'!$A$1,COLUMN()-11,ROW()-1,,)</f>
        <v>0</v>
      </c>
      <c r="O11" t="str" cm="1">
        <f t="array" aca="1" ref="O11" ca="1">OFFSET('3-evol'!$A$1,COLUMN()-11,ROW()-1,,)</f>
        <v>Si la réponse comporte moins de 2 étoiles OUI, merci de préciser votre réponse dans le champs ci-dessous :</v>
      </c>
    </row>
    <row r="12" spans="1:15" hidden="1" x14ac:dyDescent="0.25">
      <c r="A12" t="e" cm="1">
        <f t="array" aca="1" ref="A12" ca="1">OFFSET('Sheet1 (2)'!$A$1,COLUMN()-1,ROW()-1,,)</f>
        <v>#DIV/0!</v>
      </c>
      <c r="B12" cm="1">
        <f t="array" aca="1" ref="B12" ca="1">OFFSET('Sheet1 (2)'!$A$1,COLUMN()-1,ROW()-1,,)</f>
        <v>0</v>
      </c>
      <c r="C12" cm="1">
        <f t="array" aca="1" ref="C12" ca="1">OFFSET('Sheet1 (2)'!$A$1,COLUMN()-1,ROW()-1,,)</f>
        <v>0</v>
      </c>
      <c r="D12" cm="1">
        <f t="array" aca="1" ref="D12" ca="1">OFFSET('Sheet1 (2)'!$A$1,COLUMN()-1,ROW()-1,,)</f>
        <v>0</v>
      </c>
      <c r="E12" t="str" cm="1">
        <f t="array" aca="1" ref="E12" ca="1">OFFSET('Sheet1 (2)'!$A$1,COLUMN()-1,ROW()-1,,)</f>
        <v>Points - Si la réponse comporte moins de 2 étoiles OUI, merci de préciser votre réponse dans le champs ci-dessous :</v>
      </c>
      <c r="F12" s="3" t="e" cm="1">
        <f t="array" aca="1" ref="F12" ca="1">OFFSET(Sheet1!$A$1,COLUMN()-6,ROW()-1,,)</f>
        <v>#DIV/0!</v>
      </c>
      <c r="G12" cm="1">
        <f t="array" aca="1" ref="G12" ca="1">OFFSET(Sheet1!$A$1,COLUMN()-6,ROW()-1,,)</f>
        <v>0</v>
      </c>
      <c r="H12" cm="1">
        <f t="array" aca="1" ref="H12" ca="1">OFFSET(Sheet1!$A$1,COLUMN()-6,ROW()-1,,)</f>
        <v>0</v>
      </c>
      <c r="I12" cm="1">
        <f t="array" aca="1" ref="I12" ca="1">OFFSET(Sheet1!$A$1,COLUMN()-6,ROW()-1,,)</f>
        <v>0</v>
      </c>
      <c r="J12" s="2" t="str" cm="1">
        <f t="array" aca="1" ref="J12" ca="1">OFFSET(Sheet1!$A$1,COLUMN()-6,ROW()-1,,)</f>
        <v>Points - Si la réponse comporte moins de 2 étoiles OUI, merci de préciser votre réponse dans le champs ci-dessous :</v>
      </c>
      <c r="K12" t="e" cm="1">
        <f t="array" aca="1" ref="K12" ca="1">OFFSET('3-evol'!$A$1,COLUMN()-11,ROW()-1,,)</f>
        <v>#DIV/0!</v>
      </c>
      <c r="L12" cm="1">
        <f t="array" aca="1" ref="L12" ca="1">OFFSET('3-evol'!$A$1,COLUMN()-11,ROW()-1,,)</f>
        <v>0</v>
      </c>
      <c r="M12" cm="1">
        <f t="array" aca="1" ref="M12" ca="1">OFFSET('3-evol'!$A$1,COLUMN()-11,ROW()-1,,)</f>
        <v>0</v>
      </c>
      <c r="N12" cm="1">
        <f t="array" aca="1" ref="N12" ca="1">OFFSET('3-evol'!$A$1,COLUMN()-11,ROW()-1,,)</f>
        <v>0</v>
      </c>
      <c r="O12" t="str" cm="1">
        <f t="array" aca="1" ref="O12" ca="1">OFFSET('3-evol'!$A$1,COLUMN()-11,ROW()-1,,)</f>
        <v>Points - Si la réponse comporte moins de 2 étoiles OUI, merci de préciser votre réponse dans le champs ci-dessous :</v>
      </c>
    </row>
    <row r="13" spans="1:15" hidden="1" x14ac:dyDescent="0.25">
      <c r="A13" t="e" cm="1">
        <f t="array" aca="1" ref="A13" ca="1">OFFSET('Sheet1 (2)'!$A$1,COLUMN()-1,ROW()-1,,)</f>
        <v>#DIV/0!</v>
      </c>
      <c r="B13" cm="1">
        <f t="array" aca="1" ref="B13" ca="1">OFFSET('Sheet1 (2)'!$A$1,COLUMN()-1,ROW()-1,,)</f>
        <v>0</v>
      </c>
      <c r="C13" cm="1">
        <f t="array" aca="1" ref="C13" ca="1">OFFSET('Sheet1 (2)'!$A$1,COLUMN()-1,ROW()-1,,)</f>
        <v>0</v>
      </c>
      <c r="D13" cm="1">
        <f t="array" aca="1" ref="D13" ca="1">OFFSET('Sheet1 (2)'!$A$1,COLUMN()-1,ROW()-1,,)</f>
        <v>0</v>
      </c>
      <c r="E13" t="str" cm="1">
        <f t="array" aca="1" ref="E13" ca="1">OFFSET('Sheet1 (2)'!$A$1,COLUMN()-1,ROW()-1,,)</f>
        <v>Feedback - Si la réponse comporte moins de 2 étoiles OUI, merci de préciser votre réponse dans le champs ci-dessous :</v>
      </c>
      <c r="F13" s="3" t="e" cm="1">
        <f t="array" aca="1" ref="F13" ca="1">OFFSET(Sheet1!$A$1,COLUMN()-6,ROW()-1,,)</f>
        <v>#DIV/0!</v>
      </c>
      <c r="G13" cm="1">
        <f t="array" aca="1" ref="G13" ca="1">OFFSET(Sheet1!$A$1,COLUMN()-6,ROW()-1,,)</f>
        <v>0</v>
      </c>
      <c r="H13" cm="1">
        <f t="array" aca="1" ref="H13" ca="1">OFFSET(Sheet1!$A$1,COLUMN()-6,ROW()-1,,)</f>
        <v>0</v>
      </c>
      <c r="I13" cm="1">
        <f t="array" aca="1" ref="I13" ca="1">OFFSET(Sheet1!$A$1,COLUMN()-6,ROW()-1,,)</f>
        <v>0</v>
      </c>
      <c r="J13" s="2" t="str" cm="1">
        <f t="array" aca="1" ref="J13" ca="1">OFFSET(Sheet1!$A$1,COLUMN()-6,ROW()-1,,)</f>
        <v>Feedback - Si la réponse comporte moins de 2 étoiles OUI, merci de préciser votre réponse dans le champs ci-dessous :</v>
      </c>
      <c r="K13" t="e" cm="1">
        <f t="array" aca="1" ref="K13" ca="1">OFFSET('3-evol'!$A$1,COLUMN()-11,ROW()-1,,)</f>
        <v>#DIV/0!</v>
      </c>
      <c r="L13" cm="1">
        <f t="array" aca="1" ref="L13" ca="1">OFFSET('3-evol'!$A$1,COLUMN()-11,ROW()-1,,)</f>
        <v>0</v>
      </c>
      <c r="M13" cm="1">
        <f t="array" aca="1" ref="M13" ca="1">OFFSET('3-evol'!$A$1,COLUMN()-11,ROW()-1,,)</f>
        <v>0</v>
      </c>
      <c r="N13" cm="1">
        <f t="array" aca="1" ref="N13" ca="1">OFFSET('3-evol'!$A$1,COLUMN()-11,ROW()-1,,)</f>
        <v>0</v>
      </c>
      <c r="O13" t="str" cm="1">
        <f t="array" aca="1" ref="O13" ca="1">OFFSET('3-evol'!$A$1,COLUMN()-11,ROW()-1,,)</f>
        <v>Feedback - Si la réponse comporte moins de 2 étoiles OUI, merci de préciser votre réponse dans le champs ci-dessous :</v>
      </c>
    </row>
    <row r="14" spans="1:15" x14ac:dyDescent="0.25">
      <c r="A14" cm="1">
        <f t="array" aca="1" ref="A14" ca="1">OFFSET('Sheet1 (2)'!$A$1,COLUMN()-1,ROW()-1,,)</f>
        <v>5</v>
      </c>
      <c r="B14" cm="1">
        <f t="array" aca="1" ref="B14" ca="1">OFFSET('Sheet1 (2)'!$A$1,COLUMN()-1,ROW()-1,,)</f>
        <v>5</v>
      </c>
      <c r="C14" cm="1">
        <f t="array" aca="1" ref="C14" ca="1">OFFSET('Sheet1 (2)'!$A$1,COLUMN()-1,ROW()-1,,)</f>
        <v>5</v>
      </c>
      <c r="D14" cm="1">
        <f t="array" aca="1" ref="D14" ca="1">OFFSET('Sheet1 (2)'!$A$1,COLUMN()-1,ROW()-1,,)</f>
        <v>7</v>
      </c>
      <c r="E14" t="str" cm="1">
        <f t="array" aca="1" ref="E14" ca="1">OFFSET('Sheet1 (2)'!$A$1,COLUMN()-1,ROW()-1,,)</f>
        <v>ALIGNEMENT : Je suis aligné sur l’objectif final du programme</v>
      </c>
      <c r="F14" s="3" cm="1">
        <f t="array" aca="1" ref="F14" ca="1">OFFSET(Sheet1!$A$1,COLUMN()-6,ROW()-1,,)</f>
        <v>4.1111111111111107</v>
      </c>
      <c r="G14" cm="1">
        <f t="array" aca="1" ref="G14" ca="1">OFFSET(Sheet1!$A$1,COLUMN()-6,ROW()-1,,)</f>
        <v>2</v>
      </c>
      <c r="H14" cm="1">
        <f t="array" aca="1" ref="H14" ca="1">OFFSET(Sheet1!$A$1,COLUMN()-6,ROW()-1,,)</f>
        <v>5</v>
      </c>
      <c r="I14" cm="1">
        <f t="array" aca="1" ref="I14" ca="1">OFFSET(Sheet1!$A$1,COLUMN()-6,ROW()-1,,)</f>
        <v>27</v>
      </c>
      <c r="J14" s="2" t="str" cm="1">
        <f t="array" aca="1" ref="J14" ca="1">OFFSET(Sheet1!$A$1,COLUMN()-6,ROW()-1,,)</f>
        <v>ALIGNEMENT : Je suis aligné sur l’objectif final du programme</v>
      </c>
      <c r="K14" cm="1">
        <f t="array" aca="1" ref="K14" ca="1">OFFSET('3-evol'!$A$1,COLUMN()-11,ROW()-1,,)</f>
        <v>4.2631578947368425</v>
      </c>
      <c r="L14" cm="1">
        <f t="array" aca="1" ref="L14" ca="1">OFFSET('3-evol'!$A$1,COLUMN()-11,ROW()-1,,)</f>
        <v>3</v>
      </c>
      <c r="M14" cm="1">
        <f t="array" aca="1" ref="M14" ca="1">OFFSET('3-evol'!$A$1,COLUMN()-11,ROW()-1,,)</f>
        <v>5</v>
      </c>
      <c r="N14" cm="1">
        <f t="array" aca="1" ref="N14" ca="1">OFFSET('3-evol'!$A$1,COLUMN()-11,ROW()-1,,)</f>
        <v>19</v>
      </c>
      <c r="O14" t="str" cm="1">
        <f t="array" aca="1" ref="O14" ca="1">OFFSET('3-evol'!$A$1,COLUMN()-11,ROW()-1,,)</f>
        <v>ALIGNEMENT : Je suis aligné sur l’objectif final du programme</v>
      </c>
    </row>
    <row r="15" spans="1:15" hidden="1" x14ac:dyDescent="0.25">
      <c r="A15" t="e" cm="1">
        <f t="array" aca="1" ref="A15" ca="1">OFFSET('Sheet1 (2)'!$A$1,COLUMN()-1,ROW()-1,,)</f>
        <v>#DIV/0!</v>
      </c>
      <c r="B15" cm="1">
        <f t="array" aca="1" ref="B15" ca="1">OFFSET('Sheet1 (2)'!$A$1,COLUMN()-1,ROW()-1,,)</f>
        <v>0</v>
      </c>
      <c r="C15" cm="1">
        <f t="array" aca="1" ref="C15" ca="1">OFFSET('Sheet1 (2)'!$A$1,COLUMN()-1,ROW()-1,,)</f>
        <v>0</v>
      </c>
      <c r="D15" cm="1">
        <f t="array" aca="1" ref="D15" ca="1">OFFSET('Sheet1 (2)'!$A$1,COLUMN()-1,ROW()-1,,)</f>
        <v>0</v>
      </c>
      <c r="E15" t="str" cm="1">
        <f t="array" aca="1" ref="E15" ca="1">OFFSET('Sheet1 (2)'!$A$1,COLUMN()-1,ROW()-1,,)</f>
        <v>Points - ALIGNEMENT : Je suis aligné sur l’objectif final du programme</v>
      </c>
      <c r="F15" s="3" t="e" cm="1">
        <f t="array" aca="1" ref="F15" ca="1">OFFSET(Sheet1!$A$1,COLUMN()-6,ROW()-1,,)</f>
        <v>#DIV/0!</v>
      </c>
      <c r="G15" cm="1">
        <f t="array" aca="1" ref="G15" ca="1">OFFSET(Sheet1!$A$1,COLUMN()-6,ROW()-1,,)</f>
        <v>0</v>
      </c>
      <c r="H15" cm="1">
        <f t="array" aca="1" ref="H15" ca="1">OFFSET(Sheet1!$A$1,COLUMN()-6,ROW()-1,,)</f>
        <v>0</v>
      </c>
      <c r="I15" cm="1">
        <f t="array" aca="1" ref="I15" ca="1">OFFSET(Sheet1!$A$1,COLUMN()-6,ROW()-1,,)</f>
        <v>0</v>
      </c>
      <c r="J15" s="2" t="str" cm="1">
        <f t="array" aca="1" ref="J15" ca="1">OFFSET(Sheet1!$A$1,COLUMN()-6,ROW()-1,,)</f>
        <v>Points - ALIGNEMENT : Je suis aligné sur l’objectif final du programme</v>
      </c>
      <c r="K15" t="e" cm="1">
        <f t="array" aca="1" ref="K15" ca="1">OFFSET('3-evol'!$A$1,COLUMN()-11,ROW()-1,,)</f>
        <v>#DIV/0!</v>
      </c>
      <c r="L15" cm="1">
        <f t="array" aca="1" ref="L15" ca="1">OFFSET('3-evol'!$A$1,COLUMN()-11,ROW()-1,,)</f>
        <v>0</v>
      </c>
      <c r="M15" cm="1">
        <f t="array" aca="1" ref="M15" ca="1">OFFSET('3-evol'!$A$1,COLUMN()-11,ROW()-1,,)</f>
        <v>0</v>
      </c>
      <c r="N15" cm="1">
        <f t="array" aca="1" ref="N15" ca="1">OFFSET('3-evol'!$A$1,COLUMN()-11,ROW()-1,,)</f>
        <v>0</v>
      </c>
      <c r="O15" t="str" cm="1">
        <f t="array" aca="1" ref="O15" ca="1">OFFSET('3-evol'!$A$1,COLUMN()-11,ROW()-1,,)</f>
        <v>Points - ALIGNEMENT : Je suis aligné sur l’objectif final du programme</v>
      </c>
    </row>
    <row r="16" spans="1:15" hidden="1" x14ac:dyDescent="0.25">
      <c r="A16" t="e" cm="1">
        <f t="array" aca="1" ref="A16" ca="1">OFFSET('Sheet1 (2)'!$A$1,COLUMN()-1,ROW()-1,,)</f>
        <v>#DIV/0!</v>
      </c>
      <c r="B16" cm="1">
        <f t="array" aca="1" ref="B16" ca="1">OFFSET('Sheet1 (2)'!$A$1,COLUMN()-1,ROW()-1,,)</f>
        <v>0</v>
      </c>
      <c r="C16" cm="1">
        <f t="array" aca="1" ref="C16" ca="1">OFFSET('Sheet1 (2)'!$A$1,COLUMN()-1,ROW()-1,,)</f>
        <v>0</v>
      </c>
      <c r="D16" cm="1">
        <f t="array" aca="1" ref="D16" ca="1">OFFSET('Sheet1 (2)'!$A$1,COLUMN()-1,ROW()-1,,)</f>
        <v>0</v>
      </c>
      <c r="E16" t="str" cm="1">
        <f t="array" aca="1" ref="E16" ca="1">OFFSET('Sheet1 (2)'!$A$1,COLUMN()-1,ROW()-1,,)</f>
        <v>Feedback - ALIGNEMENT : Je suis aligné sur l’objectif final du programme</v>
      </c>
      <c r="F16" s="3" t="e" cm="1">
        <f t="array" aca="1" ref="F16" ca="1">OFFSET(Sheet1!$A$1,COLUMN()-6,ROW()-1,,)</f>
        <v>#DIV/0!</v>
      </c>
      <c r="G16" cm="1">
        <f t="array" aca="1" ref="G16" ca="1">OFFSET(Sheet1!$A$1,COLUMN()-6,ROW()-1,,)</f>
        <v>0</v>
      </c>
      <c r="H16" cm="1">
        <f t="array" aca="1" ref="H16" ca="1">OFFSET(Sheet1!$A$1,COLUMN()-6,ROW()-1,,)</f>
        <v>0</v>
      </c>
      <c r="I16" cm="1">
        <f t="array" aca="1" ref="I16" ca="1">OFFSET(Sheet1!$A$1,COLUMN()-6,ROW()-1,,)</f>
        <v>0</v>
      </c>
      <c r="J16" s="2" t="str" cm="1">
        <f t="array" aca="1" ref="J16" ca="1">OFFSET(Sheet1!$A$1,COLUMN()-6,ROW()-1,,)</f>
        <v>Feedback - ALIGNEMENT : Je suis aligné sur l’objectif final du programme</v>
      </c>
      <c r="K16" t="e" cm="1">
        <f t="array" aca="1" ref="K16" ca="1">OFFSET('3-evol'!$A$1,COLUMN()-11,ROW()-1,,)</f>
        <v>#DIV/0!</v>
      </c>
      <c r="L16" cm="1">
        <f t="array" aca="1" ref="L16" ca="1">OFFSET('3-evol'!$A$1,COLUMN()-11,ROW()-1,,)</f>
        <v>0</v>
      </c>
      <c r="M16" cm="1">
        <f t="array" aca="1" ref="M16" ca="1">OFFSET('3-evol'!$A$1,COLUMN()-11,ROW()-1,,)</f>
        <v>0</v>
      </c>
      <c r="N16" cm="1">
        <f t="array" aca="1" ref="N16" ca="1">OFFSET('3-evol'!$A$1,COLUMN()-11,ROW()-1,,)</f>
        <v>0</v>
      </c>
      <c r="O16" t="str" cm="1">
        <f t="array" aca="1" ref="O16" ca="1">OFFSET('3-evol'!$A$1,COLUMN()-11,ROW()-1,,)</f>
        <v>Feedback - ALIGNEMENT : Je suis aligné sur l’objectif final du programme</v>
      </c>
    </row>
    <row r="17" spans="1:15" hidden="1" x14ac:dyDescent="0.25">
      <c r="A17" t="e" cm="1">
        <f t="array" aca="1" ref="A17" ca="1">OFFSET('Sheet1 (2)'!$A$1,COLUMN()-1,ROW()-1,,)</f>
        <v>#DIV/0!</v>
      </c>
      <c r="B17" cm="1">
        <f t="array" aca="1" ref="B17" ca="1">OFFSET('Sheet1 (2)'!$A$1,COLUMN()-1,ROW()-1,,)</f>
        <v>0</v>
      </c>
      <c r="C17" cm="1">
        <f t="array" aca="1" ref="C17" ca="1">OFFSET('Sheet1 (2)'!$A$1,COLUMN()-1,ROW()-1,,)</f>
        <v>0</v>
      </c>
      <c r="D17" cm="1">
        <f t="array" aca="1" ref="D17" ca="1">OFFSET('Sheet1 (2)'!$A$1,COLUMN()-1,ROW()-1,,)</f>
        <v>0</v>
      </c>
      <c r="E17" t="str" cm="1">
        <f t="array" aca="1" ref="E17" ca="1">OFFSET('Sheet1 (2)'!$A$1,COLUMN()-1,ROW()-1,,)</f>
        <v>Si la réponse comporte moins de 2 étoiles OUI, merci de préciser votre réponse dans le champs ci-dessous :2</v>
      </c>
      <c r="F17" s="3" t="e" cm="1">
        <f t="array" aca="1" ref="F17" ca="1">OFFSET(Sheet1!$A$1,COLUMN()-6,ROW()-1,,)</f>
        <v>#DIV/0!</v>
      </c>
      <c r="G17" cm="1">
        <f t="array" aca="1" ref="G17" ca="1">OFFSET(Sheet1!$A$1,COLUMN()-6,ROW()-1,,)</f>
        <v>0</v>
      </c>
      <c r="H17" cm="1">
        <f t="array" aca="1" ref="H17" ca="1">OFFSET(Sheet1!$A$1,COLUMN()-6,ROW()-1,,)</f>
        <v>0</v>
      </c>
      <c r="I17" cm="1">
        <f t="array" aca="1" ref="I17" ca="1">OFFSET(Sheet1!$A$1,COLUMN()-6,ROW()-1,,)</f>
        <v>0</v>
      </c>
      <c r="J17" s="2" t="str" cm="1">
        <f t="array" aca="1" ref="J17" ca="1">OFFSET(Sheet1!$A$1,COLUMN()-6,ROW()-1,,)</f>
        <v>Si la réponse comporte moins de 2 étoiles OUI, merci de préciser votre réponse dans le champs ci-dessous :2</v>
      </c>
      <c r="K17" t="e" cm="1">
        <f t="array" aca="1" ref="K17" ca="1">OFFSET('3-evol'!$A$1,COLUMN()-11,ROW()-1,,)</f>
        <v>#DIV/0!</v>
      </c>
      <c r="L17" cm="1">
        <f t="array" aca="1" ref="L17" ca="1">OFFSET('3-evol'!$A$1,COLUMN()-11,ROW()-1,,)</f>
        <v>0</v>
      </c>
      <c r="M17" cm="1">
        <f t="array" aca="1" ref="M17" ca="1">OFFSET('3-evol'!$A$1,COLUMN()-11,ROW()-1,,)</f>
        <v>0</v>
      </c>
      <c r="N17" cm="1">
        <f t="array" aca="1" ref="N17" ca="1">OFFSET('3-evol'!$A$1,COLUMN()-11,ROW()-1,,)</f>
        <v>0</v>
      </c>
      <c r="O17" t="str" cm="1">
        <f t="array" aca="1" ref="O17" ca="1">OFFSET('3-evol'!$A$1,COLUMN()-11,ROW()-1,,)</f>
        <v>Si la réponse comporte moins de 2 étoiles OUI, merci de préciser votre réponse dans le champs ci-dessous :2</v>
      </c>
    </row>
    <row r="18" spans="1:15" hidden="1" x14ac:dyDescent="0.25">
      <c r="A18" t="e" cm="1">
        <f t="array" aca="1" ref="A18" ca="1">OFFSET('Sheet1 (2)'!$A$1,COLUMN()-1,ROW()-1,,)</f>
        <v>#DIV/0!</v>
      </c>
      <c r="B18" cm="1">
        <f t="array" aca="1" ref="B18" ca="1">OFFSET('Sheet1 (2)'!$A$1,COLUMN()-1,ROW()-1,,)</f>
        <v>0</v>
      </c>
      <c r="C18" cm="1">
        <f t="array" aca="1" ref="C18" ca="1">OFFSET('Sheet1 (2)'!$A$1,COLUMN()-1,ROW()-1,,)</f>
        <v>0</v>
      </c>
      <c r="D18" cm="1">
        <f t="array" aca="1" ref="D18" ca="1">OFFSET('Sheet1 (2)'!$A$1,COLUMN()-1,ROW()-1,,)</f>
        <v>0</v>
      </c>
      <c r="E18" t="str" cm="1">
        <f t="array" aca="1" ref="E18" ca="1">OFFSET('Sheet1 (2)'!$A$1,COLUMN()-1,ROW()-1,,)</f>
        <v>Points - Si la réponse comporte moins de 2 étoiles OUI, merci de préciser votre réponse dans le champs ci-dessous :2</v>
      </c>
      <c r="F18" s="3" t="e" cm="1">
        <f t="array" aca="1" ref="F18" ca="1">OFFSET(Sheet1!$A$1,COLUMN()-6,ROW()-1,,)</f>
        <v>#DIV/0!</v>
      </c>
      <c r="G18" cm="1">
        <f t="array" aca="1" ref="G18" ca="1">OFFSET(Sheet1!$A$1,COLUMN()-6,ROW()-1,,)</f>
        <v>0</v>
      </c>
      <c r="H18" cm="1">
        <f t="array" aca="1" ref="H18" ca="1">OFFSET(Sheet1!$A$1,COLUMN()-6,ROW()-1,,)</f>
        <v>0</v>
      </c>
      <c r="I18" cm="1">
        <f t="array" aca="1" ref="I18" ca="1">OFFSET(Sheet1!$A$1,COLUMN()-6,ROW()-1,,)</f>
        <v>0</v>
      </c>
      <c r="J18" s="2" t="str" cm="1">
        <f t="array" aca="1" ref="J18" ca="1">OFFSET(Sheet1!$A$1,COLUMN()-6,ROW()-1,,)</f>
        <v>Points - Si la réponse comporte moins de 2 étoiles OUI, merci de préciser votre réponse dans le champs ci-dessous :2</v>
      </c>
      <c r="K18" t="e" cm="1">
        <f t="array" aca="1" ref="K18" ca="1">OFFSET('3-evol'!$A$1,COLUMN()-11,ROW()-1,,)</f>
        <v>#DIV/0!</v>
      </c>
      <c r="L18" cm="1">
        <f t="array" aca="1" ref="L18" ca="1">OFFSET('3-evol'!$A$1,COLUMN()-11,ROW()-1,,)</f>
        <v>0</v>
      </c>
      <c r="M18" cm="1">
        <f t="array" aca="1" ref="M18" ca="1">OFFSET('3-evol'!$A$1,COLUMN()-11,ROW()-1,,)</f>
        <v>0</v>
      </c>
      <c r="N18" cm="1">
        <f t="array" aca="1" ref="N18" ca="1">OFFSET('3-evol'!$A$1,COLUMN()-11,ROW()-1,,)</f>
        <v>0</v>
      </c>
      <c r="O18" t="str" cm="1">
        <f t="array" aca="1" ref="O18" ca="1">OFFSET('3-evol'!$A$1,COLUMN()-11,ROW()-1,,)</f>
        <v>Points - Si la réponse comporte moins de 2 étoiles OUI, merci de préciser votre réponse dans le champs ci-dessous :2</v>
      </c>
    </row>
    <row r="19" spans="1:15" hidden="1" x14ac:dyDescent="0.25">
      <c r="A19" t="e" cm="1">
        <f t="array" aca="1" ref="A19" ca="1">OFFSET('Sheet1 (2)'!$A$1,COLUMN()-1,ROW()-1,,)</f>
        <v>#DIV/0!</v>
      </c>
      <c r="B19" cm="1">
        <f t="array" aca="1" ref="B19" ca="1">OFFSET('Sheet1 (2)'!$A$1,COLUMN()-1,ROW()-1,,)</f>
        <v>0</v>
      </c>
      <c r="C19" cm="1">
        <f t="array" aca="1" ref="C19" ca="1">OFFSET('Sheet1 (2)'!$A$1,COLUMN()-1,ROW()-1,,)</f>
        <v>0</v>
      </c>
      <c r="D19" cm="1">
        <f t="array" aca="1" ref="D19" ca="1">OFFSET('Sheet1 (2)'!$A$1,COLUMN()-1,ROW()-1,,)</f>
        <v>0</v>
      </c>
      <c r="E19" t="str" cm="1">
        <f t="array" aca="1" ref="E19" ca="1">OFFSET('Sheet1 (2)'!$A$1,COLUMN()-1,ROW()-1,,)</f>
        <v>Feedback - Si la réponse comporte moins de 2 étoiles OUI, merci de préciser votre réponse dans le champs ci-dessous :2</v>
      </c>
      <c r="F19" s="3" t="e" cm="1">
        <f t="array" aca="1" ref="F19" ca="1">OFFSET(Sheet1!$A$1,COLUMN()-6,ROW()-1,,)</f>
        <v>#DIV/0!</v>
      </c>
      <c r="G19" cm="1">
        <f t="array" aca="1" ref="G19" ca="1">OFFSET(Sheet1!$A$1,COLUMN()-6,ROW()-1,,)</f>
        <v>0</v>
      </c>
      <c r="H19" cm="1">
        <f t="array" aca="1" ref="H19" ca="1">OFFSET(Sheet1!$A$1,COLUMN()-6,ROW()-1,,)</f>
        <v>0</v>
      </c>
      <c r="I19" cm="1">
        <f t="array" aca="1" ref="I19" ca="1">OFFSET(Sheet1!$A$1,COLUMN()-6,ROW()-1,,)</f>
        <v>0</v>
      </c>
      <c r="J19" s="2" t="str" cm="1">
        <f t="array" aca="1" ref="J19" ca="1">OFFSET(Sheet1!$A$1,COLUMN()-6,ROW()-1,,)</f>
        <v>Feedback - Si la réponse comporte moins de 2 étoiles OUI, merci de préciser votre réponse dans le champs ci-dessous :2</v>
      </c>
      <c r="K19" t="e" cm="1">
        <f t="array" aca="1" ref="K19" ca="1">OFFSET('3-evol'!$A$1,COLUMN()-11,ROW()-1,,)</f>
        <v>#DIV/0!</v>
      </c>
      <c r="L19" cm="1">
        <f t="array" aca="1" ref="L19" ca="1">OFFSET('3-evol'!$A$1,COLUMN()-11,ROW()-1,,)</f>
        <v>0</v>
      </c>
      <c r="M19" cm="1">
        <f t="array" aca="1" ref="M19" ca="1">OFFSET('3-evol'!$A$1,COLUMN()-11,ROW()-1,,)</f>
        <v>0</v>
      </c>
      <c r="N19" cm="1">
        <f t="array" aca="1" ref="N19" ca="1">OFFSET('3-evol'!$A$1,COLUMN()-11,ROW()-1,,)</f>
        <v>0</v>
      </c>
      <c r="O19" t="str" cm="1">
        <f t="array" aca="1" ref="O19" ca="1">OFFSET('3-evol'!$A$1,COLUMN()-11,ROW()-1,,)</f>
        <v>Feedback - Si la réponse comporte moins de 2 étoiles OUI, merci de préciser votre réponse dans le champs ci-dessous :2</v>
      </c>
    </row>
    <row r="20" spans="1:15" x14ac:dyDescent="0.25">
      <c r="A20" cm="1">
        <f t="array" aca="1" ref="A20" ca="1">OFFSET('Sheet1 (2)'!$A$1,COLUMN()-1,ROW()-1,,)</f>
        <v>5</v>
      </c>
      <c r="B20" cm="1">
        <f t="array" aca="1" ref="B20" ca="1">OFFSET('Sheet1 (2)'!$A$1,COLUMN()-1,ROW()-1,,)</f>
        <v>5</v>
      </c>
      <c r="C20" cm="1">
        <f t="array" aca="1" ref="C20" ca="1">OFFSET('Sheet1 (2)'!$A$1,COLUMN()-1,ROW()-1,,)</f>
        <v>5</v>
      </c>
      <c r="D20" cm="1">
        <f t="array" aca="1" ref="D20" ca="1">OFFSET('Sheet1 (2)'!$A$1,COLUMN()-1,ROW()-1,,)</f>
        <v>7</v>
      </c>
      <c r="E20" t="str" cm="1">
        <f t="array" aca="1" ref="E20" ca="1">OFFSET('Sheet1 (2)'!$A$1,COLUMN()-1,ROW()-1,,)</f>
        <v>ENGAGEMENT  : Je supporte l’objectif du programme</v>
      </c>
      <c r="F20" s="3" cm="1">
        <f t="array" aca="1" ref="F20" ca="1">OFFSET(Sheet1!$A$1,COLUMN()-6,ROW()-1,,)</f>
        <v>4.5925925925925926</v>
      </c>
      <c r="G20" cm="1">
        <f t="array" aca="1" ref="G20" ca="1">OFFSET(Sheet1!$A$1,COLUMN()-6,ROW()-1,,)</f>
        <v>2</v>
      </c>
      <c r="H20" cm="1">
        <f t="array" aca="1" ref="H20" ca="1">OFFSET(Sheet1!$A$1,COLUMN()-6,ROW()-1,,)</f>
        <v>5</v>
      </c>
      <c r="I20" cm="1">
        <f t="array" aca="1" ref="I20" ca="1">OFFSET(Sheet1!$A$1,COLUMN()-6,ROW()-1,,)</f>
        <v>27</v>
      </c>
      <c r="J20" s="2" t="str" cm="1">
        <f t="array" aca="1" ref="J20" ca="1">OFFSET(Sheet1!$A$1,COLUMN()-6,ROW()-1,,)</f>
        <v>ENGAGEMENT  : Je supporte l’objectif du programme</v>
      </c>
      <c r="K20" cm="1">
        <f t="array" aca="1" ref="K20" ca="1">OFFSET('3-evol'!$A$1,COLUMN()-11,ROW()-1,,)</f>
        <v>4.3684210526315788</v>
      </c>
      <c r="L20" cm="1">
        <f t="array" aca="1" ref="L20" ca="1">OFFSET('3-evol'!$A$1,COLUMN()-11,ROW()-1,,)</f>
        <v>3</v>
      </c>
      <c r="M20" cm="1">
        <f t="array" aca="1" ref="M20" ca="1">OFFSET('3-evol'!$A$1,COLUMN()-11,ROW()-1,,)</f>
        <v>5</v>
      </c>
      <c r="N20" cm="1">
        <f t="array" aca="1" ref="N20" ca="1">OFFSET('3-evol'!$A$1,COLUMN()-11,ROW()-1,,)</f>
        <v>19</v>
      </c>
      <c r="O20" t="str" cm="1">
        <f t="array" aca="1" ref="O20" ca="1">OFFSET('3-evol'!$A$1,COLUMN()-11,ROW()-1,,)</f>
        <v>ENGAGEMENT  : Je supporte l’objectif du programme</v>
      </c>
    </row>
    <row r="21" spans="1:15" hidden="1" x14ac:dyDescent="0.25">
      <c r="A21" t="e" cm="1">
        <f t="array" aca="1" ref="A21" ca="1">OFFSET('Sheet1 (2)'!$A$1,COLUMN()-1,ROW()-1,,)</f>
        <v>#DIV/0!</v>
      </c>
      <c r="B21" cm="1">
        <f t="array" aca="1" ref="B21" ca="1">OFFSET('Sheet1 (2)'!$A$1,COLUMN()-1,ROW()-1,,)</f>
        <v>0</v>
      </c>
      <c r="C21" cm="1">
        <f t="array" aca="1" ref="C21" ca="1">OFFSET('Sheet1 (2)'!$A$1,COLUMN()-1,ROW()-1,,)</f>
        <v>0</v>
      </c>
      <c r="D21" cm="1">
        <f t="array" aca="1" ref="D21" ca="1">OFFSET('Sheet1 (2)'!$A$1,COLUMN()-1,ROW()-1,,)</f>
        <v>0</v>
      </c>
      <c r="E21" t="str" cm="1">
        <f t="array" aca="1" ref="E21" ca="1">OFFSET('Sheet1 (2)'!$A$1,COLUMN()-1,ROW()-1,,)</f>
        <v>Points - ENGAGEMENT  : Je supporte l’objectif du programme</v>
      </c>
      <c r="F21" s="3" t="e" cm="1">
        <f t="array" aca="1" ref="F21" ca="1">OFFSET(Sheet1!$A$1,COLUMN()-6,ROW()-1,,)</f>
        <v>#DIV/0!</v>
      </c>
      <c r="G21" cm="1">
        <f t="array" aca="1" ref="G21" ca="1">OFFSET(Sheet1!$A$1,COLUMN()-6,ROW()-1,,)</f>
        <v>0</v>
      </c>
      <c r="H21" cm="1">
        <f t="array" aca="1" ref="H21" ca="1">OFFSET(Sheet1!$A$1,COLUMN()-6,ROW()-1,,)</f>
        <v>0</v>
      </c>
      <c r="I21" cm="1">
        <f t="array" aca="1" ref="I21" ca="1">OFFSET(Sheet1!$A$1,COLUMN()-6,ROW()-1,,)</f>
        <v>0</v>
      </c>
      <c r="J21" s="2" t="str" cm="1">
        <f t="array" aca="1" ref="J21" ca="1">OFFSET(Sheet1!$A$1,COLUMN()-6,ROW()-1,,)</f>
        <v>Points - ENGAGEMENT  : Je supporte l’objectif du programme</v>
      </c>
      <c r="K21" t="e" cm="1">
        <f t="array" aca="1" ref="K21" ca="1">OFFSET('3-evol'!$A$1,COLUMN()-11,ROW()-1,,)</f>
        <v>#DIV/0!</v>
      </c>
      <c r="L21" cm="1">
        <f t="array" aca="1" ref="L21" ca="1">OFFSET('3-evol'!$A$1,COLUMN()-11,ROW()-1,,)</f>
        <v>0</v>
      </c>
      <c r="M21" cm="1">
        <f t="array" aca="1" ref="M21" ca="1">OFFSET('3-evol'!$A$1,COLUMN()-11,ROW()-1,,)</f>
        <v>0</v>
      </c>
      <c r="N21" cm="1">
        <f t="array" aca="1" ref="N21" ca="1">OFFSET('3-evol'!$A$1,COLUMN()-11,ROW()-1,,)</f>
        <v>0</v>
      </c>
      <c r="O21" t="str" cm="1">
        <f t="array" aca="1" ref="O21" ca="1">OFFSET('3-evol'!$A$1,COLUMN()-11,ROW()-1,,)</f>
        <v>Points - ENGAGEMENT  : Je supporte l’objectif du programme</v>
      </c>
    </row>
    <row r="22" spans="1:15" hidden="1" x14ac:dyDescent="0.25">
      <c r="A22" t="e" cm="1">
        <f t="array" aca="1" ref="A22" ca="1">OFFSET('Sheet1 (2)'!$A$1,COLUMN()-1,ROW()-1,,)</f>
        <v>#DIV/0!</v>
      </c>
      <c r="B22" cm="1">
        <f t="array" aca="1" ref="B22" ca="1">OFFSET('Sheet1 (2)'!$A$1,COLUMN()-1,ROW()-1,,)</f>
        <v>0</v>
      </c>
      <c r="C22" cm="1">
        <f t="array" aca="1" ref="C22" ca="1">OFFSET('Sheet1 (2)'!$A$1,COLUMN()-1,ROW()-1,,)</f>
        <v>0</v>
      </c>
      <c r="D22" cm="1">
        <f t="array" aca="1" ref="D22" ca="1">OFFSET('Sheet1 (2)'!$A$1,COLUMN()-1,ROW()-1,,)</f>
        <v>0</v>
      </c>
      <c r="E22" t="str" cm="1">
        <f t="array" aca="1" ref="E22" ca="1">OFFSET('Sheet1 (2)'!$A$1,COLUMN()-1,ROW()-1,,)</f>
        <v>Feedback - ENGAGEMENT  : Je supporte l’objectif du programme</v>
      </c>
      <c r="F22" s="3" t="e" cm="1">
        <f t="array" aca="1" ref="F22" ca="1">OFFSET(Sheet1!$A$1,COLUMN()-6,ROW()-1,,)</f>
        <v>#DIV/0!</v>
      </c>
      <c r="G22" cm="1">
        <f t="array" aca="1" ref="G22" ca="1">OFFSET(Sheet1!$A$1,COLUMN()-6,ROW()-1,,)</f>
        <v>0</v>
      </c>
      <c r="H22" cm="1">
        <f t="array" aca="1" ref="H22" ca="1">OFFSET(Sheet1!$A$1,COLUMN()-6,ROW()-1,,)</f>
        <v>0</v>
      </c>
      <c r="I22" cm="1">
        <f t="array" aca="1" ref="I22" ca="1">OFFSET(Sheet1!$A$1,COLUMN()-6,ROW()-1,,)</f>
        <v>0</v>
      </c>
      <c r="J22" s="2" t="str" cm="1">
        <f t="array" aca="1" ref="J22" ca="1">OFFSET(Sheet1!$A$1,COLUMN()-6,ROW()-1,,)</f>
        <v>Feedback - ENGAGEMENT  : Je supporte l’objectif du programme</v>
      </c>
      <c r="K22" t="e" cm="1">
        <f t="array" aca="1" ref="K22" ca="1">OFFSET('3-evol'!$A$1,COLUMN()-11,ROW()-1,,)</f>
        <v>#DIV/0!</v>
      </c>
      <c r="L22" cm="1">
        <f t="array" aca="1" ref="L22" ca="1">OFFSET('3-evol'!$A$1,COLUMN()-11,ROW()-1,,)</f>
        <v>0</v>
      </c>
      <c r="M22" cm="1">
        <f t="array" aca="1" ref="M22" ca="1">OFFSET('3-evol'!$A$1,COLUMN()-11,ROW()-1,,)</f>
        <v>0</v>
      </c>
      <c r="N22" cm="1">
        <f t="array" aca="1" ref="N22" ca="1">OFFSET('3-evol'!$A$1,COLUMN()-11,ROW()-1,,)</f>
        <v>0</v>
      </c>
      <c r="O22" t="str" cm="1">
        <f t="array" aca="1" ref="O22" ca="1">OFFSET('3-evol'!$A$1,COLUMN()-11,ROW()-1,,)</f>
        <v>Feedback - ENGAGEMENT  : Je supporte l’objectif du programme</v>
      </c>
    </row>
    <row r="23" spans="1:15" hidden="1" x14ac:dyDescent="0.25">
      <c r="A23" t="e" cm="1">
        <f t="array" aca="1" ref="A23" ca="1">OFFSET('Sheet1 (2)'!$A$1,COLUMN()-1,ROW()-1,,)</f>
        <v>#DIV/0!</v>
      </c>
      <c r="B23" cm="1">
        <f t="array" aca="1" ref="B23" ca="1">OFFSET('Sheet1 (2)'!$A$1,COLUMN()-1,ROW()-1,,)</f>
        <v>0</v>
      </c>
      <c r="C23" cm="1">
        <f t="array" aca="1" ref="C23" ca="1">OFFSET('Sheet1 (2)'!$A$1,COLUMN()-1,ROW()-1,,)</f>
        <v>0</v>
      </c>
      <c r="D23" cm="1">
        <f t="array" aca="1" ref="D23" ca="1">OFFSET('Sheet1 (2)'!$A$1,COLUMN()-1,ROW()-1,,)</f>
        <v>0</v>
      </c>
      <c r="E23" t="str" cm="1">
        <f t="array" aca="1" ref="E23" ca="1">OFFSET('Sheet1 (2)'!$A$1,COLUMN()-1,ROW()-1,,)</f>
        <v>Si la réponse comporte moins de 2 étoiles OUI, merci de préciser votre réponse dans le champs ci-dessous :3</v>
      </c>
      <c r="F23" s="3" t="e" cm="1">
        <f t="array" aca="1" ref="F23" ca="1">OFFSET(Sheet1!$A$1,COLUMN()-6,ROW()-1,,)</f>
        <v>#DIV/0!</v>
      </c>
      <c r="G23" cm="1">
        <f t="array" aca="1" ref="G23" ca="1">OFFSET(Sheet1!$A$1,COLUMN()-6,ROW()-1,,)</f>
        <v>0</v>
      </c>
      <c r="H23" cm="1">
        <f t="array" aca="1" ref="H23" ca="1">OFFSET(Sheet1!$A$1,COLUMN()-6,ROW()-1,,)</f>
        <v>0</v>
      </c>
      <c r="I23" cm="1">
        <f t="array" aca="1" ref="I23" ca="1">OFFSET(Sheet1!$A$1,COLUMN()-6,ROW()-1,,)</f>
        <v>0</v>
      </c>
      <c r="J23" s="2" t="str" cm="1">
        <f t="array" aca="1" ref="J23" ca="1">OFFSET(Sheet1!$A$1,COLUMN()-6,ROW()-1,,)</f>
        <v>Si la réponse comporte moins de 2 étoiles OUI, merci de préciser votre réponse dans le champs ci-dessous :3</v>
      </c>
      <c r="K23" t="e" cm="1">
        <f t="array" aca="1" ref="K23" ca="1">OFFSET('3-evol'!$A$1,COLUMN()-11,ROW()-1,,)</f>
        <v>#DIV/0!</v>
      </c>
      <c r="L23" cm="1">
        <f t="array" aca="1" ref="L23" ca="1">OFFSET('3-evol'!$A$1,COLUMN()-11,ROW()-1,,)</f>
        <v>0</v>
      </c>
      <c r="M23" cm="1">
        <f t="array" aca="1" ref="M23" ca="1">OFFSET('3-evol'!$A$1,COLUMN()-11,ROW()-1,,)</f>
        <v>0</v>
      </c>
      <c r="N23" cm="1">
        <f t="array" aca="1" ref="N23" ca="1">OFFSET('3-evol'!$A$1,COLUMN()-11,ROW()-1,,)</f>
        <v>0</v>
      </c>
      <c r="O23" t="str" cm="1">
        <f t="array" aca="1" ref="O23" ca="1">OFFSET('3-evol'!$A$1,COLUMN()-11,ROW()-1,,)</f>
        <v>Si la réponse comporte moins de 2 étoiles OUI, merci de préciser votre réponse dans le champs ci-dessous :3</v>
      </c>
    </row>
    <row r="24" spans="1:15" hidden="1" x14ac:dyDescent="0.25">
      <c r="A24" t="e" cm="1">
        <f t="array" aca="1" ref="A24" ca="1">OFFSET('Sheet1 (2)'!$A$1,COLUMN()-1,ROW()-1,,)</f>
        <v>#DIV/0!</v>
      </c>
      <c r="B24" cm="1">
        <f t="array" aca="1" ref="B24" ca="1">OFFSET('Sheet1 (2)'!$A$1,COLUMN()-1,ROW()-1,,)</f>
        <v>0</v>
      </c>
      <c r="C24" cm="1">
        <f t="array" aca="1" ref="C24" ca="1">OFFSET('Sheet1 (2)'!$A$1,COLUMN()-1,ROW()-1,,)</f>
        <v>0</v>
      </c>
      <c r="D24" cm="1">
        <f t="array" aca="1" ref="D24" ca="1">OFFSET('Sheet1 (2)'!$A$1,COLUMN()-1,ROW()-1,,)</f>
        <v>0</v>
      </c>
      <c r="E24" t="str" cm="1">
        <f t="array" aca="1" ref="E24" ca="1">OFFSET('Sheet1 (2)'!$A$1,COLUMN()-1,ROW()-1,,)</f>
        <v>Points - Si la réponse comporte moins de 2 étoiles OUI, merci de préciser votre réponse dans le champs ci-dessous :3</v>
      </c>
      <c r="F24" s="3" t="e" cm="1">
        <f t="array" aca="1" ref="F24" ca="1">OFFSET(Sheet1!$A$1,COLUMN()-6,ROW()-1,,)</f>
        <v>#DIV/0!</v>
      </c>
      <c r="G24" cm="1">
        <f t="array" aca="1" ref="G24" ca="1">OFFSET(Sheet1!$A$1,COLUMN()-6,ROW()-1,,)</f>
        <v>0</v>
      </c>
      <c r="H24" cm="1">
        <f t="array" aca="1" ref="H24" ca="1">OFFSET(Sheet1!$A$1,COLUMN()-6,ROW()-1,,)</f>
        <v>0</v>
      </c>
      <c r="I24" cm="1">
        <f t="array" aca="1" ref="I24" ca="1">OFFSET(Sheet1!$A$1,COLUMN()-6,ROW()-1,,)</f>
        <v>0</v>
      </c>
      <c r="J24" s="2" t="str" cm="1">
        <f t="array" aca="1" ref="J24" ca="1">OFFSET(Sheet1!$A$1,COLUMN()-6,ROW()-1,,)</f>
        <v>Points - Si la réponse comporte moins de 2 étoiles OUI, merci de préciser votre réponse dans le champs ci-dessous :3</v>
      </c>
      <c r="K24" t="e" cm="1">
        <f t="array" aca="1" ref="K24" ca="1">OFFSET('3-evol'!$A$1,COLUMN()-11,ROW()-1,,)</f>
        <v>#DIV/0!</v>
      </c>
      <c r="L24" cm="1">
        <f t="array" aca="1" ref="L24" ca="1">OFFSET('3-evol'!$A$1,COLUMN()-11,ROW()-1,,)</f>
        <v>0</v>
      </c>
      <c r="M24" cm="1">
        <f t="array" aca="1" ref="M24" ca="1">OFFSET('3-evol'!$A$1,COLUMN()-11,ROW()-1,,)</f>
        <v>0</v>
      </c>
      <c r="N24" cm="1">
        <f t="array" aca="1" ref="N24" ca="1">OFFSET('3-evol'!$A$1,COLUMN()-11,ROW()-1,,)</f>
        <v>0</v>
      </c>
      <c r="O24" t="str" cm="1">
        <f t="array" aca="1" ref="O24" ca="1">OFFSET('3-evol'!$A$1,COLUMN()-11,ROW()-1,,)</f>
        <v>Points - Si la réponse comporte moins de 2 étoiles OUI, merci de préciser votre réponse dans le champs ci-dessous :3</v>
      </c>
    </row>
    <row r="25" spans="1:15" hidden="1" x14ac:dyDescent="0.25">
      <c r="A25" t="e" cm="1">
        <f t="array" aca="1" ref="A25" ca="1">OFFSET('Sheet1 (2)'!$A$1,COLUMN()-1,ROW()-1,,)</f>
        <v>#DIV/0!</v>
      </c>
      <c r="B25" cm="1">
        <f t="array" aca="1" ref="B25" ca="1">OFFSET('Sheet1 (2)'!$A$1,COLUMN()-1,ROW()-1,,)</f>
        <v>0</v>
      </c>
      <c r="C25" cm="1">
        <f t="array" aca="1" ref="C25" ca="1">OFFSET('Sheet1 (2)'!$A$1,COLUMN()-1,ROW()-1,,)</f>
        <v>0</v>
      </c>
      <c r="D25" cm="1">
        <f t="array" aca="1" ref="D25" ca="1">OFFSET('Sheet1 (2)'!$A$1,COLUMN()-1,ROW()-1,,)</f>
        <v>0</v>
      </c>
      <c r="E25" t="str" cm="1">
        <f t="array" aca="1" ref="E25" ca="1">OFFSET('Sheet1 (2)'!$A$1,COLUMN()-1,ROW()-1,,)</f>
        <v>Feedback - Si la réponse comporte moins de 2 étoiles OUI, merci de préciser votre réponse dans le champs ci-dessous :3</v>
      </c>
      <c r="F25" s="3" t="e" cm="1">
        <f t="array" aca="1" ref="F25" ca="1">OFFSET(Sheet1!$A$1,COLUMN()-6,ROW()-1,,)</f>
        <v>#DIV/0!</v>
      </c>
      <c r="G25" cm="1">
        <f t="array" aca="1" ref="G25" ca="1">OFFSET(Sheet1!$A$1,COLUMN()-6,ROW()-1,,)</f>
        <v>0</v>
      </c>
      <c r="H25" cm="1">
        <f t="array" aca="1" ref="H25" ca="1">OFFSET(Sheet1!$A$1,COLUMN()-6,ROW()-1,,)</f>
        <v>0</v>
      </c>
      <c r="I25" cm="1">
        <f t="array" aca="1" ref="I25" ca="1">OFFSET(Sheet1!$A$1,COLUMN()-6,ROW()-1,,)</f>
        <v>0</v>
      </c>
      <c r="J25" s="2" t="str" cm="1">
        <f t="array" aca="1" ref="J25" ca="1">OFFSET(Sheet1!$A$1,COLUMN()-6,ROW()-1,,)</f>
        <v>Feedback - Si la réponse comporte moins de 2 étoiles OUI, merci de préciser votre réponse dans le champs ci-dessous :3</v>
      </c>
      <c r="K25" t="e" cm="1">
        <f t="array" aca="1" ref="K25" ca="1">OFFSET('3-evol'!$A$1,COLUMN()-11,ROW()-1,,)</f>
        <v>#DIV/0!</v>
      </c>
      <c r="L25" cm="1">
        <f t="array" aca="1" ref="L25" ca="1">OFFSET('3-evol'!$A$1,COLUMN()-11,ROW()-1,,)</f>
        <v>0</v>
      </c>
      <c r="M25" cm="1">
        <f t="array" aca="1" ref="M25" ca="1">OFFSET('3-evol'!$A$1,COLUMN()-11,ROW()-1,,)</f>
        <v>0</v>
      </c>
      <c r="N25" cm="1">
        <f t="array" aca="1" ref="N25" ca="1">OFFSET('3-evol'!$A$1,COLUMN()-11,ROW()-1,,)</f>
        <v>0</v>
      </c>
      <c r="O25" t="str" cm="1">
        <f t="array" aca="1" ref="O25" ca="1">OFFSET('3-evol'!$A$1,COLUMN()-11,ROW()-1,,)</f>
        <v>Feedback - Si la réponse comporte moins de 2 étoiles OUI, merci de préciser votre réponse dans le champs ci-dessous :3</v>
      </c>
    </row>
    <row r="26" spans="1:15" x14ac:dyDescent="0.25">
      <c r="A26" cm="1">
        <f t="array" aca="1" ref="A26" ca="1">OFFSET('Sheet1 (2)'!$A$1,COLUMN()-1,ROW()-1,,)</f>
        <v>4.7142857142857144</v>
      </c>
      <c r="B26" cm="1">
        <f t="array" aca="1" ref="B26" ca="1">OFFSET('Sheet1 (2)'!$A$1,COLUMN()-1,ROW()-1,,)</f>
        <v>4</v>
      </c>
      <c r="C26" cm="1">
        <f t="array" aca="1" ref="C26" ca="1">OFFSET('Sheet1 (2)'!$A$1,COLUMN()-1,ROW()-1,,)</f>
        <v>5</v>
      </c>
      <c r="D26" cm="1">
        <f t="array" aca="1" ref="D26" ca="1">OFFSET('Sheet1 (2)'!$A$1,COLUMN()-1,ROW()-1,,)</f>
        <v>7</v>
      </c>
      <c r="E26" t="str" cm="1">
        <f t="array" aca="1" ref="E26" ca="1">OFFSET('Sheet1 (2)'!$A$1,COLUMN()-1,ROW()-1,,)</f>
        <v>SOLUTION  : L’approche pour atteindre l’objectif du programme est solide</v>
      </c>
      <c r="F26" s="3" cm="1">
        <f t="array" aca="1" ref="F26" ca="1">OFFSET(Sheet1!$A$1,COLUMN()-6,ROW()-1,,)</f>
        <v>3.7037037037037037</v>
      </c>
      <c r="G26" cm="1">
        <f t="array" aca="1" ref="G26" ca="1">OFFSET(Sheet1!$A$1,COLUMN()-6,ROW()-1,,)</f>
        <v>2</v>
      </c>
      <c r="H26" cm="1">
        <f t="array" aca="1" ref="H26" ca="1">OFFSET(Sheet1!$A$1,COLUMN()-6,ROW()-1,,)</f>
        <v>5</v>
      </c>
      <c r="I26" cm="1">
        <f t="array" aca="1" ref="I26" ca="1">OFFSET(Sheet1!$A$1,COLUMN()-6,ROW()-1,,)</f>
        <v>27</v>
      </c>
      <c r="J26" s="2" t="str" cm="1">
        <f t="array" aca="1" ref="J26" ca="1">OFFSET(Sheet1!$A$1,COLUMN()-6,ROW()-1,,)</f>
        <v>SOLUTION  : L’approche pour atteindre l’objectif du programme est solide</v>
      </c>
      <c r="K26" cm="1">
        <f t="array" aca="1" ref="K26" ca="1">OFFSET('3-evol'!$A$1,COLUMN()-11,ROW()-1,,)</f>
        <v>3.3684210526315788</v>
      </c>
      <c r="L26" cm="1">
        <f t="array" aca="1" ref="L26" ca="1">OFFSET('3-evol'!$A$1,COLUMN()-11,ROW()-1,,)</f>
        <v>1</v>
      </c>
      <c r="M26" cm="1">
        <f t="array" aca="1" ref="M26" ca="1">OFFSET('3-evol'!$A$1,COLUMN()-11,ROW()-1,,)</f>
        <v>5</v>
      </c>
      <c r="N26" cm="1">
        <f t="array" aca="1" ref="N26" ca="1">OFFSET('3-evol'!$A$1,COLUMN()-11,ROW()-1,,)</f>
        <v>19</v>
      </c>
      <c r="O26" t="str" cm="1">
        <f t="array" aca="1" ref="O26" ca="1">OFFSET('3-evol'!$A$1,COLUMN()-11,ROW()-1,,)</f>
        <v>SOLUTION  : L’approche pour atteindre l’objectif du programme est solide</v>
      </c>
    </row>
    <row r="27" spans="1:15" hidden="1" x14ac:dyDescent="0.25">
      <c r="A27" t="e" cm="1">
        <f t="array" aca="1" ref="A27" ca="1">OFFSET('Sheet1 (2)'!$A$1,COLUMN()-1,ROW()-1,,)</f>
        <v>#DIV/0!</v>
      </c>
      <c r="B27" cm="1">
        <f t="array" aca="1" ref="B27" ca="1">OFFSET('Sheet1 (2)'!$A$1,COLUMN()-1,ROW()-1,,)</f>
        <v>0</v>
      </c>
      <c r="C27" cm="1">
        <f t="array" aca="1" ref="C27" ca="1">OFFSET('Sheet1 (2)'!$A$1,COLUMN()-1,ROW()-1,,)</f>
        <v>0</v>
      </c>
      <c r="D27" cm="1">
        <f t="array" aca="1" ref="D27" ca="1">OFFSET('Sheet1 (2)'!$A$1,COLUMN()-1,ROW()-1,,)</f>
        <v>0</v>
      </c>
      <c r="E27" t="str" cm="1">
        <f t="array" aca="1" ref="E27" ca="1">OFFSET('Sheet1 (2)'!$A$1,COLUMN()-1,ROW()-1,,)</f>
        <v>Points - SOLUTION  : L’approche pour atteindre l’objectif du programme est solide</v>
      </c>
      <c r="F27" s="3" t="e" cm="1">
        <f t="array" aca="1" ref="F27" ca="1">OFFSET(Sheet1!$A$1,COLUMN()-6,ROW()-1,,)</f>
        <v>#DIV/0!</v>
      </c>
      <c r="G27" cm="1">
        <f t="array" aca="1" ref="G27" ca="1">OFFSET(Sheet1!$A$1,COLUMN()-6,ROW()-1,,)</f>
        <v>0</v>
      </c>
      <c r="H27" cm="1">
        <f t="array" aca="1" ref="H27" ca="1">OFFSET(Sheet1!$A$1,COLUMN()-6,ROW()-1,,)</f>
        <v>0</v>
      </c>
      <c r="I27" cm="1">
        <f t="array" aca="1" ref="I27" ca="1">OFFSET(Sheet1!$A$1,COLUMN()-6,ROW()-1,,)</f>
        <v>0</v>
      </c>
      <c r="J27" s="2" t="str" cm="1">
        <f t="array" aca="1" ref="J27" ca="1">OFFSET(Sheet1!$A$1,COLUMN()-6,ROW()-1,,)</f>
        <v>Points - SOLUTION  : L’approche pour atteindre l’objectif du programme est solide</v>
      </c>
      <c r="K27" t="e" cm="1">
        <f t="array" aca="1" ref="K27" ca="1">OFFSET('3-evol'!$A$1,COLUMN()-11,ROW()-1,,)</f>
        <v>#DIV/0!</v>
      </c>
      <c r="L27" cm="1">
        <f t="array" aca="1" ref="L27" ca="1">OFFSET('3-evol'!$A$1,COLUMN()-11,ROW()-1,,)</f>
        <v>0</v>
      </c>
      <c r="M27" cm="1">
        <f t="array" aca="1" ref="M27" ca="1">OFFSET('3-evol'!$A$1,COLUMN()-11,ROW()-1,,)</f>
        <v>0</v>
      </c>
      <c r="N27" cm="1">
        <f t="array" aca="1" ref="N27" ca="1">OFFSET('3-evol'!$A$1,COLUMN()-11,ROW()-1,,)</f>
        <v>0</v>
      </c>
      <c r="O27" t="str" cm="1">
        <f t="array" aca="1" ref="O27" ca="1">OFFSET('3-evol'!$A$1,COLUMN()-11,ROW()-1,,)</f>
        <v>Points - SOLUTION  : L’approche pour atteindre l’objectif du programme est solide</v>
      </c>
    </row>
    <row r="28" spans="1:15" hidden="1" x14ac:dyDescent="0.25">
      <c r="A28" t="e" cm="1">
        <f t="array" aca="1" ref="A28" ca="1">OFFSET('Sheet1 (2)'!$A$1,COLUMN()-1,ROW()-1,,)</f>
        <v>#DIV/0!</v>
      </c>
      <c r="B28" cm="1">
        <f t="array" aca="1" ref="B28" ca="1">OFFSET('Sheet1 (2)'!$A$1,COLUMN()-1,ROW()-1,,)</f>
        <v>0</v>
      </c>
      <c r="C28" cm="1">
        <f t="array" aca="1" ref="C28" ca="1">OFFSET('Sheet1 (2)'!$A$1,COLUMN()-1,ROW()-1,,)</f>
        <v>0</v>
      </c>
      <c r="D28" cm="1">
        <f t="array" aca="1" ref="D28" ca="1">OFFSET('Sheet1 (2)'!$A$1,COLUMN()-1,ROW()-1,,)</f>
        <v>0</v>
      </c>
      <c r="E28" t="str" cm="1">
        <f t="array" aca="1" ref="E28" ca="1">OFFSET('Sheet1 (2)'!$A$1,COLUMN()-1,ROW()-1,,)</f>
        <v>Feedback - SOLUTION  : L’approche pour atteindre l’objectif du programme est solide</v>
      </c>
      <c r="F28" s="3" t="e" cm="1">
        <f t="array" aca="1" ref="F28" ca="1">OFFSET(Sheet1!$A$1,COLUMN()-6,ROW()-1,,)</f>
        <v>#DIV/0!</v>
      </c>
      <c r="G28" cm="1">
        <f t="array" aca="1" ref="G28" ca="1">OFFSET(Sheet1!$A$1,COLUMN()-6,ROW()-1,,)</f>
        <v>0</v>
      </c>
      <c r="H28" cm="1">
        <f t="array" aca="1" ref="H28" ca="1">OFFSET(Sheet1!$A$1,COLUMN()-6,ROW()-1,,)</f>
        <v>0</v>
      </c>
      <c r="I28" cm="1">
        <f t="array" aca="1" ref="I28" ca="1">OFFSET(Sheet1!$A$1,COLUMN()-6,ROW()-1,,)</f>
        <v>0</v>
      </c>
      <c r="J28" s="2" t="str" cm="1">
        <f t="array" aca="1" ref="J28" ca="1">OFFSET(Sheet1!$A$1,COLUMN()-6,ROW()-1,,)</f>
        <v>Feedback - SOLUTION  : L’approche pour atteindre l’objectif du programme est solide</v>
      </c>
      <c r="K28" t="e" cm="1">
        <f t="array" aca="1" ref="K28" ca="1">OFFSET('3-evol'!$A$1,COLUMN()-11,ROW()-1,,)</f>
        <v>#DIV/0!</v>
      </c>
      <c r="L28" cm="1">
        <f t="array" aca="1" ref="L28" ca="1">OFFSET('3-evol'!$A$1,COLUMN()-11,ROW()-1,,)</f>
        <v>0</v>
      </c>
      <c r="M28" cm="1">
        <f t="array" aca="1" ref="M28" ca="1">OFFSET('3-evol'!$A$1,COLUMN()-11,ROW()-1,,)</f>
        <v>0</v>
      </c>
      <c r="N28" cm="1">
        <f t="array" aca="1" ref="N28" ca="1">OFFSET('3-evol'!$A$1,COLUMN()-11,ROW()-1,,)</f>
        <v>0</v>
      </c>
      <c r="O28" t="str" cm="1">
        <f t="array" aca="1" ref="O28" ca="1">OFFSET('3-evol'!$A$1,COLUMN()-11,ROW()-1,,)</f>
        <v>Feedback - SOLUTION  : L’approche pour atteindre l’objectif du programme est solide</v>
      </c>
    </row>
    <row r="29" spans="1:15" hidden="1" x14ac:dyDescent="0.25">
      <c r="A29" t="e" cm="1">
        <f t="array" aca="1" ref="A29" ca="1">OFFSET('Sheet1 (2)'!$A$1,COLUMN()-1,ROW()-1,,)</f>
        <v>#DIV/0!</v>
      </c>
      <c r="B29" cm="1">
        <f t="array" aca="1" ref="B29" ca="1">OFFSET('Sheet1 (2)'!$A$1,COLUMN()-1,ROW()-1,,)</f>
        <v>0</v>
      </c>
      <c r="C29" cm="1">
        <f t="array" aca="1" ref="C29" ca="1">OFFSET('Sheet1 (2)'!$A$1,COLUMN()-1,ROW()-1,,)</f>
        <v>0</v>
      </c>
      <c r="D29" cm="1">
        <f t="array" aca="1" ref="D29" ca="1">OFFSET('Sheet1 (2)'!$A$1,COLUMN()-1,ROW()-1,,)</f>
        <v>0</v>
      </c>
      <c r="E29" t="str" cm="1">
        <f t="array" aca="1" ref="E29" ca="1">OFFSET('Sheet1 (2)'!$A$1,COLUMN()-1,ROW()-1,,)</f>
        <v>Si la réponse comporte moins de 2 étoiles OUI, merci de préciser votre réponse dans le champs ci-dessous :4</v>
      </c>
      <c r="F29" s="3" t="e" cm="1">
        <f t="array" aca="1" ref="F29" ca="1">OFFSET(Sheet1!$A$1,COLUMN()-6,ROW()-1,,)</f>
        <v>#DIV/0!</v>
      </c>
      <c r="G29" cm="1">
        <f t="array" aca="1" ref="G29" ca="1">OFFSET(Sheet1!$A$1,COLUMN()-6,ROW()-1,,)</f>
        <v>0</v>
      </c>
      <c r="H29" cm="1">
        <f t="array" aca="1" ref="H29" ca="1">OFFSET(Sheet1!$A$1,COLUMN()-6,ROW()-1,,)</f>
        <v>0</v>
      </c>
      <c r="I29" cm="1">
        <f t="array" aca="1" ref="I29" ca="1">OFFSET(Sheet1!$A$1,COLUMN()-6,ROW()-1,,)</f>
        <v>0</v>
      </c>
      <c r="J29" s="2" t="str" cm="1">
        <f t="array" aca="1" ref="J29" ca="1">OFFSET(Sheet1!$A$1,COLUMN()-6,ROW()-1,,)</f>
        <v>Si la réponse comporte moins de 2 étoiles OUI, merci de préciser votre réponse dans le champs ci-dessous :4</v>
      </c>
      <c r="K29" t="e" cm="1">
        <f t="array" aca="1" ref="K29" ca="1">OFFSET('3-evol'!$A$1,COLUMN()-11,ROW()-1,,)</f>
        <v>#DIV/0!</v>
      </c>
      <c r="L29" cm="1">
        <f t="array" aca="1" ref="L29" ca="1">OFFSET('3-evol'!$A$1,COLUMN()-11,ROW()-1,,)</f>
        <v>0</v>
      </c>
      <c r="M29" cm="1">
        <f t="array" aca="1" ref="M29" ca="1">OFFSET('3-evol'!$A$1,COLUMN()-11,ROW()-1,,)</f>
        <v>0</v>
      </c>
      <c r="N29" cm="1">
        <f t="array" aca="1" ref="N29" ca="1">OFFSET('3-evol'!$A$1,COLUMN()-11,ROW()-1,,)</f>
        <v>0</v>
      </c>
      <c r="O29" t="str" cm="1">
        <f t="array" aca="1" ref="O29" ca="1">OFFSET('3-evol'!$A$1,COLUMN()-11,ROW()-1,,)</f>
        <v>Si la réponse comporte moins de 2 étoiles OUI, merci de préciser votre réponse dans le champs ci-dessous :4</v>
      </c>
    </row>
    <row r="30" spans="1:15" hidden="1" x14ac:dyDescent="0.25">
      <c r="A30" t="e" cm="1">
        <f t="array" aca="1" ref="A30" ca="1">OFFSET('Sheet1 (2)'!$A$1,COLUMN()-1,ROW()-1,,)</f>
        <v>#DIV/0!</v>
      </c>
      <c r="B30" cm="1">
        <f t="array" aca="1" ref="B30" ca="1">OFFSET('Sheet1 (2)'!$A$1,COLUMN()-1,ROW()-1,,)</f>
        <v>0</v>
      </c>
      <c r="C30" cm="1">
        <f t="array" aca="1" ref="C30" ca="1">OFFSET('Sheet1 (2)'!$A$1,COLUMN()-1,ROW()-1,,)</f>
        <v>0</v>
      </c>
      <c r="D30" cm="1">
        <f t="array" aca="1" ref="D30" ca="1">OFFSET('Sheet1 (2)'!$A$1,COLUMN()-1,ROW()-1,,)</f>
        <v>0</v>
      </c>
      <c r="E30" t="str" cm="1">
        <f t="array" aca="1" ref="E30" ca="1">OFFSET('Sheet1 (2)'!$A$1,COLUMN()-1,ROW()-1,,)</f>
        <v>Points - Si la réponse comporte moins de 2 étoiles OUI, merci de préciser votre réponse dans le champs ci-dessous :4</v>
      </c>
      <c r="F30" s="3" t="e" cm="1">
        <f t="array" aca="1" ref="F30" ca="1">OFFSET(Sheet1!$A$1,COLUMN()-6,ROW()-1,,)</f>
        <v>#DIV/0!</v>
      </c>
      <c r="G30" cm="1">
        <f t="array" aca="1" ref="G30" ca="1">OFFSET(Sheet1!$A$1,COLUMN()-6,ROW()-1,,)</f>
        <v>0</v>
      </c>
      <c r="H30" cm="1">
        <f t="array" aca="1" ref="H30" ca="1">OFFSET(Sheet1!$A$1,COLUMN()-6,ROW()-1,,)</f>
        <v>0</v>
      </c>
      <c r="I30" cm="1">
        <f t="array" aca="1" ref="I30" ca="1">OFFSET(Sheet1!$A$1,COLUMN()-6,ROW()-1,,)</f>
        <v>0</v>
      </c>
      <c r="J30" s="2" t="str" cm="1">
        <f t="array" aca="1" ref="J30" ca="1">OFFSET(Sheet1!$A$1,COLUMN()-6,ROW()-1,,)</f>
        <v>Points - Si la réponse comporte moins de 2 étoiles OUI, merci de préciser votre réponse dans le champs ci-dessous :4</v>
      </c>
      <c r="K30" t="e" cm="1">
        <f t="array" aca="1" ref="K30" ca="1">OFFSET('3-evol'!$A$1,COLUMN()-11,ROW()-1,,)</f>
        <v>#DIV/0!</v>
      </c>
      <c r="L30" cm="1">
        <f t="array" aca="1" ref="L30" ca="1">OFFSET('3-evol'!$A$1,COLUMN()-11,ROW()-1,,)</f>
        <v>0</v>
      </c>
      <c r="M30" cm="1">
        <f t="array" aca="1" ref="M30" ca="1">OFFSET('3-evol'!$A$1,COLUMN()-11,ROW()-1,,)</f>
        <v>0</v>
      </c>
      <c r="N30" cm="1">
        <f t="array" aca="1" ref="N30" ca="1">OFFSET('3-evol'!$A$1,COLUMN()-11,ROW()-1,,)</f>
        <v>0</v>
      </c>
      <c r="O30" t="str" cm="1">
        <f t="array" aca="1" ref="O30" ca="1">OFFSET('3-evol'!$A$1,COLUMN()-11,ROW()-1,,)</f>
        <v>Points - Si la réponse comporte moins de 2 étoiles OUI, merci de préciser votre réponse dans le champs ci-dessous :4</v>
      </c>
    </row>
    <row r="31" spans="1:15" hidden="1" x14ac:dyDescent="0.25">
      <c r="A31" t="e" cm="1">
        <f t="array" aca="1" ref="A31" ca="1">OFFSET('Sheet1 (2)'!$A$1,COLUMN()-1,ROW()-1,,)</f>
        <v>#DIV/0!</v>
      </c>
      <c r="B31" cm="1">
        <f t="array" aca="1" ref="B31" ca="1">OFFSET('Sheet1 (2)'!$A$1,COLUMN()-1,ROW()-1,,)</f>
        <v>0</v>
      </c>
      <c r="C31" cm="1">
        <f t="array" aca="1" ref="C31" ca="1">OFFSET('Sheet1 (2)'!$A$1,COLUMN()-1,ROW()-1,,)</f>
        <v>0</v>
      </c>
      <c r="D31" cm="1">
        <f t="array" aca="1" ref="D31" ca="1">OFFSET('Sheet1 (2)'!$A$1,COLUMN()-1,ROW()-1,,)</f>
        <v>0</v>
      </c>
      <c r="E31" t="str" cm="1">
        <f t="array" aca="1" ref="E31" ca="1">OFFSET('Sheet1 (2)'!$A$1,COLUMN()-1,ROW()-1,,)</f>
        <v>Feedback - Si la réponse comporte moins de 2 étoiles OUI, merci de préciser votre réponse dans le champs ci-dessous :4</v>
      </c>
      <c r="F31" s="3" t="e" cm="1">
        <f t="array" aca="1" ref="F31" ca="1">OFFSET(Sheet1!$A$1,COLUMN()-6,ROW()-1,,)</f>
        <v>#DIV/0!</v>
      </c>
      <c r="G31" cm="1">
        <f t="array" aca="1" ref="G31" ca="1">OFFSET(Sheet1!$A$1,COLUMN()-6,ROW()-1,,)</f>
        <v>0</v>
      </c>
      <c r="H31" cm="1">
        <f t="array" aca="1" ref="H31" ca="1">OFFSET(Sheet1!$A$1,COLUMN()-6,ROW()-1,,)</f>
        <v>0</v>
      </c>
      <c r="I31" cm="1">
        <f t="array" aca="1" ref="I31" ca="1">OFFSET(Sheet1!$A$1,COLUMN()-6,ROW()-1,,)</f>
        <v>0</v>
      </c>
      <c r="J31" s="2" t="str" cm="1">
        <f t="array" aca="1" ref="J31" ca="1">OFFSET(Sheet1!$A$1,COLUMN()-6,ROW()-1,,)</f>
        <v>Feedback - Si la réponse comporte moins de 2 étoiles OUI, merci de préciser votre réponse dans le champs ci-dessous :4</v>
      </c>
      <c r="K31" t="e" cm="1">
        <f t="array" aca="1" ref="K31" ca="1">OFFSET('3-evol'!$A$1,COLUMN()-11,ROW()-1,,)</f>
        <v>#DIV/0!</v>
      </c>
      <c r="L31" cm="1">
        <f t="array" aca="1" ref="L31" ca="1">OFFSET('3-evol'!$A$1,COLUMN()-11,ROW()-1,,)</f>
        <v>0</v>
      </c>
      <c r="M31" cm="1">
        <f t="array" aca="1" ref="M31" ca="1">OFFSET('3-evol'!$A$1,COLUMN()-11,ROW()-1,,)</f>
        <v>0</v>
      </c>
      <c r="N31" cm="1">
        <f t="array" aca="1" ref="N31" ca="1">OFFSET('3-evol'!$A$1,COLUMN()-11,ROW()-1,,)</f>
        <v>0</v>
      </c>
      <c r="O31" t="str" cm="1">
        <f t="array" aca="1" ref="O31" ca="1">OFFSET('3-evol'!$A$1,COLUMN()-11,ROW()-1,,)</f>
        <v>Feedback - Si la réponse comporte moins de 2 étoiles OUI, merci de préciser votre réponse dans le champs ci-dessous :4</v>
      </c>
    </row>
    <row r="32" spans="1:15" x14ac:dyDescent="0.25">
      <c r="A32" cm="1">
        <f t="array" aca="1" ref="A32" ca="1">OFFSET('Sheet1 (2)'!$A$1,COLUMN()-1,ROW()-1,,)</f>
        <v>5</v>
      </c>
      <c r="B32" cm="1">
        <f t="array" aca="1" ref="B32" ca="1">OFFSET('Sheet1 (2)'!$A$1,COLUMN()-1,ROW()-1,,)</f>
        <v>5</v>
      </c>
      <c r="C32" cm="1">
        <f t="array" aca="1" ref="C32" ca="1">OFFSET('Sheet1 (2)'!$A$1,COLUMN()-1,ROW()-1,,)</f>
        <v>5</v>
      </c>
      <c r="D32" cm="1">
        <f t="array" aca="1" ref="D32" ca="1">OFFSET('Sheet1 (2)'!$A$1,COLUMN()-1,ROW()-1,,)</f>
        <v>7</v>
      </c>
      <c r="E32" t="str" cm="1">
        <f t="array" aca="1" ref="E32" ca="1">OFFSET('Sheet1 (2)'!$A$1,COLUMN()-1,ROW()-1,,)</f>
        <v>INTEGRITE : Les objectifs initiaux du programme restent les mêmes</v>
      </c>
      <c r="F32" s="3" cm="1">
        <f t="array" aca="1" ref="F32" ca="1">OFFSET(Sheet1!$A$1,COLUMN()-6,ROW()-1,,)</f>
        <v>3.8518518518518516</v>
      </c>
      <c r="G32" cm="1">
        <f t="array" aca="1" ref="G32" ca="1">OFFSET(Sheet1!$A$1,COLUMN()-6,ROW()-1,,)</f>
        <v>1</v>
      </c>
      <c r="H32" cm="1">
        <f t="array" aca="1" ref="H32" ca="1">OFFSET(Sheet1!$A$1,COLUMN()-6,ROW()-1,,)</f>
        <v>5</v>
      </c>
      <c r="I32" cm="1">
        <f t="array" aca="1" ref="I32" ca="1">OFFSET(Sheet1!$A$1,COLUMN()-6,ROW()-1,,)</f>
        <v>27</v>
      </c>
      <c r="J32" s="2" t="str" cm="1">
        <f t="array" aca="1" ref="J32" ca="1">OFFSET(Sheet1!$A$1,COLUMN()-6,ROW()-1,,)</f>
        <v>INTEGRITE : Les objectifs initiaux du programme restent les mêmes</v>
      </c>
      <c r="K32" cm="1">
        <f t="array" aca="1" ref="K32" ca="1">OFFSET('3-evol'!$A$1,COLUMN()-11,ROW()-1,,)</f>
        <v>3.736842105263158</v>
      </c>
      <c r="L32" cm="1">
        <f t="array" aca="1" ref="L32" ca="1">OFFSET('3-evol'!$A$1,COLUMN()-11,ROW()-1,,)</f>
        <v>1</v>
      </c>
      <c r="M32" cm="1">
        <f t="array" aca="1" ref="M32" ca="1">OFFSET('3-evol'!$A$1,COLUMN()-11,ROW()-1,,)</f>
        <v>5</v>
      </c>
      <c r="N32" cm="1">
        <f t="array" aca="1" ref="N32" ca="1">OFFSET('3-evol'!$A$1,COLUMN()-11,ROW()-1,,)</f>
        <v>19</v>
      </c>
      <c r="O32" t="str" cm="1">
        <f t="array" aca="1" ref="O32" ca="1">OFFSET('3-evol'!$A$1,COLUMN()-11,ROW()-1,,)</f>
        <v>INTEGRITE : Les objectifs initiaux du programme restent les mêmes</v>
      </c>
    </row>
    <row r="33" spans="1:15" hidden="1" x14ac:dyDescent="0.25">
      <c r="A33" t="e" cm="1">
        <f t="array" aca="1" ref="A33" ca="1">OFFSET('Sheet1 (2)'!$A$1,COLUMN()-1,ROW()-1,,)</f>
        <v>#DIV/0!</v>
      </c>
      <c r="B33" cm="1">
        <f t="array" aca="1" ref="B33" ca="1">OFFSET('Sheet1 (2)'!$A$1,COLUMN()-1,ROW()-1,,)</f>
        <v>0</v>
      </c>
      <c r="C33" cm="1">
        <f t="array" aca="1" ref="C33" ca="1">OFFSET('Sheet1 (2)'!$A$1,COLUMN()-1,ROW()-1,,)</f>
        <v>0</v>
      </c>
      <c r="D33" cm="1">
        <f t="array" aca="1" ref="D33" ca="1">OFFSET('Sheet1 (2)'!$A$1,COLUMN()-1,ROW()-1,,)</f>
        <v>0</v>
      </c>
      <c r="E33" t="str" cm="1">
        <f t="array" aca="1" ref="E33" ca="1">OFFSET('Sheet1 (2)'!$A$1,COLUMN()-1,ROW()-1,,)</f>
        <v>Points - INTEGRITE : Les objectifs initiaux du programme restent les mêmes</v>
      </c>
      <c r="F33" s="3" t="e" cm="1">
        <f t="array" aca="1" ref="F33" ca="1">OFFSET(Sheet1!$A$1,COLUMN()-6,ROW()-1,,)</f>
        <v>#DIV/0!</v>
      </c>
      <c r="G33" cm="1">
        <f t="array" aca="1" ref="G33" ca="1">OFFSET(Sheet1!$A$1,COLUMN()-6,ROW()-1,,)</f>
        <v>0</v>
      </c>
      <c r="H33" cm="1">
        <f t="array" aca="1" ref="H33" ca="1">OFFSET(Sheet1!$A$1,COLUMN()-6,ROW()-1,,)</f>
        <v>0</v>
      </c>
      <c r="I33" cm="1">
        <f t="array" aca="1" ref="I33" ca="1">OFFSET(Sheet1!$A$1,COLUMN()-6,ROW()-1,,)</f>
        <v>0</v>
      </c>
      <c r="J33" s="2" t="str" cm="1">
        <f t="array" aca="1" ref="J33" ca="1">OFFSET(Sheet1!$A$1,COLUMN()-6,ROW()-1,,)</f>
        <v>Points - INTEGRITE : Les objectifs initiaux du programme restent les mêmes</v>
      </c>
      <c r="K33" t="e" cm="1">
        <f t="array" aca="1" ref="K33" ca="1">OFFSET('3-evol'!$A$1,COLUMN()-11,ROW()-1,,)</f>
        <v>#DIV/0!</v>
      </c>
      <c r="L33" cm="1">
        <f t="array" aca="1" ref="L33" ca="1">OFFSET('3-evol'!$A$1,COLUMN()-11,ROW()-1,,)</f>
        <v>0</v>
      </c>
      <c r="M33" cm="1">
        <f t="array" aca="1" ref="M33" ca="1">OFFSET('3-evol'!$A$1,COLUMN()-11,ROW()-1,,)</f>
        <v>0</v>
      </c>
      <c r="N33" cm="1">
        <f t="array" aca="1" ref="N33" ca="1">OFFSET('3-evol'!$A$1,COLUMN()-11,ROW()-1,,)</f>
        <v>0</v>
      </c>
      <c r="O33" t="str" cm="1">
        <f t="array" aca="1" ref="O33" ca="1">OFFSET('3-evol'!$A$1,COLUMN()-11,ROW()-1,,)</f>
        <v>Points - INTEGRITE : Les objectifs initiaux du programme restent les mêmes</v>
      </c>
    </row>
    <row r="34" spans="1:15" hidden="1" x14ac:dyDescent="0.25">
      <c r="A34" t="e" cm="1">
        <f t="array" aca="1" ref="A34" ca="1">OFFSET('Sheet1 (2)'!$A$1,COLUMN()-1,ROW()-1,,)</f>
        <v>#DIV/0!</v>
      </c>
      <c r="B34" cm="1">
        <f t="array" aca="1" ref="B34" ca="1">OFFSET('Sheet1 (2)'!$A$1,COLUMN()-1,ROW()-1,,)</f>
        <v>0</v>
      </c>
      <c r="C34" cm="1">
        <f t="array" aca="1" ref="C34" ca="1">OFFSET('Sheet1 (2)'!$A$1,COLUMN()-1,ROW()-1,,)</f>
        <v>0</v>
      </c>
      <c r="D34" cm="1">
        <f t="array" aca="1" ref="D34" ca="1">OFFSET('Sheet1 (2)'!$A$1,COLUMN()-1,ROW()-1,,)</f>
        <v>0</v>
      </c>
      <c r="E34" t="str" cm="1">
        <f t="array" aca="1" ref="E34" ca="1">OFFSET('Sheet1 (2)'!$A$1,COLUMN()-1,ROW()-1,,)</f>
        <v>Feedback - INTEGRITE : Les objectifs initiaux du programme restent les mêmes</v>
      </c>
      <c r="F34" s="3" t="e" cm="1">
        <f t="array" aca="1" ref="F34" ca="1">OFFSET(Sheet1!$A$1,COLUMN()-6,ROW()-1,,)</f>
        <v>#DIV/0!</v>
      </c>
      <c r="G34" cm="1">
        <f t="array" aca="1" ref="G34" ca="1">OFFSET(Sheet1!$A$1,COLUMN()-6,ROW()-1,,)</f>
        <v>0</v>
      </c>
      <c r="H34" cm="1">
        <f t="array" aca="1" ref="H34" ca="1">OFFSET(Sheet1!$A$1,COLUMN()-6,ROW()-1,,)</f>
        <v>0</v>
      </c>
      <c r="I34" cm="1">
        <f t="array" aca="1" ref="I34" ca="1">OFFSET(Sheet1!$A$1,COLUMN()-6,ROW()-1,,)</f>
        <v>0</v>
      </c>
      <c r="J34" s="2" t="str" cm="1">
        <f t="array" aca="1" ref="J34" ca="1">OFFSET(Sheet1!$A$1,COLUMN()-6,ROW()-1,,)</f>
        <v>Feedback - INTEGRITE : Les objectifs initiaux du programme restent les mêmes</v>
      </c>
      <c r="K34" t="e" cm="1">
        <f t="array" aca="1" ref="K34" ca="1">OFFSET('3-evol'!$A$1,COLUMN()-11,ROW()-1,,)</f>
        <v>#DIV/0!</v>
      </c>
      <c r="L34" cm="1">
        <f t="array" aca="1" ref="L34" ca="1">OFFSET('3-evol'!$A$1,COLUMN()-11,ROW()-1,,)</f>
        <v>0</v>
      </c>
      <c r="M34" cm="1">
        <f t="array" aca="1" ref="M34" ca="1">OFFSET('3-evol'!$A$1,COLUMN()-11,ROW()-1,,)</f>
        <v>0</v>
      </c>
      <c r="N34" cm="1">
        <f t="array" aca="1" ref="N34" ca="1">OFFSET('3-evol'!$A$1,COLUMN()-11,ROW()-1,,)</f>
        <v>0</v>
      </c>
      <c r="O34" t="str" cm="1">
        <f t="array" aca="1" ref="O34" ca="1">OFFSET('3-evol'!$A$1,COLUMN()-11,ROW()-1,,)</f>
        <v>Feedback - INTEGRITE : Les objectifs initiaux du programme restent les mêmes</v>
      </c>
    </row>
    <row r="35" spans="1:15" hidden="1" x14ac:dyDescent="0.25">
      <c r="A35" t="e" cm="1">
        <f t="array" aca="1" ref="A35" ca="1">OFFSET('Sheet1 (2)'!$A$1,COLUMN()-1,ROW()-1,,)</f>
        <v>#DIV/0!</v>
      </c>
      <c r="B35" cm="1">
        <f t="array" aca="1" ref="B35" ca="1">OFFSET('Sheet1 (2)'!$A$1,COLUMN()-1,ROW()-1,,)</f>
        <v>0</v>
      </c>
      <c r="C35" cm="1">
        <f t="array" aca="1" ref="C35" ca="1">OFFSET('Sheet1 (2)'!$A$1,COLUMN()-1,ROW()-1,,)</f>
        <v>0</v>
      </c>
      <c r="D35" cm="1">
        <f t="array" aca="1" ref="D35" ca="1">OFFSET('Sheet1 (2)'!$A$1,COLUMN()-1,ROW()-1,,)</f>
        <v>0</v>
      </c>
      <c r="E35" t="str" cm="1">
        <f t="array" aca="1" ref="E35" ca="1">OFFSET('Sheet1 (2)'!$A$1,COLUMN()-1,ROW()-1,,)</f>
        <v>Si la réponse comporte moins de 2 étoiles OUI, merci de préciser votre réponse dans le champs ci-dessous :5</v>
      </c>
      <c r="F35" s="3" t="e" cm="1">
        <f t="array" aca="1" ref="F35" ca="1">OFFSET(Sheet1!$A$1,COLUMN()-6,ROW()-1,,)</f>
        <v>#DIV/0!</v>
      </c>
      <c r="G35" cm="1">
        <f t="array" aca="1" ref="G35" ca="1">OFFSET(Sheet1!$A$1,COLUMN()-6,ROW()-1,,)</f>
        <v>0</v>
      </c>
      <c r="H35" cm="1">
        <f t="array" aca="1" ref="H35" ca="1">OFFSET(Sheet1!$A$1,COLUMN()-6,ROW()-1,,)</f>
        <v>0</v>
      </c>
      <c r="I35" cm="1">
        <f t="array" aca="1" ref="I35" ca="1">OFFSET(Sheet1!$A$1,COLUMN()-6,ROW()-1,,)</f>
        <v>0</v>
      </c>
      <c r="J35" s="2" t="str" cm="1">
        <f t="array" aca="1" ref="J35" ca="1">OFFSET(Sheet1!$A$1,COLUMN()-6,ROW()-1,,)</f>
        <v>Si la réponse comporte moins de 2 étoiles OUI, merci de préciser votre réponse dans le champs ci-dessous :5</v>
      </c>
      <c r="K35" t="e" cm="1">
        <f t="array" aca="1" ref="K35" ca="1">OFFSET('3-evol'!$A$1,COLUMN()-11,ROW()-1,,)</f>
        <v>#DIV/0!</v>
      </c>
      <c r="L35" cm="1">
        <f t="array" aca="1" ref="L35" ca="1">OFFSET('3-evol'!$A$1,COLUMN()-11,ROW()-1,,)</f>
        <v>0</v>
      </c>
      <c r="M35" cm="1">
        <f t="array" aca="1" ref="M35" ca="1">OFFSET('3-evol'!$A$1,COLUMN()-11,ROW()-1,,)</f>
        <v>0</v>
      </c>
      <c r="N35" cm="1">
        <f t="array" aca="1" ref="N35" ca="1">OFFSET('3-evol'!$A$1,COLUMN()-11,ROW()-1,,)</f>
        <v>0</v>
      </c>
      <c r="O35" t="str" cm="1">
        <f t="array" aca="1" ref="O35" ca="1">OFFSET('3-evol'!$A$1,COLUMN()-11,ROW()-1,,)</f>
        <v>Si la réponse comporte moins de 2 étoiles OUI, merci de préciser votre réponse dans le champs ci-dessous :5</v>
      </c>
    </row>
    <row r="36" spans="1:15" hidden="1" x14ac:dyDescent="0.25">
      <c r="A36" t="e" cm="1">
        <f t="array" aca="1" ref="A36" ca="1">OFFSET('Sheet1 (2)'!$A$1,COLUMN()-1,ROW()-1,,)</f>
        <v>#DIV/0!</v>
      </c>
      <c r="B36" cm="1">
        <f t="array" aca="1" ref="B36" ca="1">OFFSET('Sheet1 (2)'!$A$1,COLUMN()-1,ROW()-1,,)</f>
        <v>0</v>
      </c>
      <c r="C36" cm="1">
        <f t="array" aca="1" ref="C36" ca="1">OFFSET('Sheet1 (2)'!$A$1,COLUMN()-1,ROW()-1,,)</f>
        <v>0</v>
      </c>
      <c r="D36" cm="1">
        <f t="array" aca="1" ref="D36" ca="1">OFFSET('Sheet1 (2)'!$A$1,COLUMN()-1,ROW()-1,,)</f>
        <v>0</v>
      </c>
      <c r="E36" t="str" cm="1">
        <f t="array" aca="1" ref="E36" ca="1">OFFSET('Sheet1 (2)'!$A$1,COLUMN()-1,ROW()-1,,)</f>
        <v>Points - Si la réponse comporte moins de 2 étoiles OUI, merci de préciser votre réponse dans le champs ci-dessous :5</v>
      </c>
      <c r="F36" s="3" t="e" cm="1">
        <f t="array" aca="1" ref="F36" ca="1">OFFSET(Sheet1!$A$1,COLUMN()-6,ROW()-1,,)</f>
        <v>#DIV/0!</v>
      </c>
      <c r="G36" cm="1">
        <f t="array" aca="1" ref="G36" ca="1">OFFSET(Sheet1!$A$1,COLUMN()-6,ROW()-1,,)</f>
        <v>0</v>
      </c>
      <c r="H36" cm="1">
        <f t="array" aca="1" ref="H36" ca="1">OFFSET(Sheet1!$A$1,COLUMN()-6,ROW()-1,,)</f>
        <v>0</v>
      </c>
      <c r="I36" cm="1">
        <f t="array" aca="1" ref="I36" ca="1">OFFSET(Sheet1!$A$1,COLUMN()-6,ROW()-1,,)</f>
        <v>0</v>
      </c>
      <c r="J36" s="2" t="str" cm="1">
        <f t="array" aca="1" ref="J36" ca="1">OFFSET(Sheet1!$A$1,COLUMN()-6,ROW()-1,,)</f>
        <v>Points - Si la réponse comporte moins de 2 étoiles OUI, merci de préciser votre réponse dans le champs ci-dessous :5</v>
      </c>
      <c r="K36" t="e" cm="1">
        <f t="array" aca="1" ref="K36" ca="1">OFFSET('3-evol'!$A$1,COLUMN()-11,ROW()-1,,)</f>
        <v>#DIV/0!</v>
      </c>
      <c r="L36" cm="1">
        <f t="array" aca="1" ref="L36" ca="1">OFFSET('3-evol'!$A$1,COLUMN()-11,ROW()-1,,)</f>
        <v>0</v>
      </c>
      <c r="M36" cm="1">
        <f t="array" aca="1" ref="M36" ca="1">OFFSET('3-evol'!$A$1,COLUMN()-11,ROW()-1,,)</f>
        <v>0</v>
      </c>
      <c r="N36" cm="1">
        <f t="array" aca="1" ref="N36" ca="1">OFFSET('3-evol'!$A$1,COLUMN()-11,ROW()-1,,)</f>
        <v>0</v>
      </c>
      <c r="O36" t="str" cm="1">
        <f t="array" aca="1" ref="O36" ca="1">OFFSET('3-evol'!$A$1,COLUMN()-11,ROW()-1,,)</f>
        <v>Points - Si la réponse comporte moins de 2 étoiles OUI, merci de préciser votre réponse dans le champs ci-dessous :5</v>
      </c>
    </row>
    <row r="37" spans="1:15" hidden="1" x14ac:dyDescent="0.25">
      <c r="A37" t="e" cm="1">
        <f t="array" aca="1" ref="A37" ca="1">OFFSET('Sheet1 (2)'!$A$1,COLUMN()-1,ROW()-1,,)</f>
        <v>#DIV/0!</v>
      </c>
      <c r="B37" cm="1">
        <f t="array" aca="1" ref="B37" ca="1">OFFSET('Sheet1 (2)'!$A$1,COLUMN()-1,ROW()-1,,)</f>
        <v>0</v>
      </c>
      <c r="C37" cm="1">
        <f t="array" aca="1" ref="C37" ca="1">OFFSET('Sheet1 (2)'!$A$1,COLUMN()-1,ROW()-1,,)</f>
        <v>0</v>
      </c>
      <c r="D37" cm="1">
        <f t="array" aca="1" ref="D37" ca="1">OFFSET('Sheet1 (2)'!$A$1,COLUMN()-1,ROW()-1,,)</f>
        <v>0</v>
      </c>
      <c r="E37" t="str" cm="1">
        <f t="array" aca="1" ref="E37" ca="1">OFFSET('Sheet1 (2)'!$A$1,COLUMN()-1,ROW()-1,,)</f>
        <v>Feedback - Si la réponse comporte moins de 2 étoiles OUI, merci de préciser votre réponse dans le champs ci-dessous :5</v>
      </c>
      <c r="F37" s="3" t="e" cm="1">
        <f t="array" aca="1" ref="F37" ca="1">OFFSET(Sheet1!$A$1,COLUMN()-6,ROW()-1,,)</f>
        <v>#DIV/0!</v>
      </c>
      <c r="G37" cm="1">
        <f t="array" aca="1" ref="G37" ca="1">OFFSET(Sheet1!$A$1,COLUMN()-6,ROW()-1,,)</f>
        <v>0</v>
      </c>
      <c r="H37" cm="1">
        <f t="array" aca="1" ref="H37" ca="1">OFFSET(Sheet1!$A$1,COLUMN()-6,ROW()-1,,)</f>
        <v>0</v>
      </c>
      <c r="I37" cm="1">
        <f t="array" aca="1" ref="I37" ca="1">OFFSET(Sheet1!$A$1,COLUMN()-6,ROW()-1,,)</f>
        <v>0</v>
      </c>
      <c r="J37" s="2" t="str" cm="1">
        <f t="array" aca="1" ref="J37" ca="1">OFFSET(Sheet1!$A$1,COLUMN()-6,ROW()-1,,)</f>
        <v>Feedback - Si la réponse comporte moins de 2 étoiles OUI, merci de préciser votre réponse dans le champs ci-dessous :5</v>
      </c>
      <c r="K37" t="e" cm="1">
        <f t="array" aca="1" ref="K37" ca="1">OFFSET('3-evol'!$A$1,COLUMN()-11,ROW()-1,,)</f>
        <v>#DIV/0!</v>
      </c>
      <c r="L37" cm="1">
        <f t="array" aca="1" ref="L37" ca="1">OFFSET('3-evol'!$A$1,COLUMN()-11,ROW()-1,,)</f>
        <v>0</v>
      </c>
      <c r="M37" cm="1">
        <f t="array" aca="1" ref="M37" ca="1">OFFSET('3-evol'!$A$1,COLUMN()-11,ROW()-1,,)</f>
        <v>0</v>
      </c>
      <c r="N37" cm="1">
        <f t="array" aca="1" ref="N37" ca="1">OFFSET('3-evol'!$A$1,COLUMN()-11,ROW()-1,,)</f>
        <v>0</v>
      </c>
      <c r="O37" t="str" cm="1">
        <f t="array" aca="1" ref="O37" ca="1">OFFSET('3-evol'!$A$1,COLUMN()-11,ROW()-1,,)</f>
        <v>Feedback - Si la réponse comporte moins de 2 étoiles OUI, merci de préciser votre réponse dans le champs ci-dessous :5</v>
      </c>
    </row>
    <row r="38" spans="1:15" x14ac:dyDescent="0.25">
      <c r="A38" cm="1">
        <f t="array" aca="1" ref="A38" ca="1">OFFSET('Sheet1 (2)'!$A$1,COLUMN()-1,ROW()-1,,)</f>
        <v>4.7142857142857144</v>
      </c>
      <c r="B38" cm="1">
        <f t="array" aca="1" ref="B38" ca="1">OFFSET('Sheet1 (2)'!$A$1,COLUMN()-1,ROW()-1,,)</f>
        <v>3</v>
      </c>
      <c r="C38" cm="1">
        <f t="array" aca="1" ref="C38" ca="1">OFFSET('Sheet1 (2)'!$A$1,COLUMN()-1,ROW()-1,,)</f>
        <v>5</v>
      </c>
      <c r="D38" cm="1">
        <f t="array" aca="1" ref="D38" ca="1">OFFSET('Sheet1 (2)'!$A$1,COLUMN()-1,ROW()-1,,)</f>
        <v>7</v>
      </c>
      <c r="E38" t="str" cm="1">
        <f t="array" aca="1" ref="E38" ca="1">OFFSET('Sheet1 (2)'!$A$1,COLUMN()-1,ROW()-1,,)</f>
        <v>SPONSORSHIP  : Les leaders fournissent le niveau de sponsorship suffisant pour supporter le programme</v>
      </c>
      <c r="F38" s="3" cm="1">
        <f t="array" aca="1" ref="F38" ca="1">OFFSET(Sheet1!$A$1,COLUMN()-6,ROW()-1,,)</f>
        <v>3.6666666666666665</v>
      </c>
      <c r="G38" cm="1">
        <f t="array" aca="1" ref="G38" ca="1">OFFSET(Sheet1!$A$1,COLUMN()-6,ROW()-1,,)</f>
        <v>1</v>
      </c>
      <c r="H38" cm="1">
        <f t="array" aca="1" ref="H38" ca="1">OFFSET(Sheet1!$A$1,COLUMN()-6,ROW()-1,,)</f>
        <v>5</v>
      </c>
      <c r="I38" cm="1">
        <f t="array" aca="1" ref="I38" ca="1">OFFSET(Sheet1!$A$1,COLUMN()-6,ROW()-1,,)</f>
        <v>27</v>
      </c>
      <c r="J38" s="2" t="str" cm="1">
        <f t="array" aca="1" ref="J38" ca="1">OFFSET(Sheet1!$A$1,COLUMN()-6,ROW()-1,,)</f>
        <v>SPONSORSHIP  : Les leaders fournissent le niveau de sponsorship suffisant pour supporter le programme</v>
      </c>
      <c r="K38" cm="1">
        <f t="array" aca="1" ref="K38" ca="1">OFFSET('3-evol'!$A$1,COLUMN()-11,ROW()-1,,)</f>
        <v>3.5263157894736841</v>
      </c>
      <c r="L38" cm="1">
        <f t="array" aca="1" ref="L38" ca="1">OFFSET('3-evol'!$A$1,COLUMN()-11,ROW()-1,,)</f>
        <v>1</v>
      </c>
      <c r="M38" cm="1">
        <f t="array" aca="1" ref="M38" ca="1">OFFSET('3-evol'!$A$1,COLUMN()-11,ROW()-1,,)</f>
        <v>5</v>
      </c>
      <c r="N38" cm="1">
        <f t="array" aca="1" ref="N38" ca="1">OFFSET('3-evol'!$A$1,COLUMN()-11,ROW()-1,,)</f>
        <v>19</v>
      </c>
      <c r="O38" t="str" cm="1">
        <f t="array" aca="1" ref="O38" ca="1">OFFSET('3-evol'!$A$1,COLUMN()-11,ROW()-1,,)</f>
        <v>SPONSORSHIP  : Les leaders fournissent le niveau de sponsorship suffisant pour supporter le programme</v>
      </c>
    </row>
    <row r="39" spans="1:15" hidden="1" x14ac:dyDescent="0.25">
      <c r="A39" t="e" cm="1">
        <f t="array" aca="1" ref="A39" ca="1">OFFSET('Sheet1 (2)'!$A$1,COLUMN()-1,ROW()-1,,)</f>
        <v>#DIV/0!</v>
      </c>
      <c r="B39" cm="1">
        <f t="array" aca="1" ref="B39" ca="1">OFFSET('Sheet1 (2)'!$A$1,COLUMN()-1,ROW()-1,,)</f>
        <v>0</v>
      </c>
      <c r="C39" cm="1">
        <f t="array" aca="1" ref="C39" ca="1">OFFSET('Sheet1 (2)'!$A$1,COLUMN()-1,ROW()-1,,)</f>
        <v>0</v>
      </c>
      <c r="D39" cm="1">
        <f t="array" aca="1" ref="D39" ca="1">OFFSET('Sheet1 (2)'!$A$1,COLUMN()-1,ROW()-1,,)</f>
        <v>0</v>
      </c>
      <c r="E39" t="str" cm="1">
        <f t="array" aca="1" ref="E39" ca="1">OFFSET('Sheet1 (2)'!$A$1,COLUMN()-1,ROW()-1,,)</f>
        <v>Points - SPONSORSHIP  : Les leaders fournissent le niveau de sponsorship suffisant pour supporter le programme</v>
      </c>
      <c r="F39" s="3" t="e" cm="1">
        <f t="array" aca="1" ref="F39" ca="1">OFFSET(Sheet1!$A$1,COLUMN()-6,ROW()-1,,)</f>
        <v>#DIV/0!</v>
      </c>
      <c r="G39" cm="1">
        <f t="array" aca="1" ref="G39" ca="1">OFFSET(Sheet1!$A$1,COLUMN()-6,ROW()-1,,)</f>
        <v>0</v>
      </c>
      <c r="H39" cm="1">
        <f t="array" aca="1" ref="H39" ca="1">OFFSET(Sheet1!$A$1,COLUMN()-6,ROW()-1,,)</f>
        <v>0</v>
      </c>
      <c r="I39" cm="1">
        <f t="array" aca="1" ref="I39" ca="1">OFFSET(Sheet1!$A$1,COLUMN()-6,ROW()-1,,)</f>
        <v>0</v>
      </c>
      <c r="J39" s="2" t="str" cm="1">
        <f t="array" aca="1" ref="J39" ca="1">OFFSET(Sheet1!$A$1,COLUMN()-6,ROW()-1,,)</f>
        <v>Points - SPONSORSHIP  : Les leaders fournissent le niveau de sponsorship suffisant pour supporter le programme</v>
      </c>
      <c r="K39" t="e" cm="1">
        <f t="array" aca="1" ref="K39" ca="1">OFFSET('3-evol'!$A$1,COLUMN()-11,ROW()-1,,)</f>
        <v>#DIV/0!</v>
      </c>
      <c r="L39" cm="1">
        <f t="array" aca="1" ref="L39" ca="1">OFFSET('3-evol'!$A$1,COLUMN()-11,ROW()-1,,)</f>
        <v>0</v>
      </c>
      <c r="M39" cm="1">
        <f t="array" aca="1" ref="M39" ca="1">OFFSET('3-evol'!$A$1,COLUMN()-11,ROW()-1,,)</f>
        <v>0</v>
      </c>
      <c r="N39" cm="1">
        <f t="array" aca="1" ref="N39" ca="1">OFFSET('3-evol'!$A$1,COLUMN()-11,ROW()-1,,)</f>
        <v>0</v>
      </c>
      <c r="O39" t="str" cm="1">
        <f t="array" aca="1" ref="O39" ca="1">OFFSET('3-evol'!$A$1,COLUMN()-11,ROW()-1,,)</f>
        <v>Points - SPONSORSHIP  : Les leaders fournissent le niveau de sponsorship suffisant pour supporter le programme</v>
      </c>
    </row>
    <row r="40" spans="1:15" hidden="1" x14ac:dyDescent="0.25">
      <c r="A40" t="e" cm="1">
        <f t="array" aca="1" ref="A40" ca="1">OFFSET('Sheet1 (2)'!$A$1,COLUMN()-1,ROW()-1,,)</f>
        <v>#DIV/0!</v>
      </c>
      <c r="B40" cm="1">
        <f t="array" aca="1" ref="B40" ca="1">OFFSET('Sheet1 (2)'!$A$1,COLUMN()-1,ROW()-1,,)</f>
        <v>0</v>
      </c>
      <c r="C40" cm="1">
        <f t="array" aca="1" ref="C40" ca="1">OFFSET('Sheet1 (2)'!$A$1,COLUMN()-1,ROW()-1,,)</f>
        <v>0</v>
      </c>
      <c r="D40" cm="1">
        <f t="array" aca="1" ref="D40" ca="1">OFFSET('Sheet1 (2)'!$A$1,COLUMN()-1,ROW()-1,,)</f>
        <v>0</v>
      </c>
      <c r="E40" t="str" cm="1">
        <f t="array" aca="1" ref="E40" ca="1">OFFSET('Sheet1 (2)'!$A$1,COLUMN()-1,ROW()-1,,)</f>
        <v>Feedback - SPONSORSHIP  : Les leaders fournissent le niveau de sponsorship suffisant pour supporter le programme</v>
      </c>
      <c r="F40" s="3" t="e" cm="1">
        <f t="array" aca="1" ref="F40" ca="1">OFFSET(Sheet1!$A$1,COLUMN()-6,ROW()-1,,)</f>
        <v>#DIV/0!</v>
      </c>
      <c r="G40" cm="1">
        <f t="array" aca="1" ref="G40" ca="1">OFFSET(Sheet1!$A$1,COLUMN()-6,ROW()-1,,)</f>
        <v>0</v>
      </c>
      <c r="H40" cm="1">
        <f t="array" aca="1" ref="H40" ca="1">OFFSET(Sheet1!$A$1,COLUMN()-6,ROW()-1,,)</f>
        <v>0</v>
      </c>
      <c r="I40" cm="1">
        <f t="array" aca="1" ref="I40" ca="1">OFFSET(Sheet1!$A$1,COLUMN()-6,ROW()-1,,)</f>
        <v>0</v>
      </c>
      <c r="J40" s="2" t="str" cm="1">
        <f t="array" aca="1" ref="J40" ca="1">OFFSET(Sheet1!$A$1,COLUMN()-6,ROW()-1,,)</f>
        <v>Feedback - SPONSORSHIP  : Les leaders fournissent le niveau de sponsorship suffisant pour supporter le programme</v>
      </c>
      <c r="K40" t="e" cm="1">
        <f t="array" aca="1" ref="K40" ca="1">OFFSET('3-evol'!$A$1,COLUMN()-11,ROW()-1,,)</f>
        <v>#DIV/0!</v>
      </c>
      <c r="L40" cm="1">
        <f t="array" aca="1" ref="L40" ca="1">OFFSET('3-evol'!$A$1,COLUMN()-11,ROW()-1,,)</f>
        <v>0</v>
      </c>
      <c r="M40" cm="1">
        <f t="array" aca="1" ref="M40" ca="1">OFFSET('3-evol'!$A$1,COLUMN()-11,ROW()-1,,)</f>
        <v>0</v>
      </c>
      <c r="N40" cm="1">
        <f t="array" aca="1" ref="N40" ca="1">OFFSET('3-evol'!$A$1,COLUMN()-11,ROW()-1,,)</f>
        <v>0</v>
      </c>
      <c r="O40" t="str" cm="1">
        <f t="array" aca="1" ref="O40" ca="1">OFFSET('3-evol'!$A$1,COLUMN()-11,ROW()-1,,)</f>
        <v>Feedback - SPONSORSHIP  : Les leaders fournissent le niveau de sponsorship suffisant pour supporter le programme</v>
      </c>
    </row>
    <row r="41" spans="1:15" hidden="1" x14ac:dyDescent="0.25">
      <c r="A41" t="e" cm="1">
        <f t="array" aca="1" ref="A41" ca="1">OFFSET('Sheet1 (2)'!$A$1,COLUMN()-1,ROW()-1,,)</f>
        <v>#DIV/0!</v>
      </c>
      <c r="B41" cm="1">
        <f t="array" aca="1" ref="B41" ca="1">OFFSET('Sheet1 (2)'!$A$1,COLUMN()-1,ROW()-1,,)</f>
        <v>0</v>
      </c>
      <c r="C41" cm="1">
        <f t="array" aca="1" ref="C41" ca="1">OFFSET('Sheet1 (2)'!$A$1,COLUMN()-1,ROW()-1,,)</f>
        <v>0</v>
      </c>
      <c r="D41" cm="1">
        <f t="array" aca="1" ref="D41" ca="1">OFFSET('Sheet1 (2)'!$A$1,COLUMN()-1,ROW()-1,,)</f>
        <v>0</v>
      </c>
      <c r="E41" t="str" cm="1">
        <f t="array" aca="1" ref="E41" ca="1">OFFSET('Sheet1 (2)'!$A$1,COLUMN()-1,ROW()-1,,)</f>
        <v>Si la réponse comporte moins de 2 étoiles OUI, merci de préciser votre réponse dans le champs ci-dessous :6</v>
      </c>
      <c r="F41" s="3" t="e" cm="1">
        <f t="array" aca="1" ref="F41" ca="1">OFFSET(Sheet1!$A$1,COLUMN()-6,ROW()-1,,)</f>
        <v>#DIV/0!</v>
      </c>
      <c r="G41" cm="1">
        <f t="array" aca="1" ref="G41" ca="1">OFFSET(Sheet1!$A$1,COLUMN()-6,ROW()-1,,)</f>
        <v>0</v>
      </c>
      <c r="H41" cm="1">
        <f t="array" aca="1" ref="H41" ca="1">OFFSET(Sheet1!$A$1,COLUMN()-6,ROW()-1,,)</f>
        <v>0</v>
      </c>
      <c r="I41" cm="1">
        <f t="array" aca="1" ref="I41" ca="1">OFFSET(Sheet1!$A$1,COLUMN()-6,ROW()-1,,)</f>
        <v>0</v>
      </c>
      <c r="J41" s="2" t="str" cm="1">
        <f t="array" aca="1" ref="J41" ca="1">OFFSET(Sheet1!$A$1,COLUMN()-6,ROW()-1,,)</f>
        <v>Si la réponse comporte moins de 2 étoiles OUI, merci de préciser votre réponse dans le champs ci-dessous :6</v>
      </c>
      <c r="K41" t="e" cm="1">
        <f t="array" aca="1" ref="K41" ca="1">OFFSET('3-evol'!$A$1,COLUMN()-11,ROW()-1,,)</f>
        <v>#DIV/0!</v>
      </c>
      <c r="L41" cm="1">
        <f t="array" aca="1" ref="L41" ca="1">OFFSET('3-evol'!$A$1,COLUMN()-11,ROW()-1,,)</f>
        <v>0</v>
      </c>
      <c r="M41" cm="1">
        <f t="array" aca="1" ref="M41" ca="1">OFFSET('3-evol'!$A$1,COLUMN()-11,ROW()-1,,)</f>
        <v>0</v>
      </c>
      <c r="N41" cm="1">
        <f t="array" aca="1" ref="N41" ca="1">OFFSET('3-evol'!$A$1,COLUMN()-11,ROW()-1,,)</f>
        <v>0</v>
      </c>
      <c r="O41" t="str" cm="1">
        <f t="array" aca="1" ref="O41" ca="1">OFFSET('3-evol'!$A$1,COLUMN()-11,ROW()-1,,)</f>
        <v>Si la réponse comporte moins de 2 étoiles OUI, merci de préciser votre réponse dans le champs ci-dessous :6</v>
      </c>
    </row>
    <row r="42" spans="1:15" hidden="1" x14ac:dyDescent="0.25">
      <c r="A42" t="e" cm="1">
        <f t="array" aca="1" ref="A42" ca="1">OFFSET('Sheet1 (2)'!$A$1,COLUMN()-1,ROW()-1,,)</f>
        <v>#DIV/0!</v>
      </c>
      <c r="B42" cm="1">
        <f t="array" aca="1" ref="B42" ca="1">OFFSET('Sheet1 (2)'!$A$1,COLUMN()-1,ROW()-1,,)</f>
        <v>0</v>
      </c>
      <c r="C42" cm="1">
        <f t="array" aca="1" ref="C42" ca="1">OFFSET('Sheet1 (2)'!$A$1,COLUMN()-1,ROW()-1,,)</f>
        <v>0</v>
      </c>
      <c r="D42" cm="1">
        <f t="array" aca="1" ref="D42" ca="1">OFFSET('Sheet1 (2)'!$A$1,COLUMN()-1,ROW()-1,,)</f>
        <v>0</v>
      </c>
      <c r="E42" t="str" cm="1">
        <f t="array" aca="1" ref="E42" ca="1">OFFSET('Sheet1 (2)'!$A$1,COLUMN()-1,ROW()-1,,)</f>
        <v>Points - Si la réponse comporte moins de 2 étoiles OUI, merci de préciser votre réponse dans le champs ci-dessous :6</v>
      </c>
      <c r="F42" s="3" t="e" cm="1">
        <f t="array" aca="1" ref="F42" ca="1">OFFSET(Sheet1!$A$1,COLUMN()-6,ROW()-1,,)</f>
        <v>#DIV/0!</v>
      </c>
      <c r="G42" cm="1">
        <f t="array" aca="1" ref="G42" ca="1">OFFSET(Sheet1!$A$1,COLUMN()-6,ROW()-1,,)</f>
        <v>0</v>
      </c>
      <c r="H42" cm="1">
        <f t="array" aca="1" ref="H42" ca="1">OFFSET(Sheet1!$A$1,COLUMN()-6,ROW()-1,,)</f>
        <v>0</v>
      </c>
      <c r="I42" cm="1">
        <f t="array" aca="1" ref="I42" ca="1">OFFSET(Sheet1!$A$1,COLUMN()-6,ROW()-1,,)</f>
        <v>0</v>
      </c>
      <c r="J42" s="2" t="str" cm="1">
        <f t="array" aca="1" ref="J42" ca="1">OFFSET(Sheet1!$A$1,COLUMN()-6,ROW()-1,,)</f>
        <v>Points - Si la réponse comporte moins de 2 étoiles OUI, merci de préciser votre réponse dans le champs ci-dessous :6</v>
      </c>
      <c r="K42" t="e" cm="1">
        <f t="array" aca="1" ref="K42" ca="1">OFFSET('3-evol'!$A$1,COLUMN()-11,ROW()-1,,)</f>
        <v>#DIV/0!</v>
      </c>
      <c r="L42" cm="1">
        <f t="array" aca="1" ref="L42" ca="1">OFFSET('3-evol'!$A$1,COLUMN()-11,ROW()-1,,)</f>
        <v>0</v>
      </c>
      <c r="M42" cm="1">
        <f t="array" aca="1" ref="M42" ca="1">OFFSET('3-evol'!$A$1,COLUMN()-11,ROW()-1,,)</f>
        <v>0</v>
      </c>
      <c r="N42" cm="1">
        <f t="array" aca="1" ref="N42" ca="1">OFFSET('3-evol'!$A$1,COLUMN()-11,ROW()-1,,)</f>
        <v>0</v>
      </c>
      <c r="O42" t="str" cm="1">
        <f t="array" aca="1" ref="O42" ca="1">OFFSET('3-evol'!$A$1,COLUMN()-11,ROW()-1,,)</f>
        <v>Points - Si la réponse comporte moins de 2 étoiles OUI, merci de préciser votre réponse dans le champs ci-dessous :6</v>
      </c>
    </row>
    <row r="43" spans="1:15" hidden="1" x14ac:dyDescent="0.25">
      <c r="A43" t="e" cm="1">
        <f t="array" aca="1" ref="A43" ca="1">OFFSET('Sheet1 (2)'!$A$1,COLUMN()-1,ROW()-1,,)</f>
        <v>#DIV/0!</v>
      </c>
      <c r="B43" cm="1">
        <f t="array" aca="1" ref="B43" ca="1">OFFSET('Sheet1 (2)'!$A$1,COLUMN()-1,ROW()-1,,)</f>
        <v>0</v>
      </c>
      <c r="C43" cm="1">
        <f t="array" aca="1" ref="C43" ca="1">OFFSET('Sheet1 (2)'!$A$1,COLUMN()-1,ROW()-1,,)</f>
        <v>0</v>
      </c>
      <c r="D43" cm="1">
        <f t="array" aca="1" ref="D43" ca="1">OFFSET('Sheet1 (2)'!$A$1,COLUMN()-1,ROW()-1,,)</f>
        <v>0</v>
      </c>
      <c r="E43" t="str" cm="1">
        <f t="array" aca="1" ref="E43" ca="1">OFFSET('Sheet1 (2)'!$A$1,COLUMN()-1,ROW()-1,,)</f>
        <v>Feedback - Si la réponse comporte moins de 2 étoiles OUI, merci de préciser votre réponse dans le champs ci-dessous :6</v>
      </c>
      <c r="F43" s="3" t="e" cm="1">
        <f t="array" aca="1" ref="F43" ca="1">OFFSET(Sheet1!$A$1,COLUMN()-6,ROW()-1,,)</f>
        <v>#DIV/0!</v>
      </c>
      <c r="G43" cm="1">
        <f t="array" aca="1" ref="G43" ca="1">OFFSET(Sheet1!$A$1,COLUMN()-6,ROW()-1,,)</f>
        <v>0</v>
      </c>
      <c r="H43" cm="1">
        <f t="array" aca="1" ref="H43" ca="1">OFFSET(Sheet1!$A$1,COLUMN()-6,ROW()-1,,)</f>
        <v>0</v>
      </c>
      <c r="I43" cm="1">
        <f t="array" aca="1" ref="I43" ca="1">OFFSET(Sheet1!$A$1,COLUMN()-6,ROW()-1,,)</f>
        <v>0</v>
      </c>
      <c r="J43" s="2" t="str" cm="1">
        <f t="array" aca="1" ref="J43" ca="1">OFFSET(Sheet1!$A$1,COLUMN()-6,ROW()-1,,)</f>
        <v>Feedback - Si la réponse comporte moins de 2 étoiles OUI, merci de préciser votre réponse dans le champs ci-dessous :6</v>
      </c>
      <c r="K43" t="e" cm="1">
        <f t="array" aca="1" ref="K43" ca="1">OFFSET('3-evol'!$A$1,COLUMN()-11,ROW()-1,,)</f>
        <v>#DIV/0!</v>
      </c>
      <c r="L43" cm="1">
        <f t="array" aca="1" ref="L43" ca="1">OFFSET('3-evol'!$A$1,COLUMN()-11,ROW()-1,,)</f>
        <v>0</v>
      </c>
      <c r="M43" cm="1">
        <f t="array" aca="1" ref="M43" ca="1">OFFSET('3-evol'!$A$1,COLUMN()-11,ROW()-1,,)</f>
        <v>0</v>
      </c>
      <c r="N43" cm="1">
        <f t="array" aca="1" ref="N43" ca="1">OFFSET('3-evol'!$A$1,COLUMN()-11,ROW()-1,,)</f>
        <v>0</v>
      </c>
      <c r="O43" t="str" cm="1">
        <f t="array" aca="1" ref="O43" ca="1">OFFSET('3-evol'!$A$1,COLUMN()-11,ROW()-1,,)</f>
        <v>Feedback - Si la réponse comporte moins de 2 étoiles OUI, merci de préciser votre réponse dans le champs ci-dessous :6</v>
      </c>
    </row>
    <row r="44" spans="1:15" x14ac:dyDescent="0.25">
      <c r="A44" cm="1">
        <f t="array" aca="1" ref="A44" ca="1">OFFSET('Sheet1 (2)'!$A$1,COLUMN()-1,ROW()-1,,)</f>
        <v>4.4285714285714288</v>
      </c>
      <c r="B44" cm="1">
        <f t="array" aca="1" ref="B44" ca="1">OFFSET('Sheet1 (2)'!$A$1,COLUMN()-1,ROW()-1,,)</f>
        <v>4</v>
      </c>
      <c r="C44" cm="1">
        <f t="array" aca="1" ref="C44" ca="1">OFFSET('Sheet1 (2)'!$A$1,COLUMN()-1,ROW()-1,,)</f>
        <v>5</v>
      </c>
      <c r="D44" cm="1">
        <f t="array" aca="1" ref="D44" ca="1">OFFSET('Sheet1 (2)'!$A$1,COLUMN()-1,ROW()-1,,)</f>
        <v>7</v>
      </c>
      <c r="E44" t="str" cm="1">
        <f t="array" aca="1" ref="E44" ca="1">OFFSET('Sheet1 (2)'!$A$1,COLUMN()-1,ROW()-1,,)</f>
        <v>CAPACITE : Ce changement entraine une charge de travail que nous pouvons absorber sur le site</v>
      </c>
      <c r="F44" s="3" cm="1">
        <f t="array" aca="1" ref="F44" ca="1">OFFSET(Sheet1!$A$1,COLUMN()-6,ROW()-1,,)</f>
        <v>3.0370370370370372</v>
      </c>
      <c r="G44" cm="1">
        <f t="array" aca="1" ref="G44" ca="1">OFFSET(Sheet1!$A$1,COLUMN()-6,ROW()-1,,)</f>
        <v>1</v>
      </c>
      <c r="H44" cm="1">
        <f t="array" aca="1" ref="H44" ca="1">OFFSET(Sheet1!$A$1,COLUMN()-6,ROW()-1,,)</f>
        <v>5</v>
      </c>
      <c r="I44" cm="1">
        <f t="array" aca="1" ref="I44" ca="1">OFFSET(Sheet1!$A$1,COLUMN()-6,ROW()-1,,)</f>
        <v>27</v>
      </c>
      <c r="J44" s="2" t="str" cm="1">
        <f t="array" aca="1" ref="J44" ca="1">OFFSET(Sheet1!$A$1,COLUMN()-6,ROW()-1,,)</f>
        <v>CAPACITE : Ce changement entraine une charge de travail que nous pouvons absorber sur le site</v>
      </c>
      <c r="K44" cm="1">
        <f t="array" aca="1" ref="K44" ca="1">OFFSET('3-evol'!$A$1,COLUMN()-11,ROW()-1,,)</f>
        <v>2.736842105263158</v>
      </c>
      <c r="L44" cm="1">
        <f t="array" aca="1" ref="L44" ca="1">OFFSET('3-evol'!$A$1,COLUMN()-11,ROW()-1,,)</f>
        <v>1</v>
      </c>
      <c r="M44" cm="1">
        <f t="array" aca="1" ref="M44" ca="1">OFFSET('3-evol'!$A$1,COLUMN()-11,ROW()-1,,)</f>
        <v>5</v>
      </c>
      <c r="N44" cm="1">
        <f t="array" aca="1" ref="N44" ca="1">OFFSET('3-evol'!$A$1,COLUMN()-11,ROW()-1,,)</f>
        <v>19</v>
      </c>
      <c r="O44" t="str" cm="1">
        <f t="array" aca="1" ref="O44" ca="1">OFFSET('3-evol'!$A$1,COLUMN()-11,ROW()-1,,)</f>
        <v>CAPACITE : Ce changement entraine une charge de travail que nous pouvons absorber sur le site</v>
      </c>
    </row>
    <row r="45" spans="1:15" hidden="1" x14ac:dyDescent="0.25">
      <c r="A45" t="e" cm="1">
        <f t="array" aca="1" ref="A45" ca="1">OFFSET('Sheet1 (2)'!$A$1,COLUMN()-1,ROW()-1,,)</f>
        <v>#DIV/0!</v>
      </c>
      <c r="B45" cm="1">
        <f t="array" aca="1" ref="B45" ca="1">OFFSET('Sheet1 (2)'!$A$1,COLUMN()-1,ROW()-1,,)</f>
        <v>0</v>
      </c>
      <c r="C45" cm="1">
        <f t="array" aca="1" ref="C45" ca="1">OFFSET('Sheet1 (2)'!$A$1,COLUMN()-1,ROW()-1,,)</f>
        <v>0</v>
      </c>
      <c r="D45" cm="1">
        <f t="array" aca="1" ref="D45" ca="1">OFFSET('Sheet1 (2)'!$A$1,COLUMN()-1,ROW()-1,,)</f>
        <v>0</v>
      </c>
      <c r="E45" t="str" cm="1">
        <f t="array" aca="1" ref="E45" ca="1">OFFSET('Sheet1 (2)'!$A$1,COLUMN()-1,ROW()-1,,)</f>
        <v>Points - CAPACITE : Ce changement entraine une charge de travail que nous pouvons absorber sur le site</v>
      </c>
      <c r="F45" s="3" t="e" cm="1">
        <f t="array" aca="1" ref="F45" ca="1">OFFSET(Sheet1!$A$1,COLUMN()-6,ROW()-1,,)</f>
        <v>#DIV/0!</v>
      </c>
      <c r="G45" cm="1">
        <f t="array" aca="1" ref="G45" ca="1">OFFSET(Sheet1!$A$1,COLUMN()-6,ROW()-1,,)</f>
        <v>0</v>
      </c>
      <c r="H45" cm="1">
        <f t="array" aca="1" ref="H45" ca="1">OFFSET(Sheet1!$A$1,COLUMN()-6,ROW()-1,,)</f>
        <v>0</v>
      </c>
      <c r="I45" cm="1">
        <f t="array" aca="1" ref="I45" ca="1">OFFSET(Sheet1!$A$1,COLUMN()-6,ROW()-1,,)</f>
        <v>0</v>
      </c>
      <c r="J45" s="2" t="str" cm="1">
        <f t="array" aca="1" ref="J45" ca="1">OFFSET(Sheet1!$A$1,COLUMN()-6,ROW()-1,,)</f>
        <v>Points - CAPACITE : Ce changement entraine une charge de travail que nous pouvons absorber sur le site</v>
      </c>
      <c r="K45" t="e" cm="1">
        <f t="array" aca="1" ref="K45" ca="1">OFFSET('3-evol'!$A$1,COLUMN()-11,ROW()-1,,)</f>
        <v>#DIV/0!</v>
      </c>
      <c r="L45" cm="1">
        <f t="array" aca="1" ref="L45" ca="1">OFFSET('3-evol'!$A$1,COLUMN()-11,ROW()-1,,)</f>
        <v>0</v>
      </c>
      <c r="M45" cm="1">
        <f t="array" aca="1" ref="M45" ca="1">OFFSET('3-evol'!$A$1,COLUMN()-11,ROW()-1,,)</f>
        <v>0</v>
      </c>
      <c r="N45" cm="1">
        <f t="array" aca="1" ref="N45" ca="1">OFFSET('3-evol'!$A$1,COLUMN()-11,ROW()-1,,)</f>
        <v>0</v>
      </c>
      <c r="O45" t="str" cm="1">
        <f t="array" aca="1" ref="O45" ca="1">OFFSET('3-evol'!$A$1,COLUMN()-11,ROW()-1,,)</f>
        <v>Points - CAPACITE : Ce changement entraine une charge de travail que nous pouvons absorber sur le site</v>
      </c>
    </row>
    <row r="46" spans="1:15" hidden="1" x14ac:dyDescent="0.25">
      <c r="A46" t="e" cm="1">
        <f t="array" aca="1" ref="A46" ca="1">OFFSET('Sheet1 (2)'!$A$1,COLUMN()-1,ROW()-1,,)</f>
        <v>#DIV/0!</v>
      </c>
      <c r="B46" cm="1">
        <f t="array" aca="1" ref="B46" ca="1">OFFSET('Sheet1 (2)'!$A$1,COLUMN()-1,ROW()-1,,)</f>
        <v>0</v>
      </c>
      <c r="C46" cm="1">
        <f t="array" aca="1" ref="C46" ca="1">OFFSET('Sheet1 (2)'!$A$1,COLUMN()-1,ROW()-1,,)</f>
        <v>0</v>
      </c>
      <c r="D46" cm="1">
        <f t="array" aca="1" ref="D46" ca="1">OFFSET('Sheet1 (2)'!$A$1,COLUMN()-1,ROW()-1,,)</f>
        <v>0</v>
      </c>
      <c r="E46" t="str" cm="1">
        <f t="array" aca="1" ref="E46" ca="1">OFFSET('Sheet1 (2)'!$A$1,COLUMN()-1,ROW()-1,,)</f>
        <v>Feedback - CAPACITE : Ce changement entraine une charge de travail que nous pouvons absorber sur le site</v>
      </c>
      <c r="F46" s="3" t="e" cm="1">
        <f t="array" aca="1" ref="F46" ca="1">OFFSET(Sheet1!$A$1,COLUMN()-6,ROW()-1,,)</f>
        <v>#DIV/0!</v>
      </c>
      <c r="G46" cm="1">
        <f t="array" aca="1" ref="G46" ca="1">OFFSET(Sheet1!$A$1,COLUMN()-6,ROW()-1,,)</f>
        <v>0</v>
      </c>
      <c r="H46" cm="1">
        <f t="array" aca="1" ref="H46" ca="1">OFFSET(Sheet1!$A$1,COLUMN()-6,ROW()-1,,)</f>
        <v>0</v>
      </c>
      <c r="I46" cm="1">
        <f t="array" aca="1" ref="I46" ca="1">OFFSET(Sheet1!$A$1,COLUMN()-6,ROW()-1,,)</f>
        <v>0</v>
      </c>
      <c r="J46" s="2" t="str" cm="1">
        <f t="array" aca="1" ref="J46" ca="1">OFFSET(Sheet1!$A$1,COLUMN()-6,ROW()-1,,)</f>
        <v>Feedback - CAPACITE : Ce changement entraine une charge de travail que nous pouvons absorber sur le site</v>
      </c>
      <c r="K46" t="e" cm="1">
        <f t="array" aca="1" ref="K46" ca="1">OFFSET('3-evol'!$A$1,COLUMN()-11,ROW()-1,,)</f>
        <v>#DIV/0!</v>
      </c>
      <c r="L46" cm="1">
        <f t="array" aca="1" ref="L46" ca="1">OFFSET('3-evol'!$A$1,COLUMN()-11,ROW()-1,,)</f>
        <v>0</v>
      </c>
      <c r="M46" cm="1">
        <f t="array" aca="1" ref="M46" ca="1">OFFSET('3-evol'!$A$1,COLUMN()-11,ROW()-1,,)</f>
        <v>0</v>
      </c>
      <c r="N46" cm="1">
        <f t="array" aca="1" ref="N46" ca="1">OFFSET('3-evol'!$A$1,COLUMN()-11,ROW()-1,,)</f>
        <v>0</v>
      </c>
      <c r="O46" t="str" cm="1">
        <f t="array" aca="1" ref="O46" ca="1">OFFSET('3-evol'!$A$1,COLUMN()-11,ROW()-1,,)</f>
        <v>Feedback - CAPACITE : Ce changement entraine une charge de travail que nous pouvons absorber sur le site</v>
      </c>
    </row>
    <row r="47" spans="1:15" hidden="1" x14ac:dyDescent="0.25">
      <c r="A47" t="e" cm="1">
        <f t="array" aca="1" ref="A47" ca="1">OFFSET('Sheet1 (2)'!$A$1,COLUMN()-1,ROW()-1,,)</f>
        <v>#DIV/0!</v>
      </c>
      <c r="B47" cm="1">
        <f t="array" aca="1" ref="B47" ca="1">OFFSET('Sheet1 (2)'!$A$1,COLUMN()-1,ROW()-1,,)</f>
        <v>0</v>
      </c>
      <c r="C47" cm="1">
        <f t="array" aca="1" ref="C47" ca="1">OFFSET('Sheet1 (2)'!$A$1,COLUMN()-1,ROW()-1,,)</f>
        <v>0</v>
      </c>
      <c r="D47" cm="1">
        <f t="array" aca="1" ref="D47" ca="1">OFFSET('Sheet1 (2)'!$A$1,COLUMN()-1,ROW()-1,,)</f>
        <v>0</v>
      </c>
      <c r="E47" t="str" cm="1">
        <f t="array" aca="1" ref="E47" ca="1">OFFSET('Sheet1 (2)'!$A$1,COLUMN()-1,ROW()-1,,)</f>
        <v>Si la réponse comporte moins de 2 étoiles OUI, merci de préciser votre réponse dans le champs ci-dessous :7</v>
      </c>
      <c r="F47" s="3" t="e" cm="1">
        <f t="array" aca="1" ref="F47" ca="1">OFFSET(Sheet1!$A$1,COLUMN()-6,ROW()-1,,)</f>
        <v>#DIV/0!</v>
      </c>
      <c r="G47" cm="1">
        <f t="array" aca="1" ref="G47" ca="1">OFFSET(Sheet1!$A$1,COLUMN()-6,ROW()-1,,)</f>
        <v>0</v>
      </c>
      <c r="H47" cm="1">
        <f t="array" aca="1" ref="H47" ca="1">OFFSET(Sheet1!$A$1,COLUMN()-6,ROW()-1,,)</f>
        <v>0</v>
      </c>
      <c r="I47" cm="1">
        <f t="array" aca="1" ref="I47" ca="1">OFFSET(Sheet1!$A$1,COLUMN()-6,ROW()-1,,)</f>
        <v>0</v>
      </c>
      <c r="J47" s="2" t="str" cm="1">
        <f t="array" aca="1" ref="J47" ca="1">OFFSET(Sheet1!$A$1,COLUMN()-6,ROW()-1,,)</f>
        <v>Si la réponse comporte moins de 2 étoiles OUI, merci de préciser votre réponse dans le champs ci-dessous :7</v>
      </c>
      <c r="K47" t="e" cm="1">
        <f t="array" aca="1" ref="K47" ca="1">OFFSET('3-evol'!$A$1,COLUMN()-11,ROW()-1,,)</f>
        <v>#DIV/0!</v>
      </c>
      <c r="L47" cm="1">
        <f t="array" aca="1" ref="L47" ca="1">OFFSET('3-evol'!$A$1,COLUMN()-11,ROW()-1,,)</f>
        <v>0</v>
      </c>
      <c r="M47" cm="1">
        <f t="array" aca="1" ref="M47" ca="1">OFFSET('3-evol'!$A$1,COLUMN()-11,ROW()-1,,)</f>
        <v>0</v>
      </c>
      <c r="N47" cm="1">
        <f t="array" aca="1" ref="N47" ca="1">OFFSET('3-evol'!$A$1,COLUMN()-11,ROW()-1,,)</f>
        <v>0</v>
      </c>
      <c r="O47" t="str" cm="1">
        <f t="array" aca="1" ref="O47" ca="1">OFFSET('3-evol'!$A$1,COLUMN()-11,ROW()-1,,)</f>
        <v>Si la réponse comporte moins de 2 étoiles OUI, merci de préciser votre réponse dans le champs ci-dessous :7</v>
      </c>
    </row>
    <row r="48" spans="1:15" hidden="1" x14ac:dyDescent="0.25">
      <c r="A48" t="e" cm="1">
        <f t="array" aca="1" ref="A48" ca="1">OFFSET('Sheet1 (2)'!$A$1,COLUMN()-1,ROW()-1,,)</f>
        <v>#DIV/0!</v>
      </c>
      <c r="B48" cm="1">
        <f t="array" aca="1" ref="B48" ca="1">OFFSET('Sheet1 (2)'!$A$1,COLUMN()-1,ROW()-1,,)</f>
        <v>0</v>
      </c>
      <c r="C48" cm="1">
        <f t="array" aca="1" ref="C48" ca="1">OFFSET('Sheet1 (2)'!$A$1,COLUMN()-1,ROW()-1,,)</f>
        <v>0</v>
      </c>
      <c r="D48" cm="1">
        <f t="array" aca="1" ref="D48" ca="1">OFFSET('Sheet1 (2)'!$A$1,COLUMN()-1,ROW()-1,,)</f>
        <v>0</v>
      </c>
      <c r="E48" t="str" cm="1">
        <f t="array" aca="1" ref="E48" ca="1">OFFSET('Sheet1 (2)'!$A$1,COLUMN()-1,ROW()-1,,)</f>
        <v>Points - Si la réponse comporte moins de 2 étoiles OUI, merci de préciser votre réponse dans le champs ci-dessous :7</v>
      </c>
      <c r="F48" s="3" t="e" cm="1">
        <f t="array" aca="1" ref="F48" ca="1">OFFSET(Sheet1!$A$1,COLUMN()-6,ROW()-1,,)</f>
        <v>#DIV/0!</v>
      </c>
      <c r="G48" cm="1">
        <f t="array" aca="1" ref="G48" ca="1">OFFSET(Sheet1!$A$1,COLUMN()-6,ROW()-1,,)</f>
        <v>0</v>
      </c>
      <c r="H48" cm="1">
        <f t="array" aca="1" ref="H48" ca="1">OFFSET(Sheet1!$A$1,COLUMN()-6,ROW()-1,,)</f>
        <v>0</v>
      </c>
      <c r="I48" cm="1">
        <f t="array" aca="1" ref="I48" ca="1">OFFSET(Sheet1!$A$1,COLUMN()-6,ROW()-1,,)</f>
        <v>0</v>
      </c>
      <c r="J48" s="2" t="str" cm="1">
        <f t="array" aca="1" ref="J48" ca="1">OFFSET(Sheet1!$A$1,COLUMN()-6,ROW()-1,,)</f>
        <v>Points - Si la réponse comporte moins de 2 étoiles OUI, merci de préciser votre réponse dans le champs ci-dessous :7</v>
      </c>
      <c r="K48" t="e" cm="1">
        <f t="array" aca="1" ref="K48" ca="1">OFFSET('3-evol'!$A$1,COLUMN()-11,ROW()-1,,)</f>
        <v>#DIV/0!</v>
      </c>
      <c r="L48" cm="1">
        <f t="array" aca="1" ref="L48" ca="1">OFFSET('3-evol'!$A$1,COLUMN()-11,ROW()-1,,)</f>
        <v>0</v>
      </c>
      <c r="M48" cm="1">
        <f t="array" aca="1" ref="M48" ca="1">OFFSET('3-evol'!$A$1,COLUMN()-11,ROW()-1,,)</f>
        <v>0</v>
      </c>
      <c r="N48" cm="1">
        <f t="array" aca="1" ref="N48" ca="1">OFFSET('3-evol'!$A$1,COLUMN()-11,ROW()-1,,)</f>
        <v>0</v>
      </c>
      <c r="O48" t="str" cm="1">
        <f t="array" aca="1" ref="O48" ca="1">OFFSET('3-evol'!$A$1,COLUMN()-11,ROW()-1,,)</f>
        <v>Points - Si la réponse comporte moins de 2 étoiles OUI, merci de préciser votre réponse dans le champs ci-dessous :7</v>
      </c>
    </row>
    <row r="49" spans="1:15" hidden="1" x14ac:dyDescent="0.25">
      <c r="A49" t="e" cm="1">
        <f t="array" aca="1" ref="A49" ca="1">OFFSET('Sheet1 (2)'!$A$1,COLUMN()-1,ROW()-1,,)</f>
        <v>#DIV/0!</v>
      </c>
      <c r="B49" cm="1">
        <f t="array" aca="1" ref="B49" ca="1">OFFSET('Sheet1 (2)'!$A$1,COLUMN()-1,ROW()-1,,)</f>
        <v>0</v>
      </c>
      <c r="C49" cm="1">
        <f t="array" aca="1" ref="C49" ca="1">OFFSET('Sheet1 (2)'!$A$1,COLUMN()-1,ROW()-1,,)</f>
        <v>0</v>
      </c>
      <c r="D49" cm="1">
        <f t="array" aca="1" ref="D49" ca="1">OFFSET('Sheet1 (2)'!$A$1,COLUMN()-1,ROW()-1,,)</f>
        <v>0</v>
      </c>
      <c r="E49" t="str" cm="1">
        <f t="array" aca="1" ref="E49" ca="1">OFFSET('Sheet1 (2)'!$A$1,COLUMN()-1,ROW()-1,,)</f>
        <v>Feedback - Si la réponse comporte moins de 2 étoiles OUI, merci de préciser votre réponse dans le champs ci-dessous :7</v>
      </c>
      <c r="F49" s="3" t="e" cm="1">
        <f t="array" aca="1" ref="F49" ca="1">OFFSET(Sheet1!$A$1,COLUMN()-6,ROW()-1,,)</f>
        <v>#DIV/0!</v>
      </c>
      <c r="G49" cm="1">
        <f t="array" aca="1" ref="G49" ca="1">OFFSET(Sheet1!$A$1,COLUMN()-6,ROW()-1,,)</f>
        <v>0</v>
      </c>
      <c r="H49" cm="1">
        <f t="array" aca="1" ref="H49" ca="1">OFFSET(Sheet1!$A$1,COLUMN()-6,ROW()-1,,)</f>
        <v>0</v>
      </c>
      <c r="I49" cm="1">
        <f t="array" aca="1" ref="I49" ca="1">OFFSET(Sheet1!$A$1,COLUMN()-6,ROW()-1,,)</f>
        <v>0</v>
      </c>
      <c r="J49" s="2" t="str" cm="1">
        <f t="array" aca="1" ref="J49" ca="1">OFFSET(Sheet1!$A$1,COLUMN()-6,ROW()-1,,)</f>
        <v>Feedback - Si la réponse comporte moins de 2 étoiles OUI, merci de préciser votre réponse dans le champs ci-dessous :7</v>
      </c>
      <c r="K49" t="e" cm="1">
        <f t="array" aca="1" ref="K49" ca="1">OFFSET('3-evol'!$A$1,COLUMN()-11,ROW()-1,,)</f>
        <v>#DIV/0!</v>
      </c>
      <c r="L49" cm="1">
        <f t="array" aca="1" ref="L49" ca="1">OFFSET('3-evol'!$A$1,COLUMN()-11,ROW()-1,,)</f>
        <v>0</v>
      </c>
      <c r="M49" cm="1">
        <f t="array" aca="1" ref="M49" ca="1">OFFSET('3-evol'!$A$1,COLUMN()-11,ROW()-1,,)</f>
        <v>0</v>
      </c>
      <c r="N49" cm="1">
        <f t="array" aca="1" ref="N49" ca="1">OFFSET('3-evol'!$A$1,COLUMN()-11,ROW()-1,,)</f>
        <v>0</v>
      </c>
      <c r="O49" t="str" cm="1">
        <f t="array" aca="1" ref="O49" ca="1">OFFSET('3-evol'!$A$1,COLUMN()-11,ROW()-1,,)</f>
        <v>Feedback - Si la réponse comporte moins de 2 étoiles OUI, merci de préciser votre réponse dans le champs ci-dessous :7</v>
      </c>
    </row>
    <row r="50" spans="1:15" x14ac:dyDescent="0.25">
      <c r="A50" cm="1">
        <f t="array" aca="1" ref="A50" ca="1">OFFSET('Sheet1 (2)'!$A$1,COLUMN()-1,ROW()-1,,)</f>
        <v>3.7142857142857144</v>
      </c>
      <c r="B50" cm="1">
        <f t="array" aca="1" ref="B50" ca="1">OFFSET('Sheet1 (2)'!$A$1,COLUMN()-1,ROW()-1,,)</f>
        <v>2</v>
      </c>
      <c r="C50" cm="1">
        <f t="array" aca="1" ref="C50" ca="1">OFFSET('Sheet1 (2)'!$A$1,COLUMN()-1,ROW()-1,,)</f>
        <v>5</v>
      </c>
      <c r="D50" cm="1">
        <f t="array" aca="1" ref="D50" ca="1">OFFSET('Sheet1 (2)'!$A$1,COLUMN()-1,ROW()-1,,)</f>
        <v>7</v>
      </c>
      <c r="E50" t="str" cm="1">
        <f t="array" aca="1" ref="E50" ca="1">OFFSET('Sheet1 (2)'!$A$1,COLUMN()-1,ROW()-1,,)</f>
        <v>CULTURE  : Nous avons la culture appropriée pour absorber ce changement</v>
      </c>
      <c r="F50" s="3" cm="1">
        <f t="array" aca="1" ref="F50" ca="1">OFFSET(Sheet1!$A$1,COLUMN()-6,ROW()-1,,)</f>
        <v>3.6296296296296298</v>
      </c>
      <c r="G50" cm="1">
        <f t="array" aca="1" ref="G50" ca="1">OFFSET(Sheet1!$A$1,COLUMN()-6,ROW()-1,,)</f>
        <v>1</v>
      </c>
      <c r="H50" cm="1">
        <f t="array" aca="1" ref="H50" ca="1">OFFSET(Sheet1!$A$1,COLUMN()-6,ROW()-1,,)</f>
        <v>5</v>
      </c>
      <c r="I50" cm="1">
        <f t="array" aca="1" ref="I50" ca="1">OFFSET(Sheet1!$A$1,COLUMN()-6,ROW()-1,,)</f>
        <v>27</v>
      </c>
      <c r="J50" s="2" t="str" cm="1">
        <f t="array" aca="1" ref="J50" ca="1">OFFSET(Sheet1!$A$1,COLUMN()-6,ROW()-1,,)</f>
        <v>CULTURE  : Nous avons la culture appropriée pour absorber ce changement</v>
      </c>
      <c r="K50" cm="1">
        <f t="array" aca="1" ref="K50" ca="1">OFFSET('3-evol'!$A$1,COLUMN()-11,ROW()-1,,)</f>
        <v>3.6315789473684212</v>
      </c>
      <c r="L50" cm="1">
        <f t="array" aca="1" ref="L50" ca="1">OFFSET('3-evol'!$A$1,COLUMN()-11,ROW()-1,,)</f>
        <v>1</v>
      </c>
      <c r="M50" cm="1">
        <f t="array" aca="1" ref="M50" ca="1">OFFSET('3-evol'!$A$1,COLUMN()-11,ROW()-1,,)</f>
        <v>5</v>
      </c>
      <c r="N50" cm="1">
        <f t="array" aca="1" ref="N50" ca="1">OFFSET('3-evol'!$A$1,COLUMN()-11,ROW()-1,,)</f>
        <v>19</v>
      </c>
      <c r="O50" t="str" cm="1">
        <f t="array" aca="1" ref="O50" ca="1">OFFSET('3-evol'!$A$1,COLUMN()-11,ROW()-1,,)</f>
        <v>CULTURE  : Nous avons la culture appropriée pour absorber ce changement</v>
      </c>
    </row>
    <row r="51" spans="1:15" hidden="1" x14ac:dyDescent="0.25">
      <c r="A51" t="e" cm="1">
        <f t="array" aca="1" ref="A51" ca="1">OFFSET('Sheet1 (2)'!$A$1,COLUMN()-1,ROW()-1,,)</f>
        <v>#DIV/0!</v>
      </c>
      <c r="B51" cm="1">
        <f t="array" aca="1" ref="B51" ca="1">OFFSET('Sheet1 (2)'!$A$1,COLUMN()-1,ROW()-1,,)</f>
        <v>0</v>
      </c>
      <c r="C51" cm="1">
        <f t="array" aca="1" ref="C51" ca="1">OFFSET('Sheet1 (2)'!$A$1,COLUMN()-1,ROW()-1,,)</f>
        <v>0</v>
      </c>
      <c r="D51" cm="1">
        <f t="array" aca="1" ref="D51" ca="1">OFFSET('Sheet1 (2)'!$A$1,COLUMN()-1,ROW()-1,,)</f>
        <v>0</v>
      </c>
      <c r="E51" t="str" cm="1">
        <f t="array" aca="1" ref="E51" ca="1">OFFSET('Sheet1 (2)'!$A$1,COLUMN()-1,ROW()-1,,)</f>
        <v>Points - CULTURE  : Nous avons la culture appropriée pour absorber ce changement</v>
      </c>
      <c r="F51" s="3" t="e" cm="1">
        <f t="array" aca="1" ref="F51" ca="1">OFFSET(Sheet1!$A$1,COLUMN()-6,ROW()-1,,)</f>
        <v>#DIV/0!</v>
      </c>
      <c r="G51" cm="1">
        <f t="array" aca="1" ref="G51" ca="1">OFFSET(Sheet1!$A$1,COLUMN()-6,ROW()-1,,)</f>
        <v>0</v>
      </c>
      <c r="H51" cm="1">
        <f t="array" aca="1" ref="H51" ca="1">OFFSET(Sheet1!$A$1,COLUMN()-6,ROW()-1,,)</f>
        <v>0</v>
      </c>
      <c r="I51" cm="1">
        <f t="array" aca="1" ref="I51" ca="1">OFFSET(Sheet1!$A$1,COLUMN()-6,ROW()-1,,)</f>
        <v>0</v>
      </c>
      <c r="J51" s="2" t="str" cm="1">
        <f t="array" aca="1" ref="J51" ca="1">OFFSET(Sheet1!$A$1,COLUMN()-6,ROW()-1,,)</f>
        <v>Points - CULTURE  : Nous avons la culture appropriée pour absorber ce changement</v>
      </c>
      <c r="K51" t="e" cm="1">
        <f t="array" aca="1" ref="K51" ca="1">OFFSET('3-evol'!$A$1,COLUMN()-11,ROW()-1,,)</f>
        <v>#DIV/0!</v>
      </c>
      <c r="L51" cm="1">
        <f t="array" aca="1" ref="L51" ca="1">OFFSET('3-evol'!$A$1,COLUMN()-11,ROW()-1,,)</f>
        <v>0</v>
      </c>
      <c r="M51" cm="1">
        <f t="array" aca="1" ref="M51" ca="1">OFFSET('3-evol'!$A$1,COLUMN()-11,ROW()-1,,)</f>
        <v>0</v>
      </c>
      <c r="N51" cm="1">
        <f t="array" aca="1" ref="N51" ca="1">OFFSET('3-evol'!$A$1,COLUMN()-11,ROW()-1,,)</f>
        <v>0</v>
      </c>
      <c r="O51" t="str" cm="1">
        <f t="array" aca="1" ref="O51" ca="1">OFFSET('3-evol'!$A$1,COLUMN()-11,ROW()-1,,)</f>
        <v>Points - CULTURE  : Nous avons la culture appropriée pour absorber ce changement</v>
      </c>
    </row>
    <row r="52" spans="1:15" hidden="1" x14ac:dyDescent="0.25">
      <c r="A52" t="e" cm="1">
        <f t="array" aca="1" ref="A52" ca="1">OFFSET('Sheet1 (2)'!$A$1,COLUMN()-1,ROW()-1,,)</f>
        <v>#DIV/0!</v>
      </c>
      <c r="B52" cm="1">
        <f t="array" aca="1" ref="B52" ca="1">OFFSET('Sheet1 (2)'!$A$1,COLUMN()-1,ROW()-1,,)</f>
        <v>0</v>
      </c>
      <c r="C52" cm="1">
        <f t="array" aca="1" ref="C52" ca="1">OFFSET('Sheet1 (2)'!$A$1,COLUMN()-1,ROW()-1,,)</f>
        <v>0</v>
      </c>
      <c r="D52" cm="1">
        <f t="array" aca="1" ref="D52" ca="1">OFFSET('Sheet1 (2)'!$A$1,COLUMN()-1,ROW()-1,,)</f>
        <v>0</v>
      </c>
      <c r="E52" t="str" cm="1">
        <f t="array" aca="1" ref="E52" ca="1">OFFSET('Sheet1 (2)'!$A$1,COLUMN()-1,ROW()-1,,)</f>
        <v>Feedback - CULTURE  : Nous avons la culture appropriée pour absorber ce changement</v>
      </c>
      <c r="F52" s="3" t="e" cm="1">
        <f t="array" aca="1" ref="F52" ca="1">OFFSET(Sheet1!$A$1,COLUMN()-6,ROW()-1,,)</f>
        <v>#DIV/0!</v>
      </c>
      <c r="G52" cm="1">
        <f t="array" aca="1" ref="G52" ca="1">OFFSET(Sheet1!$A$1,COLUMN()-6,ROW()-1,,)</f>
        <v>0</v>
      </c>
      <c r="H52" cm="1">
        <f t="array" aca="1" ref="H52" ca="1">OFFSET(Sheet1!$A$1,COLUMN()-6,ROW()-1,,)</f>
        <v>0</v>
      </c>
      <c r="I52" cm="1">
        <f t="array" aca="1" ref="I52" ca="1">OFFSET(Sheet1!$A$1,COLUMN()-6,ROW()-1,,)</f>
        <v>0</v>
      </c>
      <c r="J52" s="2" t="str" cm="1">
        <f t="array" aca="1" ref="J52" ca="1">OFFSET(Sheet1!$A$1,COLUMN()-6,ROW()-1,,)</f>
        <v>Feedback - CULTURE  : Nous avons la culture appropriée pour absorber ce changement</v>
      </c>
      <c r="K52" t="e" cm="1">
        <f t="array" aca="1" ref="K52" ca="1">OFFSET('3-evol'!$A$1,COLUMN()-11,ROW()-1,,)</f>
        <v>#DIV/0!</v>
      </c>
      <c r="L52" cm="1">
        <f t="array" aca="1" ref="L52" ca="1">OFFSET('3-evol'!$A$1,COLUMN()-11,ROW()-1,,)</f>
        <v>0</v>
      </c>
      <c r="M52" cm="1">
        <f t="array" aca="1" ref="M52" ca="1">OFFSET('3-evol'!$A$1,COLUMN()-11,ROW()-1,,)</f>
        <v>0</v>
      </c>
      <c r="N52" cm="1">
        <f t="array" aca="1" ref="N52" ca="1">OFFSET('3-evol'!$A$1,COLUMN()-11,ROW()-1,,)</f>
        <v>0</v>
      </c>
      <c r="O52" t="str" cm="1">
        <f t="array" aca="1" ref="O52" ca="1">OFFSET('3-evol'!$A$1,COLUMN()-11,ROW()-1,,)</f>
        <v>Feedback - CULTURE  : Nous avons la culture appropriée pour absorber ce changement</v>
      </c>
    </row>
    <row r="53" spans="1:15" hidden="1" x14ac:dyDescent="0.25">
      <c r="A53" t="e" cm="1">
        <f t="array" aca="1" ref="A53" ca="1">OFFSET('Sheet1 (2)'!$A$1,COLUMN()-1,ROW()-1,,)</f>
        <v>#DIV/0!</v>
      </c>
      <c r="B53" cm="1">
        <f t="array" aca="1" ref="B53" ca="1">OFFSET('Sheet1 (2)'!$A$1,COLUMN()-1,ROW()-1,,)</f>
        <v>0</v>
      </c>
      <c r="C53" cm="1">
        <f t="array" aca="1" ref="C53" ca="1">OFFSET('Sheet1 (2)'!$A$1,COLUMN()-1,ROW()-1,,)</f>
        <v>0</v>
      </c>
      <c r="D53" cm="1">
        <f t="array" aca="1" ref="D53" ca="1">OFFSET('Sheet1 (2)'!$A$1,COLUMN()-1,ROW()-1,,)</f>
        <v>0</v>
      </c>
      <c r="E53" t="str" cm="1">
        <f t="array" aca="1" ref="E53" ca="1">OFFSET('Sheet1 (2)'!$A$1,COLUMN()-1,ROW()-1,,)</f>
        <v>Si la réponse comporte moins de 2 étoiles OUI, merci de préciser votre réponse dans le champs ci-dessous :8</v>
      </c>
      <c r="F53" s="3" t="e" cm="1">
        <f t="array" aca="1" ref="F53" ca="1">OFFSET(Sheet1!$A$1,COLUMN()-6,ROW()-1,,)</f>
        <v>#DIV/0!</v>
      </c>
      <c r="G53" cm="1">
        <f t="array" aca="1" ref="G53" ca="1">OFFSET(Sheet1!$A$1,COLUMN()-6,ROW()-1,,)</f>
        <v>0</v>
      </c>
      <c r="H53" cm="1">
        <f t="array" aca="1" ref="H53" ca="1">OFFSET(Sheet1!$A$1,COLUMN()-6,ROW()-1,,)</f>
        <v>0</v>
      </c>
      <c r="I53" cm="1">
        <f t="array" aca="1" ref="I53" ca="1">OFFSET(Sheet1!$A$1,COLUMN()-6,ROW()-1,,)</f>
        <v>0</v>
      </c>
      <c r="J53" s="2" t="str" cm="1">
        <f t="array" aca="1" ref="J53" ca="1">OFFSET(Sheet1!$A$1,COLUMN()-6,ROW()-1,,)</f>
        <v>Si la réponse comporte moins de 2 étoiles OUI, merci de préciser votre réponse dans le champs ci-dessous :8</v>
      </c>
      <c r="K53" t="e" cm="1">
        <f t="array" aca="1" ref="K53" ca="1">OFFSET('3-evol'!$A$1,COLUMN()-11,ROW()-1,,)</f>
        <v>#DIV/0!</v>
      </c>
      <c r="L53" cm="1">
        <f t="array" aca="1" ref="L53" ca="1">OFFSET('3-evol'!$A$1,COLUMN()-11,ROW()-1,,)</f>
        <v>0</v>
      </c>
      <c r="M53" cm="1">
        <f t="array" aca="1" ref="M53" ca="1">OFFSET('3-evol'!$A$1,COLUMN()-11,ROW()-1,,)</f>
        <v>0</v>
      </c>
      <c r="N53" cm="1">
        <f t="array" aca="1" ref="N53" ca="1">OFFSET('3-evol'!$A$1,COLUMN()-11,ROW()-1,,)</f>
        <v>0</v>
      </c>
      <c r="O53" t="str" cm="1">
        <f t="array" aca="1" ref="O53" ca="1">OFFSET('3-evol'!$A$1,COLUMN()-11,ROW()-1,,)</f>
        <v>Si la réponse comporte moins de 2 étoiles OUI, merci de préciser votre réponse dans le champs ci-dessous :8</v>
      </c>
    </row>
    <row r="54" spans="1:15" hidden="1" x14ac:dyDescent="0.25">
      <c r="A54" t="e" cm="1">
        <f t="array" aca="1" ref="A54" ca="1">OFFSET('Sheet1 (2)'!$A$1,COLUMN()-1,ROW()-1,,)</f>
        <v>#DIV/0!</v>
      </c>
      <c r="B54" cm="1">
        <f t="array" aca="1" ref="B54" ca="1">OFFSET('Sheet1 (2)'!$A$1,COLUMN()-1,ROW()-1,,)</f>
        <v>0</v>
      </c>
      <c r="C54" cm="1">
        <f t="array" aca="1" ref="C54" ca="1">OFFSET('Sheet1 (2)'!$A$1,COLUMN()-1,ROW()-1,,)</f>
        <v>0</v>
      </c>
      <c r="D54" cm="1">
        <f t="array" aca="1" ref="D54" ca="1">OFFSET('Sheet1 (2)'!$A$1,COLUMN()-1,ROW()-1,,)</f>
        <v>0</v>
      </c>
      <c r="E54" t="str" cm="1">
        <f t="array" aca="1" ref="E54" ca="1">OFFSET('Sheet1 (2)'!$A$1,COLUMN()-1,ROW()-1,,)</f>
        <v>Feedback - Si la réponse comporte moins de 2 étoiles OUI, merci de préciser votre réponse dans le champs ci-dessous :8</v>
      </c>
      <c r="F54" s="3" t="e" cm="1">
        <f t="array" aca="1" ref="F54" ca="1">OFFSET(Sheet1!$A$1,COLUMN()-6,ROW()-1,,)</f>
        <v>#DIV/0!</v>
      </c>
      <c r="G54" cm="1">
        <f t="array" aca="1" ref="G54" ca="1">OFFSET(Sheet1!$A$1,COLUMN()-6,ROW()-1,,)</f>
        <v>0</v>
      </c>
      <c r="H54" cm="1">
        <f t="array" aca="1" ref="H54" ca="1">OFFSET(Sheet1!$A$1,COLUMN()-6,ROW()-1,,)</f>
        <v>0</v>
      </c>
      <c r="I54" cm="1">
        <f t="array" aca="1" ref="I54" ca="1">OFFSET(Sheet1!$A$1,COLUMN()-6,ROW()-1,,)</f>
        <v>0</v>
      </c>
      <c r="J54" s="2" t="str" cm="1">
        <f t="array" aca="1" ref="J54" ca="1">OFFSET(Sheet1!$A$1,COLUMN()-6,ROW()-1,,)</f>
        <v>Feedback - Si la réponse comporte moins de 2 étoiles OUI, merci de préciser votre réponse dans le champs ci-dessous :8</v>
      </c>
      <c r="K54" t="e" cm="1">
        <f t="array" aca="1" ref="K54" ca="1">OFFSET('3-evol'!$A$1,COLUMN()-11,ROW()-1,,)</f>
        <v>#DIV/0!</v>
      </c>
      <c r="L54" cm="1">
        <f t="array" aca="1" ref="L54" ca="1">OFFSET('3-evol'!$A$1,COLUMN()-11,ROW()-1,,)</f>
        <v>0</v>
      </c>
      <c r="M54" cm="1">
        <f t="array" aca="1" ref="M54" ca="1">OFFSET('3-evol'!$A$1,COLUMN()-11,ROW()-1,,)</f>
        <v>0</v>
      </c>
      <c r="N54" cm="1">
        <f t="array" aca="1" ref="N54" ca="1">OFFSET('3-evol'!$A$1,COLUMN()-11,ROW()-1,,)</f>
        <v>0</v>
      </c>
      <c r="O54" t="str" cm="1">
        <f t="array" aca="1" ref="O54" ca="1">OFFSET('3-evol'!$A$1,COLUMN()-11,ROW()-1,,)</f>
        <v>Feedback - Si la réponse comporte moins de 2 étoiles OUI, merci de préciser votre réponse dans le champs ci-dessous :8</v>
      </c>
    </row>
    <row r="55" spans="1:15" hidden="1" x14ac:dyDescent="0.25">
      <c r="A55" t="e" cm="1">
        <f t="array" aca="1" ref="A55" ca="1">OFFSET('Sheet1 (2)'!$A$1,COLUMN()-1,ROW()-1,,)</f>
        <v>#DIV/0!</v>
      </c>
      <c r="B55" cm="1">
        <f t="array" aca="1" ref="B55" ca="1">OFFSET('Sheet1 (2)'!$A$1,COLUMN()-1,ROW()-1,,)</f>
        <v>0</v>
      </c>
      <c r="C55" cm="1">
        <f t="array" aca="1" ref="C55" ca="1">OFFSET('Sheet1 (2)'!$A$1,COLUMN()-1,ROW()-1,,)</f>
        <v>0</v>
      </c>
      <c r="D55" cm="1">
        <f t="array" aca="1" ref="D55" ca="1">OFFSET('Sheet1 (2)'!$A$1,COLUMN()-1,ROW()-1,,)</f>
        <v>0</v>
      </c>
      <c r="E55" t="str" cm="1">
        <f t="array" aca="1" ref="E55" ca="1">OFFSET('Sheet1 (2)'!$A$1,COLUMN()-1,ROW()-1,,)</f>
        <v>Points - Si la réponse comporte moins de 2 étoiles OUI, merci de préciser votre réponse dans le champs ci-dessous :8</v>
      </c>
      <c r="F55" s="3" t="e" cm="1">
        <f t="array" aca="1" ref="F55" ca="1">OFFSET(Sheet1!$A$1,COLUMN()-6,ROW()-1,,)</f>
        <v>#DIV/0!</v>
      </c>
      <c r="G55" cm="1">
        <f t="array" aca="1" ref="G55" ca="1">OFFSET(Sheet1!$A$1,COLUMN()-6,ROW()-1,,)</f>
        <v>0</v>
      </c>
      <c r="H55" cm="1">
        <f t="array" aca="1" ref="H55" ca="1">OFFSET(Sheet1!$A$1,COLUMN()-6,ROW()-1,,)</f>
        <v>0</v>
      </c>
      <c r="I55" cm="1">
        <f t="array" aca="1" ref="I55" ca="1">OFFSET(Sheet1!$A$1,COLUMN()-6,ROW()-1,,)</f>
        <v>0</v>
      </c>
      <c r="J55" s="2" t="str" cm="1">
        <f t="array" aca="1" ref="J55" ca="1">OFFSET(Sheet1!$A$1,COLUMN()-6,ROW()-1,,)</f>
        <v>Points - Si la réponse comporte moins de 2 étoiles OUI, merci de préciser votre réponse dans le champs ci-dessous :8</v>
      </c>
      <c r="K55" t="e" cm="1">
        <f t="array" aca="1" ref="K55" ca="1">OFFSET('3-evol'!$A$1,COLUMN()-11,ROW()-1,,)</f>
        <v>#DIV/0!</v>
      </c>
      <c r="L55" cm="1">
        <f t="array" aca="1" ref="L55" ca="1">OFFSET('3-evol'!$A$1,COLUMN()-11,ROW()-1,,)</f>
        <v>0</v>
      </c>
      <c r="M55" cm="1">
        <f t="array" aca="1" ref="M55" ca="1">OFFSET('3-evol'!$A$1,COLUMN()-11,ROW()-1,,)</f>
        <v>0</v>
      </c>
      <c r="N55" cm="1">
        <f t="array" aca="1" ref="N55" ca="1">OFFSET('3-evol'!$A$1,COLUMN()-11,ROW()-1,,)</f>
        <v>0</v>
      </c>
      <c r="O55" t="str" cm="1">
        <f t="array" aca="1" ref="O55" ca="1">OFFSET('3-evol'!$A$1,COLUMN()-11,ROW()-1,,)</f>
        <v>Points - Si la réponse comporte moins de 2 étoiles OUI, merci de préciser votre réponse dans le champs ci-dessous :8</v>
      </c>
    </row>
    <row r="56" spans="1:15" x14ac:dyDescent="0.25">
      <c r="A56" cm="1">
        <f t="array" aca="1" ref="A56" ca="1">OFFSET('Sheet1 (2)'!$A$1,COLUMN()-1,ROW()-1,,)</f>
        <v>4.8571428571428568</v>
      </c>
      <c r="B56" cm="1">
        <f t="array" aca="1" ref="B56" ca="1">OFFSET('Sheet1 (2)'!$A$1,COLUMN()-1,ROW()-1,,)</f>
        <v>4</v>
      </c>
      <c r="C56" cm="1">
        <f t="array" aca="1" ref="C56" ca="1">OFFSET('Sheet1 (2)'!$A$1,COLUMN()-1,ROW()-1,,)</f>
        <v>5</v>
      </c>
      <c r="D56" cm="1">
        <f t="array" aca="1" ref="D56" ca="1">OFFSET('Sheet1 (2)'!$A$1,COLUMN()-1,ROW()-1,,)</f>
        <v>7</v>
      </c>
      <c r="E56" t="str" cm="1">
        <f t="array" aca="1" ref="E56" ca="1">OFFSET('Sheet1 (2)'!$A$1,COLUMN()-1,ROW()-1,,)</f>
        <v>RESISTANCE  : Les personnes impactées par ce changement démontrent l'engagement nécessaire pour réussir sa mise en place</v>
      </c>
      <c r="F56" s="3" cm="1">
        <f t="array" aca="1" ref="F56" ca="1">OFFSET(Sheet1!$A$1,COLUMN()-6,ROW()-1,,)</f>
        <v>4.1111111111111107</v>
      </c>
      <c r="G56" cm="1">
        <f t="array" aca="1" ref="G56" ca="1">OFFSET(Sheet1!$A$1,COLUMN()-6,ROW()-1,,)</f>
        <v>1</v>
      </c>
      <c r="H56" cm="1">
        <f t="array" aca="1" ref="H56" ca="1">OFFSET(Sheet1!$A$1,COLUMN()-6,ROW()-1,,)</f>
        <v>5</v>
      </c>
      <c r="I56" cm="1">
        <f t="array" aca="1" ref="I56" ca="1">OFFSET(Sheet1!$A$1,COLUMN()-6,ROW()-1,,)</f>
        <v>27</v>
      </c>
      <c r="J56" s="2" t="str" cm="1">
        <f t="array" aca="1" ref="J56" ca="1">OFFSET(Sheet1!$A$1,COLUMN()-6,ROW()-1,,)</f>
        <v>RESISTANCE  : Les personnes impactées par ce changement démontrent l'engagement nécessaire pour réussir sa mise en place</v>
      </c>
      <c r="K56" cm="1">
        <f t="array" aca="1" ref="K56" ca="1">OFFSET('3-evol'!$A$1,COLUMN()-11,ROW()-1,,)</f>
        <v>3.6842105263157894</v>
      </c>
      <c r="L56" cm="1">
        <f t="array" aca="1" ref="L56" ca="1">OFFSET('3-evol'!$A$1,COLUMN()-11,ROW()-1,,)</f>
        <v>1</v>
      </c>
      <c r="M56" cm="1">
        <f t="array" aca="1" ref="M56" ca="1">OFFSET('3-evol'!$A$1,COLUMN()-11,ROW()-1,,)</f>
        <v>5</v>
      </c>
      <c r="N56" cm="1">
        <f t="array" aca="1" ref="N56" ca="1">OFFSET('3-evol'!$A$1,COLUMN()-11,ROW()-1,,)</f>
        <v>19</v>
      </c>
      <c r="O56" t="str" cm="1">
        <f t="array" aca="1" ref="O56" ca="1">OFFSET('3-evol'!$A$1,COLUMN()-11,ROW()-1,,)</f>
        <v>RESISTANCE  : Les personnes impactées par ce changement démontrent l'engagement nécessaire pour réussir sa mise en place</v>
      </c>
    </row>
    <row r="57" spans="1:15" hidden="1" x14ac:dyDescent="0.25">
      <c r="A57" t="e" cm="1">
        <f t="array" aca="1" ref="A57" ca="1">OFFSET('Sheet1 (2)'!$A$1,COLUMN()-1,ROW()-1,,)</f>
        <v>#DIV/0!</v>
      </c>
      <c r="B57" cm="1">
        <f t="array" aca="1" ref="B57" ca="1">OFFSET('Sheet1 (2)'!$A$1,COLUMN()-1,ROW()-1,,)</f>
        <v>0</v>
      </c>
      <c r="C57" cm="1">
        <f t="array" aca="1" ref="C57" ca="1">OFFSET('Sheet1 (2)'!$A$1,COLUMN()-1,ROW()-1,,)</f>
        <v>0</v>
      </c>
      <c r="D57" cm="1">
        <f t="array" aca="1" ref="D57" ca="1">OFFSET('Sheet1 (2)'!$A$1,COLUMN()-1,ROW()-1,,)</f>
        <v>0</v>
      </c>
      <c r="E57" t="str" cm="1">
        <f t="array" aca="1" ref="E57" ca="1">OFFSET('Sheet1 (2)'!$A$1,COLUMN()-1,ROW()-1,,)</f>
        <v>Feedback - RESISTANCE  : Les personnes impactées par ce changement démontrent l'engagement nécessaire pour réussir sa mise en place</v>
      </c>
      <c r="F57" s="3" t="e" cm="1">
        <f t="array" aca="1" ref="F57" ca="1">OFFSET(Sheet1!$A$1,COLUMN()-6,ROW()-1,,)</f>
        <v>#DIV/0!</v>
      </c>
      <c r="G57" cm="1">
        <f t="array" aca="1" ref="G57" ca="1">OFFSET(Sheet1!$A$1,COLUMN()-6,ROW()-1,,)</f>
        <v>0</v>
      </c>
      <c r="H57" cm="1">
        <f t="array" aca="1" ref="H57" ca="1">OFFSET(Sheet1!$A$1,COLUMN()-6,ROW()-1,,)</f>
        <v>0</v>
      </c>
      <c r="I57" cm="1">
        <f t="array" aca="1" ref="I57" ca="1">OFFSET(Sheet1!$A$1,COLUMN()-6,ROW()-1,,)</f>
        <v>0</v>
      </c>
      <c r="J57" s="2" t="str" cm="1">
        <f t="array" aca="1" ref="J57" ca="1">OFFSET(Sheet1!$A$1,COLUMN()-6,ROW()-1,,)</f>
        <v>Feedback - RESISTANCE  : Les personnes impactées par ce changement démontrent l'engagement nécessaire pour réussir sa mise en place</v>
      </c>
      <c r="K57" t="e" cm="1">
        <f t="array" aca="1" ref="K57" ca="1">OFFSET('3-evol'!$A$1,COLUMN()-11,ROW()-1,,)</f>
        <v>#DIV/0!</v>
      </c>
      <c r="L57" cm="1">
        <f t="array" aca="1" ref="L57" ca="1">OFFSET('3-evol'!$A$1,COLUMN()-11,ROW()-1,,)</f>
        <v>0</v>
      </c>
      <c r="M57" cm="1">
        <f t="array" aca="1" ref="M57" ca="1">OFFSET('3-evol'!$A$1,COLUMN()-11,ROW()-1,,)</f>
        <v>0</v>
      </c>
      <c r="N57" cm="1">
        <f t="array" aca="1" ref="N57" ca="1">OFFSET('3-evol'!$A$1,COLUMN()-11,ROW()-1,,)</f>
        <v>0</v>
      </c>
      <c r="O57" t="str" cm="1">
        <f t="array" aca="1" ref="O57" ca="1">OFFSET('3-evol'!$A$1,COLUMN()-11,ROW()-1,,)</f>
        <v>Feedback - RESISTANCE  : Les personnes impactées par ce changement démontrent l'engagement nécessaire pour réussir sa mise en place</v>
      </c>
    </row>
    <row r="58" spans="1:15" hidden="1" x14ac:dyDescent="0.25">
      <c r="A58" t="e" cm="1">
        <f t="array" aca="1" ref="A58" ca="1">OFFSET('Sheet1 (2)'!$A$1,COLUMN()-1,ROW()-1,,)</f>
        <v>#DIV/0!</v>
      </c>
      <c r="B58" cm="1">
        <f t="array" aca="1" ref="B58" ca="1">OFFSET('Sheet1 (2)'!$A$1,COLUMN()-1,ROW()-1,,)</f>
        <v>0</v>
      </c>
      <c r="C58" cm="1">
        <f t="array" aca="1" ref="C58" ca="1">OFFSET('Sheet1 (2)'!$A$1,COLUMN()-1,ROW()-1,,)</f>
        <v>0</v>
      </c>
      <c r="D58" cm="1">
        <f t="array" aca="1" ref="D58" ca="1">OFFSET('Sheet1 (2)'!$A$1,COLUMN()-1,ROW()-1,,)</f>
        <v>0</v>
      </c>
      <c r="E58" t="str" cm="1">
        <f t="array" aca="1" ref="E58" ca="1">OFFSET('Sheet1 (2)'!$A$1,COLUMN()-1,ROW()-1,,)</f>
        <v>Points - RESISTANCE  : Les personnes impactées par ce changement démontrent l'engagement nécessaire pour réussir sa mise en place</v>
      </c>
      <c r="F58" s="3" t="e" cm="1">
        <f t="array" aca="1" ref="F58" ca="1">OFFSET(Sheet1!$A$1,COLUMN()-6,ROW()-1,,)</f>
        <v>#DIV/0!</v>
      </c>
      <c r="G58" cm="1">
        <f t="array" aca="1" ref="G58" ca="1">OFFSET(Sheet1!$A$1,COLUMN()-6,ROW()-1,,)</f>
        <v>0</v>
      </c>
      <c r="H58" cm="1">
        <f t="array" aca="1" ref="H58" ca="1">OFFSET(Sheet1!$A$1,COLUMN()-6,ROW()-1,,)</f>
        <v>0</v>
      </c>
      <c r="I58" cm="1">
        <f t="array" aca="1" ref="I58" ca="1">OFFSET(Sheet1!$A$1,COLUMN()-6,ROW()-1,,)</f>
        <v>0</v>
      </c>
      <c r="J58" s="2" t="str" cm="1">
        <f t="array" aca="1" ref="J58" ca="1">OFFSET(Sheet1!$A$1,COLUMN()-6,ROW()-1,,)</f>
        <v>Points - RESISTANCE  : Les personnes impactées par ce changement démontrent l'engagement nécessaire pour réussir sa mise en place</v>
      </c>
      <c r="K58" t="e" cm="1">
        <f t="array" aca="1" ref="K58" ca="1">OFFSET('3-evol'!$A$1,COLUMN()-11,ROW()-1,,)</f>
        <v>#DIV/0!</v>
      </c>
      <c r="L58" cm="1">
        <f t="array" aca="1" ref="L58" ca="1">OFFSET('3-evol'!$A$1,COLUMN()-11,ROW()-1,,)</f>
        <v>0</v>
      </c>
      <c r="M58" cm="1">
        <f t="array" aca="1" ref="M58" ca="1">OFFSET('3-evol'!$A$1,COLUMN()-11,ROW()-1,,)</f>
        <v>0</v>
      </c>
      <c r="N58" cm="1">
        <f t="array" aca="1" ref="N58" ca="1">OFFSET('3-evol'!$A$1,COLUMN()-11,ROW()-1,,)</f>
        <v>0</v>
      </c>
      <c r="O58" t="str" cm="1">
        <f t="array" aca="1" ref="O58" ca="1">OFFSET('3-evol'!$A$1,COLUMN()-11,ROW()-1,,)</f>
        <v>Points - RESISTANCE  : Les personnes impactées par ce changement démontrent l'engagement nécessaire pour réussir sa mise en place</v>
      </c>
    </row>
    <row r="59" spans="1:15" hidden="1" x14ac:dyDescent="0.25">
      <c r="A59" t="e" cm="1">
        <f t="array" aca="1" ref="A59" ca="1">OFFSET('Sheet1 (2)'!$A$1,COLUMN()-1,ROW()-1,,)</f>
        <v>#DIV/0!</v>
      </c>
      <c r="B59" cm="1">
        <f t="array" aca="1" ref="B59" ca="1">OFFSET('Sheet1 (2)'!$A$1,COLUMN()-1,ROW()-1,,)</f>
        <v>0</v>
      </c>
      <c r="C59" cm="1">
        <f t="array" aca="1" ref="C59" ca="1">OFFSET('Sheet1 (2)'!$A$1,COLUMN()-1,ROW()-1,,)</f>
        <v>0</v>
      </c>
      <c r="D59" cm="1">
        <f t="array" aca="1" ref="D59" ca="1">OFFSET('Sheet1 (2)'!$A$1,COLUMN()-1,ROW()-1,,)</f>
        <v>0</v>
      </c>
      <c r="E59" t="str" cm="1">
        <f t="array" aca="1" ref="E59" ca="1">OFFSET('Sheet1 (2)'!$A$1,COLUMN()-1,ROW()-1,,)</f>
        <v>Si la réponse comporte moins de 2 étoiles OUI, merci de préciser votre réponse dans le champs ci-dessous :9</v>
      </c>
      <c r="F59" s="3" t="e" cm="1">
        <f t="array" aca="1" ref="F59" ca="1">OFFSET(Sheet1!$A$1,COLUMN()-6,ROW()-1,,)</f>
        <v>#DIV/0!</v>
      </c>
      <c r="G59" cm="1">
        <f t="array" aca="1" ref="G59" ca="1">OFFSET(Sheet1!$A$1,COLUMN()-6,ROW()-1,,)</f>
        <v>0</v>
      </c>
      <c r="H59" cm="1">
        <f t="array" aca="1" ref="H59" ca="1">OFFSET(Sheet1!$A$1,COLUMN()-6,ROW()-1,,)</f>
        <v>0</v>
      </c>
      <c r="I59" cm="1">
        <f t="array" aca="1" ref="I59" ca="1">OFFSET(Sheet1!$A$1,COLUMN()-6,ROW()-1,,)</f>
        <v>0</v>
      </c>
      <c r="J59" s="2" t="str" cm="1">
        <f t="array" aca="1" ref="J59" ca="1">OFFSET(Sheet1!$A$1,COLUMN()-6,ROW()-1,,)</f>
        <v>Si la réponse comporte moins de 2 étoiles OUI, merci de préciser votre réponse dans le champs ci-dessous :9</v>
      </c>
      <c r="K59" t="e" cm="1">
        <f t="array" aca="1" ref="K59" ca="1">OFFSET('3-evol'!$A$1,COLUMN()-11,ROW()-1,,)</f>
        <v>#DIV/0!</v>
      </c>
      <c r="L59" cm="1">
        <f t="array" aca="1" ref="L59" ca="1">OFFSET('3-evol'!$A$1,COLUMN()-11,ROW()-1,,)</f>
        <v>0</v>
      </c>
      <c r="M59" cm="1">
        <f t="array" aca="1" ref="M59" ca="1">OFFSET('3-evol'!$A$1,COLUMN()-11,ROW()-1,,)</f>
        <v>0</v>
      </c>
      <c r="N59" cm="1">
        <f t="array" aca="1" ref="N59" ca="1">OFFSET('3-evol'!$A$1,COLUMN()-11,ROW()-1,,)</f>
        <v>0</v>
      </c>
      <c r="O59" t="str" cm="1">
        <f t="array" aca="1" ref="O59" ca="1">OFFSET('3-evol'!$A$1,COLUMN()-11,ROW()-1,,)</f>
        <v>Si la réponse comporte moins de 2 étoiles OUI, merci de préciser votre réponse dans le champs ci-dessous :9</v>
      </c>
    </row>
    <row r="60" spans="1:15" hidden="1" x14ac:dyDescent="0.25">
      <c r="A60" t="e" cm="1">
        <f t="array" aca="1" ref="A60" ca="1">OFFSET('Sheet1 (2)'!$A$1,COLUMN()-1,ROW()-1,,)</f>
        <v>#DIV/0!</v>
      </c>
      <c r="B60" cm="1">
        <f t="array" aca="1" ref="B60" ca="1">OFFSET('Sheet1 (2)'!$A$1,COLUMN()-1,ROW()-1,,)</f>
        <v>0</v>
      </c>
      <c r="C60" cm="1">
        <f t="array" aca="1" ref="C60" ca="1">OFFSET('Sheet1 (2)'!$A$1,COLUMN()-1,ROW()-1,,)</f>
        <v>0</v>
      </c>
      <c r="D60" cm="1">
        <f t="array" aca="1" ref="D60" ca="1">OFFSET('Sheet1 (2)'!$A$1,COLUMN()-1,ROW()-1,,)</f>
        <v>0</v>
      </c>
      <c r="E60" t="str" cm="1">
        <f t="array" aca="1" ref="E60" ca="1">OFFSET('Sheet1 (2)'!$A$1,COLUMN()-1,ROW()-1,,)</f>
        <v>Feedback - Si la réponse comporte moins de 2 étoiles OUI, merci de préciser votre réponse dans le champs ci-dessous :9</v>
      </c>
      <c r="F60" s="3" t="e" cm="1">
        <f t="array" aca="1" ref="F60" ca="1">OFFSET(Sheet1!$A$1,COLUMN()-6,ROW()-1,,)</f>
        <v>#DIV/0!</v>
      </c>
      <c r="G60" cm="1">
        <f t="array" aca="1" ref="G60" ca="1">OFFSET(Sheet1!$A$1,COLUMN()-6,ROW()-1,,)</f>
        <v>0</v>
      </c>
      <c r="H60" cm="1">
        <f t="array" aca="1" ref="H60" ca="1">OFFSET(Sheet1!$A$1,COLUMN()-6,ROW()-1,,)</f>
        <v>0</v>
      </c>
      <c r="I60" cm="1">
        <f t="array" aca="1" ref="I60" ca="1">OFFSET(Sheet1!$A$1,COLUMN()-6,ROW()-1,,)</f>
        <v>0</v>
      </c>
      <c r="J60" s="2" t="str" cm="1">
        <f t="array" aca="1" ref="J60" ca="1">OFFSET(Sheet1!$A$1,COLUMN()-6,ROW()-1,,)</f>
        <v>Feedback - Si la réponse comporte moins de 2 étoiles OUI, merci de préciser votre réponse dans le champs ci-dessous :9</v>
      </c>
      <c r="K60" t="e" cm="1">
        <f t="array" aca="1" ref="K60" ca="1">OFFSET('3-evol'!$A$1,COLUMN()-11,ROW()-1,,)</f>
        <v>#DIV/0!</v>
      </c>
      <c r="L60" cm="1">
        <f t="array" aca="1" ref="L60" ca="1">OFFSET('3-evol'!$A$1,COLUMN()-11,ROW()-1,,)</f>
        <v>0</v>
      </c>
      <c r="M60" cm="1">
        <f t="array" aca="1" ref="M60" ca="1">OFFSET('3-evol'!$A$1,COLUMN()-11,ROW()-1,,)</f>
        <v>0</v>
      </c>
      <c r="N60" cm="1">
        <f t="array" aca="1" ref="N60" ca="1">OFFSET('3-evol'!$A$1,COLUMN()-11,ROW()-1,,)</f>
        <v>0</v>
      </c>
      <c r="O60" t="str" cm="1">
        <f t="array" aca="1" ref="O60" ca="1">OFFSET('3-evol'!$A$1,COLUMN()-11,ROW()-1,,)</f>
        <v>Feedback - Si la réponse comporte moins de 2 étoiles OUI, merci de préciser votre réponse dans le champs ci-dessous :9</v>
      </c>
    </row>
    <row r="61" spans="1:15" hidden="1" x14ac:dyDescent="0.25">
      <c r="A61" t="e" cm="1">
        <f t="array" aca="1" ref="A61" ca="1">OFFSET('Sheet1 (2)'!$A$1,COLUMN()-1,ROW()-1,,)</f>
        <v>#DIV/0!</v>
      </c>
      <c r="B61" cm="1">
        <f t="array" aca="1" ref="B61" ca="1">OFFSET('Sheet1 (2)'!$A$1,COLUMN()-1,ROW()-1,,)</f>
        <v>0</v>
      </c>
      <c r="C61" cm="1">
        <f t="array" aca="1" ref="C61" ca="1">OFFSET('Sheet1 (2)'!$A$1,COLUMN()-1,ROW()-1,,)</f>
        <v>0</v>
      </c>
      <c r="D61" cm="1">
        <f t="array" aca="1" ref="D61" ca="1">OFFSET('Sheet1 (2)'!$A$1,COLUMN()-1,ROW()-1,,)</f>
        <v>0</v>
      </c>
      <c r="E61" t="str" cm="1">
        <f t="array" aca="1" ref="E61" ca="1">OFFSET('Sheet1 (2)'!$A$1,COLUMN()-1,ROW()-1,,)</f>
        <v>Points - Si la réponse comporte moins de 2 étoiles OUI, merci de préciser votre réponse dans le champs ci-dessous :9</v>
      </c>
      <c r="F61" s="3" t="e" cm="1">
        <f t="array" aca="1" ref="F61" ca="1">OFFSET(Sheet1!$A$1,COLUMN()-6,ROW()-1,,)</f>
        <v>#DIV/0!</v>
      </c>
      <c r="G61" cm="1">
        <f t="array" aca="1" ref="G61" ca="1">OFFSET(Sheet1!$A$1,COLUMN()-6,ROW()-1,,)</f>
        <v>0</v>
      </c>
      <c r="H61" cm="1">
        <f t="array" aca="1" ref="H61" ca="1">OFFSET(Sheet1!$A$1,COLUMN()-6,ROW()-1,,)</f>
        <v>0</v>
      </c>
      <c r="I61" cm="1">
        <f t="array" aca="1" ref="I61" ca="1">OFFSET(Sheet1!$A$1,COLUMN()-6,ROW()-1,,)</f>
        <v>0</v>
      </c>
      <c r="J61" s="2" t="str" cm="1">
        <f t="array" aca="1" ref="J61" ca="1">OFFSET(Sheet1!$A$1,COLUMN()-6,ROW()-1,,)</f>
        <v>Points - Si la réponse comporte moins de 2 étoiles OUI, merci de préciser votre réponse dans le champs ci-dessous :9</v>
      </c>
      <c r="K61" t="e" cm="1">
        <f t="array" aca="1" ref="K61" ca="1">OFFSET('3-evol'!$A$1,COLUMN()-11,ROW()-1,,)</f>
        <v>#DIV/0!</v>
      </c>
      <c r="L61" cm="1">
        <f t="array" aca="1" ref="L61" ca="1">OFFSET('3-evol'!$A$1,COLUMN()-11,ROW()-1,,)</f>
        <v>0</v>
      </c>
      <c r="M61" cm="1">
        <f t="array" aca="1" ref="M61" ca="1">OFFSET('3-evol'!$A$1,COLUMN()-11,ROW()-1,,)</f>
        <v>0</v>
      </c>
      <c r="N61" cm="1">
        <f t="array" aca="1" ref="N61" ca="1">OFFSET('3-evol'!$A$1,COLUMN()-11,ROW()-1,,)</f>
        <v>0</v>
      </c>
      <c r="O61" t="str" cm="1">
        <f t="array" aca="1" ref="O61" ca="1">OFFSET('3-evol'!$A$1,COLUMN()-11,ROW()-1,,)</f>
        <v>Points - Si la réponse comporte moins de 2 étoiles OUI, merci de préciser votre réponse dans le champs ci-dessous :9</v>
      </c>
    </row>
    <row r="62" spans="1:15" x14ac:dyDescent="0.25">
      <c r="A62" cm="1">
        <f t="array" aca="1" ref="A62" ca="1">OFFSET('Sheet1 (2)'!$A$1,COLUMN()-1,ROW()-1,,)</f>
        <v>4.4285714285714288</v>
      </c>
      <c r="B62" cm="1">
        <f t="array" aca="1" ref="B62" ca="1">OFFSET('Sheet1 (2)'!$A$1,COLUMN()-1,ROW()-1,,)</f>
        <v>4</v>
      </c>
      <c r="C62" cm="1">
        <f t="array" aca="1" ref="C62" ca="1">OFFSET('Sheet1 (2)'!$A$1,COLUMN()-1,ROW()-1,,)</f>
        <v>5</v>
      </c>
      <c r="D62" cm="1">
        <f t="array" aca="1" ref="D62" ca="1">OFFSET('Sheet1 (2)'!$A$1,COLUMN()-1,ROW()-1,,)</f>
        <v>7</v>
      </c>
      <c r="E62" t="str" cm="1">
        <f t="array" aca="1" ref="E62" ca="1">OFFSET('Sheet1 (2)'!$A$1,COLUMN()-1,ROW()-1,,)</f>
        <v>SYNERGIE : Nos efforts de collaboration pour ce projet nous font gagner du temps plus qu’il n’en coute</v>
      </c>
      <c r="F62" s="3" cm="1">
        <f t="array" aca="1" ref="F62" ca="1">OFFSET(Sheet1!$A$1,COLUMN()-6,ROW()-1,,)</f>
        <v>3.7777777777777777</v>
      </c>
      <c r="G62" cm="1">
        <f t="array" aca="1" ref="G62" ca="1">OFFSET(Sheet1!$A$1,COLUMN()-6,ROW()-1,,)</f>
        <v>1</v>
      </c>
      <c r="H62" cm="1">
        <f t="array" aca="1" ref="H62" ca="1">OFFSET(Sheet1!$A$1,COLUMN()-6,ROW()-1,,)</f>
        <v>5</v>
      </c>
      <c r="I62" cm="1">
        <f t="array" aca="1" ref="I62" ca="1">OFFSET(Sheet1!$A$1,COLUMN()-6,ROW()-1,,)</f>
        <v>27</v>
      </c>
      <c r="J62" s="2" t="str" cm="1">
        <f t="array" aca="1" ref="J62" ca="1">OFFSET(Sheet1!$A$1,COLUMN()-6,ROW()-1,,)</f>
        <v>SYNERGIE : Nos efforts de collaboration pour ce projet nous font gagner du temps plus qu’il n’en coute</v>
      </c>
      <c r="K62" cm="1">
        <f t="array" aca="1" ref="K62" ca="1">OFFSET('3-evol'!$A$1,COLUMN()-11,ROW()-1,,)</f>
        <v>3</v>
      </c>
      <c r="L62" cm="1">
        <f t="array" aca="1" ref="L62" ca="1">OFFSET('3-evol'!$A$1,COLUMN()-11,ROW()-1,,)</f>
        <v>1</v>
      </c>
      <c r="M62" cm="1">
        <f t="array" aca="1" ref="M62" ca="1">OFFSET('3-evol'!$A$1,COLUMN()-11,ROW()-1,,)</f>
        <v>5</v>
      </c>
      <c r="N62" cm="1">
        <f t="array" aca="1" ref="N62" ca="1">OFFSET('3-evol'!$A$1,COLUMN()-11,ROW()-1,,)</f>
        <v>19</v>
      </c>
      <c r="O62" t="str" cm="1">
        <f t="array" aca="1" ref="O62" ca="1">OFFSET('3-evol'!$A$1,COLUMN()-11,ROW()-1,,)</f>
        <v>SYNERGIE : Nos efforts de collaboration pour ce projet nous font gagner du temps plus qu’il n’en coute</v>
      </c>
    </row>
    <row r="63" spans="1:15" hidden="1" x14ac:dyDescent="0.25">
      <c r="A63" t="e" cm="1">
        <f t="array" aca="1" ref="A63" ca="1">OFFSET('Sheet1 (2)'!$A$1,COLUMN()-1,ROW()-1,,)</f>
        <v>#DIV/0!</v>
      </c>
      <c r="B63" cm="1">
        <f t="array" aca="1" ref="B63" ca="1">OFFSET('Sheet1 (2)'!$A$1,COLUMN()-1,ROW()-1,,)</f>
        <v>0</v>
      </c>
      <c r="C63" cm="1">
        <f t="array" aca="1" ref="C63" ca="1">OFFSET('Sheet1 (2)'!$A$1,COLUMN()-1,ROW()-1,,)</f>
        <v>0</v>
      </c>
      <c r="D63" cm="1">
        <f t="array" aca="1" ref="D63" ca="1">OFFSET('Sheet1 (2)'!$A$1,COLUMN()-1,ROW()-1,,)</f>
        <v>0</v>
      </c>
      <c r="E63" t="str" cm="1">
        <f t="array" aca="1" ref="E63" ca="1">OFFSET('Sheet1 (2)'!$A$1,COLUMN()-1,ROW()-1,,)</f>
        <v>Feedback - SYNERGIE : Nos efforts de collaboration pour ce projet nous font gagner du temps plus qu’il n’en coute</v>
      </c>
      <c r="F63" s="3" t="e" cm="1">
        <f t="array" aca="1" ref="F63" ca="1">OFFSET(Sheet1!$A$1,COLUMN()-6,ROW()-1,,)</f>
        <v>#DIV/0!</v>
      </c>
      <c r="G63" cm="1">
        <f t="array" aca="1" ref="G63" ca="1">OFFSET(Sheet1!$A$1,COLUMN()-6,ROW()-1,,)</f>
        <v>0</v>
      </c>
      <c r="H63" cm="1">
        <f t="array" aca="1" ref="H63" ca="1">OFFSET(Sheet1!$A$1,COLUMN()-6,ROW()-1,,)</f>
        <v>0</v>
      </c>
      <c r="I63" cm="1">
        <f t="array" aca="1" ref="I63" ca="1">OFFSET(Sheet1!$A$1,COLUMN()-6,ROW()-1,,)</f>
        <v>0</v>
      </c>
      <c r="J63" s="2" t="str" cm="1">
        <f t="array" aca="1" ref="J63" ca="1">OFFSET(Sheet1!$A$1,COLUMN()-6,ROW()-1,,)</f>
        <v>Feedback - SYNERGIE : Nos efforts de collaboration pour ce projet nous font gagner du temps plus qu’il n’en coute</v>
      </c>
      <c r="K63" t="e" cm="1">
        <f t="array" aca="1" ref="K63" ca="1">OFFSET('3-evol'!$A$1,COLUMN()-11,ROW()-1,,)</f>
        <v>#DIV/0!</v>
      </c>
      <c r="L63" cm="1">
        <f t="array" aca="1" ref="L63" ca="1">OFFSET('3-evol'!$A$1,COLUMN()-11,ROW()-1,,)</f>
        <v>0</v>
      </c>
      <c r="M63" cm="1">
        <f t="array" aca="1" ref="M63" ca="1">OFFSET('3-evol'!$A$1,COLUMN()-11,ROW()-1,,)</f>
        <v>0</v>
      </c>
      <c r="N63" cm="1">
        <f t="array" aca="1" ref="N63" ca="1">OFFSET('3-evol'!$A$1,COLUMN()-11,ROW()-1,,)</f>
        <v>0</v>
      </c>
      <c r="O63" t="str" cm="1">
        <f t="array" aca="1" ref="O63" ca="1">OFFSET('3-evol'!$A$1,COLUMN()-11,ROW()-1,,)</f>
        <v>Feedback - SYNERGIE : Nos efforts de collaboration pour ce projet nous font gagner du temps plus qu’il n’en coute</v>
      </c>
    </row>
    <row r="64" spans="1:15" hidden="1" x14ac:dyDescent="0.25">
      <c r="A64" t="e" cm="1">
        <f t="array" aca="1" ref="A64" ca="1">OFFSET('Sheet1 (2)'!$A$1,COLUMN()-1,ROW()-1,,)</f>
        <v>#DIV/0!</v>
      </c>
      <c r="B64" cm="1">
        <f t="array" aca="1" ref="B64" ca="1">OFFSET('Sheet1 (2)'!$A$1,COLUMN()-1,ROW()-1,,)</f>
        <v>0</v>
      </c>
      <c r="C64" cm="1">
        <f t="array" aca="1" ref="C64" ca="1">OFFSET('Sheet1 (2)'!$A$1,COLUMN()-1,ROW()-1,,)</f>
        <v>0</v>
      </c>
      <c r="D64" cm="1">
        <f t="array" aca="1" ref="D64" ca="1">OFFSET('Sheet1 (2)'!$A$1,COLUMN()-1,ROW()-1,,)</f>
        <v>0</v>
      </c>
      <c r="E64" t="str" cm="1">
        <f t="array" aca="1" ref="E64" ca="1">OFFSET('Sheet1 (2)'!$A$1,COLUMN()-1,ROW()-1,,)</f>
        <v>Points - SYNERGIE : Nos efforts de collaboration pour ce projet nous font gagner du temps plus qu’il n’en coute</v>
      </c>
      <c r="F64" s="3" t="e" cm="1">
        <f t="array" aca="1" ref="F64" ca="1">OFFSET(Sheet1!$A$1,COLUMN()-6,ROW()-1,,)</f>
        <v>#DIV/0!</v>
      </c>
      <c r="G64" cm="1">
        <f t="array" aca="1" ref="G64" ca="1">OFFSET(Sheet1!$A$1,COLUMN()-6,ROW()-1,,)</f>
        <v>0</v>
      </c>
      <c r="H64" cm="1">
        <f t="array" aca="1" ref="H64" ca="1">OFFSET(Sheet1!$A$1,COLUMN()-6,ROW()-1,,)</f>
        <v>0</v>
      </c>
      <c r="I64" cm="1">
        <f t="array" aca="1" ref="I64" ca="1">OFFSET(Sheet1!$A$1,COLUMN()-6,ROW()-1,,)</f>
        <v>0</v>
      </c>
      <c r="J64" s="2" t="str" cm="1">
        <f t="array" aca="1" ref="J64" ca="1">OFFSET(Sheet1!$A$1,COLUMN()-6,ROW()-1,,)</f>
        <v>Points - SYNERGIE : Nos efforts de collaboration pour ce projet nous font gagner du temps plus qu’il n’en coute</v>
      </c>
      <c r="K64" t="e" cm="1">
        <f t="array" aca="1" ref="K64" ca="1">OFFSET('3-evol'!$A$1,COLUMN()-11,ROW()-1,,)</f>
        <v>#DIV/0!</v>
      </c>
      <c r="L64" cm="1">
        <f t="array" aca="1" ref="L64" ca="1">OFFSET('3-evol'!$A$1,COLUMN()-11,ROW()-1,,)</f>
        <v>0</v>
      </c>
      <c r="M64" cm="1">
        <f t="array" aca="1" ref="M64" ca="1">OFFSET('3-evol'!$A$1,COLUMN()-11,ROW()-1,,)</f>
        <v>0</v>
      </c>
      <c r="N64" cm="1">
        <f t="array" aca="1" ref="N64" ca="1">OFFSET('3-evol'!$A$1,COLUMN()-11,ROW()-1,,)</f>
        <v>0</v>
      </c>
      <c r="O64" t="str" cm="1">
        <f t="array" aca="1" ref="O64" ca="1">OFFSET('3-evol'!$A$1,COLUMN()-11,ROW()-1,,)</f>
        <v>Points - SYNERGIE : Nos efforts de collaboration pour ce projet nous font gagner du temps plus qu’il n’en coute</v>
      </c>
    </row>
    <row r="65" spans="1:15" hidden="1" x14ac:dyDescent="0.25">
      <c r="A65" t="e" cm="1">
        <f t="array" aca="1" ref="A65" ca="1">OFFSET('Sheet1 (2)'!$A$1,COLUMN()-1,ROW()-1,,)</f>
        <v>#DIV/0!</v>
      </c>
      <c r="B65" cm="1">
        <f t="array" aca="1" ref="B65" ca="1">OFFSET('Sheet1 (2)'!$A$1,COLUMN()-1,ROW()-1,,)</f>
        <v>0</v>
      </c>
      <c r="C65" cm="1">
        <f t="array" aca="1" ref="C65" ca="1">OFFSET('Sheet1 (2)'!$A$1,COLUMN()-1,ROW()-1,,)</f>
        <v>0</v>
      </c>
      <c r="D65" cm="1">
        <f t="array" aca="1" ref="D65" ca="1">OFFSET('Sheet1 (2)'!$A$1,COLUMN()-1,ROW()-1,,)</f>
        <v>0</v>
      </c>
      <c r="E65" t="str" cm="1">
        <f t="array" aca="1" ref="E65" ca="1">OFFSET('Sheet1 (2)'!$A$1,COLUMN()-1,ROW()-1,,)</f>
        <v>Si la réponse comporte moins de 2 étoiles OUI, merci de préciser votre réponse dans le champs ci-dessous :10</v>
      </c>
      <c r="F65" s="3" t="e" cm="1">
        <f t="array" aca="1" ref="F65" ca="1">OFFSET(Sheet1!$A$1,COLUMN()-6,ROW()-1,,)</f>
        <v>#DIV/0!</v>
      </c>
      <c r="G65" cm="1">
        <f t="array" aca="1" ref="G65" ca="1">OFFSET(Sheet1!$A$1,COLUMN()-6,ROW()-1,,)</f>
        <v>0</v>
      </c>
      <c r="H65" cm="1">
        <f t="array" aca="1" ref="H65" ca="1">OFFSET(Sheet1!$A$1,COLUMN()-6,ROW()-1,,)</f>
        <v>0</v>
      </c>
      <c r="I65" cm="1">
        <f t="array" aca="1" ref="I65" ca="1">OFFSET(Sheet1!$A$1,COLUMN()-6,ROW()-1,,)</f>
        <v>0</v>
      </c>
      <c r="J65" s="2" t="str" cm="1">
        <f t="array" aca="1" ref="J65" ca="1">OFFSET(Sheet1!$A$1,COLUMN()-6,ROW()-1,,)</f>
        <v>Si la réponse comporte moins de 2 étoiles OUI, merci de préciser votre réponse dans le champs ci-dessous :10</v>
      </c>
      <c r="K65" t="e" cm="1">
        <f t="array" aca="1" ref="K65" ca="1">OFFSET('3-evol'!$A$1,COLUMN()-11,ROW()-1,,)</f>
        <v>#DIV/0!</v>
      </c>
      <c r="L65" cm="1">
        <f t="array" aca="1" ref="L65" ca="1">OFFSET('3-evol'!$A$1,COLUMN()-11,ROW()-1,,)</f>
        <v>0</v>
      </c>
      <c r="M65" cm="1">
        <f t="array" aca="1" ref="M65" ca="1">OFFSET('3-evol'!$A$1,COLUMN()-11,ROW()-1,,)</f>
        <v>0</v>
      </c>
      <c r="N65" cm="1">
        <f t="array" aca="1" ref="N65" ca="1">OFFSET('3-evol'!$A$1,COLUMN()-11,ROW()-1,,)</f>
        <v>0</v>
      </c>
      <c r="O65" t="str" cm="1">
        <f t="array" aca="1" ref="O65" ca="1">OFFSET('3-evol'!$A$1,COLUMN()-11,ROW()-1,,)</f>
        <v>Si la réponse comporte moins de 2 étoiles OUI, merci de préciser votre réponse dans le champs ci-dessous :10</v>
      </c>
    </row>
    <row r="66" spans="1:15" hidden="1" x14ac:dyDescent="0.25">
      <c r="A66" t="e" cm="1">
        <f t="array" aca="1" ref="A66" ca="1">OFFSET('Sheet1 (2)'!$A$1,COLUMN()-1,ROW()-1,,)</f>
        <v>#DIV/0!</v>
      </c>
      <c r="B66" cm="1">
        <f t="array" aca="1" ref="B66" ca="1">OFFSET('Sheet1 (2)'!$A$1,COLUMN()-1,ROW()-1,,)</f>
        <v>0</v>
      </c>
      <c r="C66" cm="1">
        <f t="array" aca="1" ref="C66" ca="1">OFFSET('Sheet1 (2)'!$A$1,COLUMN()-1,ROW()-1,,)</f>
        <v>0</v>
      </c>
      <c r="D66" cm="1">
        <f t="array" aca="1" ref="D66" ca="1">OFFSET('Sheet1 (2)'!$A$1,COLUMN()-1,ROW()-1,,)</f>
        <v>0</v>
      </c>
      <c r="E66" t="str" cm="1">
        <f t="array" aca="1" ref="E66" ca="1">OFFSET('Sheet1 (2)'!$A$1,COLUMN()-1,ROW()-1,,)</f>
        <v>Feedback - Si la réponse comporte moins de 2 étoiles OUI, merci de préciser votre réponse dans le champs ci-dessous :10</v>
      </c>
      <c r="F66" s="3" t="e" cm="1">
        <f t="array" aca="1" ref="F66" ca="1">OFFSET(Sheet1!$A$1,COLUMN()-6,ROW()-1,,)</f>
        <v>#DIV/0!</v>
      </c>
      <c r="G66" cm="1">
        <f t="array" aca="1" ref="G66" ca="1">OFFSET(Sheet1!$A$1,COLUMN()-6,ROW()-1,,)</f>
        <v>0</v>
      </c>
      <c r="H66" cm="1">
        <f t="array" aca="1" ref="H66" ca="1">OFFSET(Sheet1!$A$1,COLUMN()-6,ROW()-1,,)</f>
        <v>0</v>
      </c>
      <c r="I66" cm="1">
        <f t="array" aca="1" ref="I66" ca="1">OFFSET(Sheet1!$A$1,COLUMN()-6,ROW()-1,,)</f>
        <v>0</v>
      </c>
      <c r="J66" s="2" t="str" cm="1">
        <f t="array" aca="1" ref="J66" ca="1">OFFSET(Sheet1!$A$1,COLUMN()-6,ROW()-1,,)</f>
        <v>Feedback - Si la réponse comporte moins de 2 étoiles OUI, merci de préciser votre réponse dans le champs ci-dessous :10</v>
      </c>
      <c r="K66" t="e" cm="1">
        <f t="array" aca="1" ref="K66" ca="1">OFFSET('3-evol'!$A$1,COLUMN()-11,ROW()-1,,)</f>
        <v>#DIV/0!</v>
      </c>
      <c r="L66" cm="1">
        <f t="array" aca="1" ref="L66" ca="1">OFFSET('3-evol'!$A$1,COLUMN()-11,ROW()-1,,)</f>
        <v>0</v>
      </c>
      <c r="M66" cm="1">
        <f t="array" aca="1" ref="M66" ca="1">OFFSET('3-evol'!$A$1,COLUMN()-11,ROW()-1,,)</f>
        <v>0</v>
      </c>
      <c r="N66" cm="1">
        <f t="array" aca="1" ref="N66" ca="1">OFFSET('3-evol'!$A$1,COLUMN()-11,ROW()-1,,)</f>
        <v>0</v>
      </c>
      <c r="O66" t="str" cm="1">
        <f t="array" aca="1" ref="O66" ca="1">OFFSET('3-evol'!$A$1,COLUMN()-11,ROW()-1,,)</f>
        <v>Feedback - Si la réponse comporte moins de 2 étoiles OUI, merci de préciser votre réponse dans le champs ci-dessous :10</v>
      </c>
    </row>
    <row r="67" spans="1:15" hidden="1" x14ac:dyDescent="0.25">
      <c r="A67" t="e" cm="1">
        <f t="array" aca="1" ref="A67" ca="1">OFFSET('Sheet1 (2)'!$A$1,COLUMN()-1,ROW()-1,,)</f>
        <v>#DIV/0!</v>
      </c>
      <c r="B67" cm="1">
        <f t="array" aca="1" ref="B67" ca="1">OFFSET('Sheet1 (2)'!$A$1,COLUMN()-1,ROW()-1,,)</f>
        <v>0</v>
      </c>
      <c r="C67" cm="1">
        <f t="array" aca="1" ref="C67" ca="1">OFFSET('Sheet1 (2)'!$A$1,COLUMN()-1,ROW()-1,,)</f>
        <v>0</v>
      </c>
      <c r="D67" cm="1">
        <f t="array" aca="1" ref="D67" ca="1">OFFSET('Sheet1 (2)'!$A$1,COLUMN()-1,ROW()-1,,)</f>
        <v>0</v>
      </c>
      <c r="E67" t="str" cm="1">
        <f t="array" aca="1" ref="E67" ca="1">OFFSET('Sheet1 (2)'!$A$1,COLUMN()-1,ROW()-1,,)</f>
        <v>Points - Si la réponse comporte moins de 2 étoiles OUI, merci de préciser votre réponse dans le champs ci-dessous :10</v>
      </c>
      <c r="F67" s="3" t="e" cm="1">
        <f t="array" aca="1" ref="F67" ca="1">OFFSET(Sheet1!$A$1,COLUMN()-6,ROW()-1,,)</f>
        <v>#DIV/0!</v>
      </c>
      <c r="G67" cm="1">
        <f t="array" aca="1" ref="G67" ca="1">OFFSET(Sheet1!$A$1,COLUMN()-6,ROW()-1,,)</f>
        <v>0</v>
      </c>
      <c r="H67" cm="1">
        <f t="array" aca="1" ref="H67" ca="1">OFFSET(Sheet1!$A$1,COLUMN()-6,ROW()-1,,)</f>
        <v>0</v>
      </c>
      <c r="I67" cm="1">
        <f t="array" aca="1" ref="I67" ca="1">OFFSET(Sheet1!$A$1,COLUMN()-6,ROW()-1,,)</f>
        <v>0</v>
      </c>
      <c r="J67" s="2" t="str" cm="1">
        <f t="array" aca="1" ref="J67" ca="1">OFFSET(Sheet1!$A$1,COLUMN()-6,ROW()-1,,)</f>
        <v>Points - Si la réponse comporte moins de 2 étoiles OUI, merci de préciser votre réponse dans le champs ci-dessous :10</v>
      </c>
      <c r="K67" t="e" cm="1">
        <f t="array" aca="1" ref="K67" ca="1">OFFSET('3-evol'!$A$1,COLUMN()-11,ROW()-1,,)</f>
        <v>#DIV/0!</v>
      </c>
      <c r="L67" cm="1">
        <f t="array" aca="1" ref="L67" ca="1">OFFSET('3-evol'!$A$1,COLUMN()-11,ROW()-1,,)</f>
        <v>0</v>
      </c>
      <c r="M67" cm="1">
        <f t="array" aca="1" ref="M67" ca="1">OFFSET('3-evol'!$A$1,COLUMN()-11,ROW()-1,,)</f>
        <v>0</v>
      </c>
      <c r="N67" cm="1">
        <f t="array" aca="1" ref="N67" ca="1">OFFSET('3-evol'!$A$1,COLUMN()-11,ROW()-1,,)</f>
        <v>0</v>
      </c>
      <c r="O67" t="str" cm="1">
        <f t="array" aca="1" ref="O67" ca="1">OFFSET('3-evol'!$A$1,COLUMN()-11,ROW()-1,,)</f>
        <v>Points - Si la réponse comporte moins de 2 étoiles OUI, merci de préciser votre réponse dans le champs ci-dessous :10</v>
      </c>
    </row>
    <row r="68" spans="1:15" x14ac:dyDescent="0.25">
      <c r="A68" cm="1">
        <f t="array" aca="1" ref="A68" ca="1">OFFSET('Sheet1 (2)'!$A$1,COLUMN()-1,ROW()-1,,)</f>
        <v>4.5714285714285712</v>
      </c>
      <c r="B68" cm="1">
        <f t="array" aca="1" ref="B68" ca="1">OFFSET('Sheet1 (2)'!$A$1,COLUMN()-1,ROW()-1,,)</f>
        <v>4</v>
      </c>
      <c r="C68" cm="1">
        <f t="array" aca="1" ref="C68" ca="1">OFFSET('Sheet1 (2)'!$A$1,COLUMN()-1,ROW()-1,,)</f>
        <v>5</v>
      </c>
      <c r="D68" cm="1">
        <f t="array" aca="1" ref="D68" ca="1">OFFSET('Sheet1 (2)'!$A$1,COLUMN()-1,ROW()-1,,)</f>
        <v>7</v>
      </c>
      <c r="E68" t="str" cm="1">
        <f t="array" aca="1" ref="E68" ca="1">OFFSET('Sheet1 (2)'!$A$1,COLUMN()-1,ROW()-1,,)</f>
        <v>PARTENARIAT : Nos interactions avec des partenaires externes sont suffisantes pour supporter ce changement</v>
      </c>
      <c r="F68" s="3" cm="1">
        <f t="array" aca="1" ref="F68" ca="1">OFFSET(Sheet1!$A$1,COLUMN()-6,ROW()-1,,)</f>
        <v>3.7037037037037037</v>
      </c>
      <c r="G68" cm="1">
        <f t="array" aca="1" ref="G68" ca="1">OFFSET(Sheet1!$A$1,COLUMN()-6,ROW()-1,,)</f>
        <v>3</v>
      </c>
      <c r="H68" cm="1">
        <f t="array" aca="1" ref="H68" ca="1">OFFSET(Sheet1!$A$1,COLUMN()-6,ROW()-1,,)</f>
        <v>5</v>
      </c>
      <c r="I68" cm="1">
        <f t="array" aca="1" ref="I68" ca="1">OFFSET(Sheet1!$A$1,COLUMN()-6,ROW()-1,,)</f>
        <v>27</v>
      </c>
      <c r="J68" s="2" t="str" cm="1">
        <f t="array" aca="1" ref="J68" ca="1">OFFSET(Sheet1!$A$1,COLUMN()-6,ROW()-1,,)</f>
        <v>PARTENARIAT : Nos interactions avec des partenaires externes sont suffisantes pour supporter ce changement</v>
      </c>
      <c r="K68" cm="1">
        <f t="array" aca="1" ref="K68" ca="1">OFFSET('3-evol'!$A$1,COLUMN()-11,ROW()-1,,)</f>
        <v>3</v>
      </c>
      <c r="L68" cm="1">
        <f t="array" aca="1" ref="L68" ca="1">OFFSET('3-evol'!$A$1,COLUMN()-11,ROW()-1,,)</f>
        <v>1</v>
      </c>
      <c r="M68" cm="1">
        <f t="array" aca="1" ref="M68" ca="1">OFFSET('3-evol'!$A$1,COLUMN()-11,ROW()-1,,)</f>
        <v>5</v>
      </c>
      <c r="N68" cm="1">
        <f t="array" aca="1" ref="N68" ca="1">OFFSET('3-evol'!$A$1,COLUMN()-11,ROW()-1,,)</f>
        <v>19</v>
      </c>
      <c r="O68" t="str" cm="1">
        <f t="array" aca="1" ref="O68" ca="1">OFFSET('3-evol'!$A$1,COLUMN()-11,ROW()-1,,)</f>
        <v>PARTENARIAT : Nos interactions avec des partenaires externes sont suffisantes pour supporter ce changement</v>
      </c>
    </row>
    <row r="69" spans="1:15" hidden="1" x14ac:dyDescent="0.25">
      <c r="A69" t="e" cm="1">
        <f t="array" aca="1" ref="A69" ca="1">OFFSET('Sheet1 (2)'!$A$1,COLUMN()-1,ROW()-1,,)</f>
        <v>#DIV/0!</v>
      </c>
      <c r="B69" cm="1">
        <f t="array" aca="1" ref="B69" ca="1">OFFSET('Sheet1 (2)'!$A$1,COLUMN()-1,ROW()-1,,)</f>
        <v>0</v>
      </c>
      <c r="C69" cm="1">
        <f t="array" aca="1" ref="C69" ca="1">OFFSET('Sheet1 (2)'!$A$1,COLUMN()-1,ROW()-1,,)</f>
        <v>0</v>
      </c>
      <c r="D69" cm="1">
        <f t="array" aca="1" ref="D69" ca="1">OFFSET('Sheet1 (2)'!$A$1,COLUMN()-1,ROW()-1,,)</f>
        <v>0</v>
      </c>
      <c r="E69" t="str" cm="1">
        <f t="array" aca="1" ref="E69" ca="1">OFFSET('Sheet1 (2)'!$A$1,COLUMN()-1,ROW()-1,,)</f>
        <v>Feedback - PARTENARIAT : Nos interactions avec des partenaires externes sont suffisantes pour supporter ce changement</v>
      </c>
      <c r="F69" s="3" t="e" cm="1">
        <f t="array" aca="1" ref="F69" ca="1">OFFSET(Sheet1!$A$1,COLUMN()-6,ROW()-1,,)</f>
        <v>#DIV/0!</v>
      </c>
      <c r="G69" cm="1">
        <f t="array" aca="1" ref="G69" ca="1">OFFSET(Sheet1!$A$1,COLUMN()-6,ROW()-1,,)</f>
        <v>0</v>
      </c>
      <c r="H69" cm="1">
        <f t="array" aca="1" ref="H69" ca="1">OFFSET(Sheet1!$A$1,COLUMN()-6,ROW()-1,,)</f>
        <v>0</v>
      </c>
      <c r="I69" cm="1">
        <f t="array" aca="1" ref="I69" ca="1">OFFSET(Sheet1!$A$1,COLUMN()-6,ROW()-1,,)</f>
        <v>0</v>
      </c>
      <c r="J69" s="2" t="str" cm="1">
        <f t="array" aca="1" ref="J69" ca="1">OFFSET(Sheet1!$A$1,COLUMN()-6,ROW()-1,,)</f>
        <v>Feedback - PARTENARIAT : Nos interactions avec des partenaires externes sont suffisantes pour supporter ce changement</v>
      </c>
      <c r="K69" t="e" cm="1">
        <f t="array" aca="1" ref="K69" ca="1">OFFSET('3-evol'!$A$1,COLUMN()-11,ROW()-1,,)</f>
        <v>#DIV/0!</v>
      </c>
      <c r="L69" cm="1">
        <f t="array" aca="1" ref="L69" ca="1">OFFSET('3-evol'!$A$1,COLUMN()-11,ROW()-1,,)</f>
        <v>0</v>
      </c>
      <c r="M69" cm="1">
        <f t="array" aca="1" ref="M69" ca="1">OFFSET('3-evol'!$A$1,COLUMN()-11,ROW()-1,,)</f>
        <v>0</v>
      </c>
      <c r="N69" cm="1">
        <f t="array" aca="1" ref="N69" ca="1">OFFSET('3-evol'!$A$1,COLUMN()-11,ROW()-1,,)</f>
        <v>0</v>
      </c>
      <c r="O69" t="str" cm="1">
        <f t="array" aca="1" ref="O69" ca="1">OFFSET('3-evol'!$A$1,COLUMN()-11,ROW()-1,,)</f>
        <v>Feedback - PARTENARIAT : Nos interactions avec des partenaires externes sont suffisantes pour supporter ce changement</v>
      </c>
    </row>
    <row r="70" spans="1:15" hidden="1" x14ac:dyDescent="0.25">
      <c r="A70" t="e" cm="1">
        <f t="array" aca="1" ref="A70" ca="1">OFFSET('Sheet1 (2)'!$A$1,COLUMN()-1,ROW()-1,,)</f>
        <v>#DIV/0!</v>
      </c>
      <c r="B70" cm="1">
        <f t="array" aca="1" ref="B70" ca="1">OFFSET('Sheet1 (2)'!$A$1,COLUMN()-1,ROW()-1,,)</f>
        <v>0</v>
      </c>
      <c r="C70" cm="1">
        <f t="array" aca="1" ref="C70" ca="1">OFFSET('Sheet1 (2)'!$A$1,COLUMN()-1,ROW()-1,,)</f>
        <v>0</v>
      </c>
      <c r="D70" cm="1">
        <f t="array" aca="1" ref="D70" ca="1">OFFSET('Sheet1 (2)'!$A$1,COLUMN()-1,ROW()-1,,)</f>
        <v>0</v>
      </c>
      <c r="E70" t="str" cm="1">
        <f t="array" aca="1" ref="E70" ca="1">OFFSET('Sheet1 (2)'!$A$1,COLUMN()-1,ROW()-1,,)</f>
        <v>Points - PARTENARIAT : Nos interactions avec des partenaires externes sont suffisantes pour supporter ce changement</v>
      </c>
      <c r="F70" s="3" t="e" cm="1">
        <f t="array" aca="1" ref="F70" ca="1">OFFSET(Sheet1!$A$1,COLUMN()-6,ROW()-1,,)</f>
        <v>#DIV/0!</v>
      </c>
      <c r="G70" cm="1">
        <f t="array" aca="1" ref="G70" ca="1">OFFSET(Sheet1!$A$1,COLUMN()-6,ROW()-1,,)</f>
        <v>0</v>
      </c>
      <c r="H70" cm="1">
        <f t="array" aca="1" ref="H70" ca="1">OFFSET(Sheet1!$A$1,COLUMN()-6,ROW()-1,,)</f>
        <v>0</v>
      </c>
      <c r="I70" cm="1">
        <f t="array" aca="1" ref="I70" ca="1">OFFSET(Sheet1!$A$1,COLUMN()-6,ROW()-1,,)</f>
        <v>0</v>
      </c>
      <c r="J70" s="2" t="str" cm="1">
        <f t="array" aca="1" ref="J70" ca="1">OFFSET(Sheet1!$A$1,COLUMN()-6,ROW()-1,,)</f>
        <v>Points - PARTENARIAT : Nos interactions avec des partenaires externes sont suffisantes pour supporter ce changement</v>
      </c>
      <c r="K70" t="e" cm="1">
        <f t="array" aca="1" ref="K70" ca="1">OFFSET('3-evol'!$A$1,COLUMN()-11,ROW()-1,,)</f>
        <v>#DIV/0!</v>
      </c>
      <c r="L70" cm="1">
        <f t="array" aca="1" ref="L70" ca="1">OFFSET('3-evol'!$A$1,COLUMN()-11,ROW()-1,,)</f>
        <v>0</v>
      </c>
      <c r="M70" cm="1">
        <f t="array" aca="1" ref="M70" ca="1">OFFSET('3-evol'!$A$1,COLUMN()-11,ROW()-1,,)</f>
        <v>0</v>
      </c>
      <c r="N70" cm="1">
        <f t="array" aca="1" ref="N70" ca="1">OFFSET('3-evol'!$A$1,COLUMN()-11,ROW()-1,,)</f>
        <v>0</v>
      </c>
      <c r="O70" t="str" cm="1">
        <f t="array" aca="1" ref="O70" ca="1">OFFSET('3-evol'!$A$1,COLUMN()-11,ROW()-1,,)</f>
        <v>Points - PARTENARIAT : Nos interactions avec des partenaires externes sont suffisantes pour supporter ce changement</v>
      </c>
    </row>
    <row r="71" spans="1:15" hidden="1" x14ac:dyDescent="0.25">
      <c r="A71" t="e" cm="1">
        <f t="array" aca="1" ref="A71" ca="1">OFFSET('Sheet1 (2)'!$A$1,COLUMN()-1,ROW()-1,,)</f>
        <v>#DIV/0!</v>
      </c>
      <c r="B71" cm="1">
        <f t="array" aca="1" ref="B71" ca="1">OFFSET('Sheet1 (2)'!$A$1,COLUMN()-1,ROW()-1,,)</f>
        <v>0</v>
      </c>
      <c r="C71" cm="1">
        <f t="array" aca="1" ref="C71" ca="1">OFFSET('Sheet1 (2)'!$A$1,COLUMN()-1,ROW()-1,,)</f>
        <v>0</v>
      </c>
      <c r="D71" cm="1">
        <f t="array" aca="1" ref="D71" ca="1">OFFSET('Sheet1 (2)'!$A$1,COLUMN()-1,ROW()-1,,)</f>
        <v>0</v>
      </c>
      <c r="E71" t="str" cm="1">
        <f t="array" aca="1" ref="E71" ca="1">OFFSET('Sheet1 (2)'!$A$1,COLUMN()-1,ROW()-1,,)</f>
        <v>Si la réponse comporte moins de 2 étoiles OUI, merci de préciser votre réponse dans le champs ci-dessous :11</v>
      </c>
      <c r="F71" s="3" t="e" cm="1">
        <f t="array" aca="1" ref="F71" ca="1">OFFSET(Sheet1!$A$1,COLUMN()-6,ROW()-1,,)</f>
        <v>#DIV/0!</v>
      </c>
      <c r="G71" cm="1">
        <f t="array" aca="1" ref="G71" ca="1">OFFSET(Sheet1!$A$1,COLUMN()-6,ROW()-1,,)</f>
        <v>0</v>
      </c>
      <c r="H71" cm="1">
        <f t="array" aca="1" ref="H71" ca="1">OFFSET(Sheet1!$A$1,COLUMN()-6,ROW()-1,,)</f>
        <v>0</v>
      </c>
      <c r="I71" cm="1">
        <f t="array" aca="1" ref="I71" ca="1">OFFSET(Sheet1!$A$1,COLUMN()-6,ROW()-1,,)</f>
        <v>0</v>
      </c>
      <c r="J71" s="2" t="str" cm="1">
        <f t="array" aca="1" ref="J71" ca="1">OFFSET(Sheet1!$A$1,COLUMN()-6,ROW()-1,,)</f>
        <v>Si la réponse comporte moins de 2 étoiles OUI, merci de préciser votre réponse dans le champs ci-dessous :11</v>
      </c>
      <c r="K71" t="e" cm="1">
        <f t="array" aca="1" ref="K71" ca="1">OFFSET('3-evol'!$A$1,COLUMN()-11,ROW()-1,,)</f>
        <v>#DIV/0!</v>
      </c>
      <c r="L71" cm="1">
        <f t="array" aca="1" ref="L71" ca="1">OFFSET('3-evol'!$A$1,COLUMN()-11,ROW()-1,,)</f>
        <v>0</v>
      </c>
      <c r="M71" cm="1">
        <f t="array" aca="1" ref="M71" ca="1">OFFSET('3-evol'!$A$1,COLUMN()-11,ROW()-1,,)</f>
        <v>0</v>
      </c>
      <c r="N71" cm="1">
        <f t="array" aca="1" ref="N71" ca="1">OFFSET('3-evol'!$A$1,COLUMN()-11,ROW()-1,,)</f>
        <v>0</v>
      </c>
      <c r="O71" t="str" cm="1">
        <f t="array" aca="1" ref="O71" ca="1">OFFSET('3-evol'!$A$1,COLUMN()-11,ROW()-1,,)</f>
        <v>Si la réponse comporte moins de 2 étoiles OUI, merci de préciser votre réponse dans le champs ci-dessous :11</v>
      </c>
    </row>
    <row r="72" spans="1:15" hidden="1" x14ac:dyDescent="0.25">
      <c r="A72" t="e" cm="1">
        <f t="array" aca="1" ref="A72" ca="1">OFFSET('Sheet1 (2)'!$A$1,COLUMN()-1,ROW()-1,,)</f>
        <v>#DIV/0!</v>
      </c>
      <c r="B72" cm="1">
        <f t="array" aca="1" ref="B72" ca="1">OFFSET('Sheet1 (2)'!$A$1,COLUMN()-1,ROW()-1,,)</f>
        <v>0</v>
      </c>
      <c r="C72" cm="1">
        <f t="array" aca="1" ref="C72" ca="1">OFFSET('Sheet1 (2)'!$A$1,COLUMN()-1,ROW()-1,,)</f>
        <v>0</v>
      </c>
      <c r="D72" cm="1">
        <f t="array" aca="1" ref="D72" ca="1">OFFSET('Sheet1 (2)'!$A$1,COLUMN()-1,ROW()-1,,)</f>
        <v>0</v>
      </c>
      <c r="E72" t="str" cm="1">
        <f t="array" aca="1" ref="E72" ca="1">OFFSET('Sheet1 (2)'!$A$1,COLUMN()-1,ROW()-1,,)</f>
        <v>Feedback - Si la réponse comporte moins de 2 étoiles OUI, merci de préciser votre réponse dans le champs ci-dessous :11</v>
      </c>
      <c r="F72" s="3" t="e" cm="1">
        <f t="array" aca="1" ref="F72" ca="1">OFFSET(Sheet1!$A$1,COLUMN()-6,ROW()-1,,)</f>
        <v>#DIV/0!</v>
      </c>
      <c r="G72" cm="1">
        <f t="array" aca="1" ref="G72" ca="1">OFFSET(Sheet1!$A$1,COLUMN()-6,ROW()-1,,)</f>
        <v>0</v>
      </c>
      <c r="H72" cm="1">
        <f t="array" aca="1" ref="H72" ca="1">OFFSET(Sheet1!$A$1,COLUMN()-6,ROW()-1,,)</f>
        <v>0</v>
      </c>
      <c r="I72" cm="1">
        <f t="array" aca="1" ref="I72" ca="1">OFFSET(Sheet1!$A$1,COLUMN()-6,ROW()-1,,)</f>
        <v>0</v>
      </c>
      <c r="J72" s="2" t="str" cm="1">
        <f t="array" aca="1" ref="J72" ca="1">OFFSET(Sheet1!$A$1,COLUMN()-6,ROW()-1,,)</f>
        <v>Feedback - Si la réponse comporte moins de 2 étoiles OUI, merci de préciser votre réponse dans le champs ci-dessous :11</v>
      </c>
      <c r="K72" t="e" cm="1">
        <f t="array" aca="1" ref="K72" ca="1">OFFSET('3-evol'!$A$1,COLUMN()-11,ROW()-1,,)</f>
        <v>#DIV/0!</v>
      </c>
      <c r="L72" cm="1">
        <f t="array" aca="1" ref="L72" ca="1">OFFSET('3-evol'!$A$1,COLUMN()-11,ROW()-1,,)</f>
        <v>0</v>
      </c>
      <c r="M72" cm="1">
        <f t="array" aca="1" ref="M72" ca="1">OFFSET('3-evol'!$A$1,COLUMN()-11,ROW()-1,,)</f>
        <v>0</v>
      </c>
      <c r="N72" cm="1">
        <f t="array" aca="1" ref="N72" ca="1">OFFSET('3-evol'!$A$1,COLUMN()-11,ROW()-1,,)</f>
        <v>0</v>
      </c>
      <c r="O72" t="str" cm="1">
        <f t="array" aca="1" ref="O72" ca="1">OFFSET('3-evol'!$A$1,COLUMN()-11,ROW()-1,,)</f>
        <v>Feedback - Si la réponse comporte moins de 2 étoiles OUI, merci de préciser votre réponse dans le champs ci-dessous :11</v>
      </c>
    </row>
    <row r="73" spans="1:15" hidden="1" x14ac:dyDescent="0.25">
      <c r="A73" t="e" cm="1">
        <f t="array" aca="1" ref="A73" ca="1">OFFSET('Sheet1 (2)'!$A$1,COLUMN()-1,ROW()-1,,)</f>
        <v>#DIV/0!</v>
      </c>
      <c r="B73" cm="1">
        <f t="array" aca="1" ref="B73" ca="1">OFFSET('Sheet1 (2)'!$A$1,COLUMN()-1,ROW()-1,,)</f>
        <v>0</v>
      </c>
      <c r="C73" cm="1">
        <f t="array" aca="1" ref="C73" ca="1">OFFSET('Sheet1 (2)'!$A$1,COLUMN()-1,ROW()-1,,)</f>
        <v>0</v>
      </c>
      <c r="D73" cm="1">
        <f t="array" aca="1" ref="D73" ca="1">OFFSET('Sheet1 (2)'!$A$1,COLUMN()-1,ROW()-1,,)</f>
        <v>0</v>
      </c>
      <c r="E73" t="str" cm="1">
        <f t="array" aca="1" ref="E73" ca="1">OFFSET('Sheet1 (2)'!$A$1,COLUMN()-1,ROW()-1,,)</f>
        <v>Points - Si la réponse comporte moins de 2 étoiles OUI, merci de préciser votre réponse dans le champs ci-dessous :11</v>
      </c>
      <c r="F73" s="3" t="e" cm="1">
        <f t="array" aca="1" ref="F73" ca="1">OFFSET(Sheet1!$A$1,COLUMN()-6,ROW()-1,,)</f>
        <v>#DIV/0!</v>
      </c>
      <c r="G73" cm="1">
        <f t="array" aca="1" ref="G73" ca="1">OFFSET(Sheet1!$A$1,COLUMN()-6,ROW()-1,,)</f>
        <v>0</v>
      </c>
      <c r="H73" cm="1">
        <f t="array" aca="1" ref="H73" ca="1">OFFSET(Sheet1!$A$1,COLUMN()-6,ROW()-1,,)</f>
        <v>0</v>
      </c>
      <c r="I73" cm="1">
        <f t="array" aca="1" ref="I73" ca="1">OFFSET(Sheet1!$A$1,COLUMN()-6,ROW()-1,,)</f>
        <v>0</v>
      </c>
      <c r="J73" s="2" t="str" cm="1">
        <f t="array" aca="1" ref="J73" ca="1">OFFSET(Sheet1!$A$1,COLUMN()-6,ROW()-1,,)</f>
        <v>Points - Si la réponse comporte moins de 2 étoiles OUI, merci de préciser votre réponse dans le champs ci-dessous :11</v>
      </c>
      <c r="K73" t="e" cm="1">
        <f t="array" aca="1" ref="K73" ca="1">OFFSET('3-evol'!$A$1,COLUMN()-11,ROW()-1,,)</f>
        <v>#DIV/0!</v>
      </c>
      <c r="L73" cm="1">
        <f t="array" aca="1" ref="L73" ca="1">OFFSET('3-evol'!$A$1,COLUMN()-11,ROW()-1,,)</f>
        <v>0</v>
      </c>
      <c r="M73" cm="1">
        <f t="array" aca="1" ref="M73" ca="1">OFFSET('3-evol'!$A$1,COLUMN()-11,ROW()-1,,)</f>
        <v>0</v>
      </c>
      <c r="N73" cm="1">
        <f t="array" aca="1" ref="N73" ca="1">OFFSET('3-evol'!$A$1,COLUMN()-11,ROW()-1,,)</f>
        <v>0</v>
      </c>
      <c r="O73" t="str" cm="1">
        <f t="array" aca="1" ref="O73" ca="1">OFFSET('3-evol'!$A$1,COLUMN()-11,ROW()-1,,)</f>
        <v>Points - Si la réponse comporte moins de 2 étoiles OUI, merci de préciser votre réponse dans le champs ci-dessous :11</v>
      </c>
    </row>
    <row r="74" spans="1:15" x14ac:dyDescent="0.25">
      <c r="A74" cm="1">
        <f t="array" aca="1" ref="A74" ca="1">OFFSET('Sheet1 (2)'!$A$1,COLUMN()-1,ROW()-1,,)</f>
        <v>4.8571428571428568</v>
      </c>
      <c r="B74" cm="1">
        <f t="array" aca="1" ref="B74" ca="1">OFFSET('Sheet1 (2)'!$A$1,COLUMN()-1,ROW()-1,,)</f>
        <v>4</v>
      </c>
      <c r="C74" cm="1">
        <f t="array" aca="1" ref="C74" ca="1">OFFSET('Sheet1 (2)'!$A$1,COLUMN()-1,ROW()-1,,)</f>
        <v>5</v>
      </c>
      <c r="D74" cm="1">
        <f t="array" aca="1" ref="D74" ca="1">OFFSET('Sheet1 (2)'!$A$1,COLUMN()-1,ROW()-1,,)</f>
        <v>7</v>
      </c>
      <c r="E74" t="str" cm="1">
        <f t="array" aca="1" ref="E74" ca="1">OFFSET('Sheet1 (2)'!$A$1,COLUMN()-1,ROW()-1,,)</f>
        <v>SUPERVISION : Les instances de pilotage permettent de prendre des décisions rapides et efficaces</v>
      </c>
      <c r="F74" s="3" cm="1">
        <f t="array" aca="1" ref="F74" ca="1">OFFSET(Sheet1!$A$1,COLUMN()-6,ROW()-1,,)</f>
        <v>3.3703703703703702</v>
      </c>
      <c r="G74" cm="1">
        <f t="array" aca="1" ref="G74" ca="1">OFFSET(Sheet1!$A$1,COLUMN()-6,ROW()-1,,)</f>
        <v>1</v>
      </c>
      <c r="H74" cm="1">
        <f t="array" aca="1" ref="H74" ca="1">OFFSET(Sheet1!$A$1,COLUMN()-6,ROW()-1,,)</f>
        <v>5</v>
      </c>
      <c r="I74" cm="1">
        <f t="array" aca="1" ref="I74" ca="1">OFFSET(Sheet1!$A$1,COLUMN()-6,ROW()-1,,)</f>
        <v>27</v>
      </c>
      <c r="J74" s="2" t="str" cm="1">
        <f t="array" aca="1" ref="J74" ca="1">OFFSET(Sheet1!$A$1,COLUMN()-6,ROW()-1,,)</f>
        <v>SUPERVISION : Les instances de pilotage permettent de prendre des décisions rapides et efficaces</v>
      </c>
      <c r="K74" cm="1">
        <f t="array" aca="1" ref="K74" ca="1">OFFSET('3-evol'!$A$1,COLUMN()-11,ROW()-1,,)</f>
        <v>3.1578947368421053</v>
      </c>
      <c r="L74" cm="1">
        <f t="array" aca="1" ref="L74" ca="1">OFFSET('3-evol'!$A$1,COLUMN()-11,ROW()-1,,)</f>
        <v>1</v>
      </c>
      <c r="M74" cm="1">
        <f t="array" aca="1" ref="M74" ca="1">OFFSET('3-evol'!$A$1,COLUMN()-11,ROW()-1,,)</f>
        <v>5</v>
      </c>
      <c r="N74" cm="1">
        <f t="array" aca="1" ref="N74" ca="1">OFFSET('3-evol'!$A$1,COLUMN()-11,ROW()-1,,)</f>
        <v>19</v>
      </c>
      <c r="O74" t="str" cm="1">
        <f t="array" aca="1" ref="O74" ca="1">OFFSET('3-evol'!$A$1,COLUMN()-11,ROW()-1,,)</f>
        <v>SUPERVISION : Les instances de pilotage permettent de prendre des décisions rapides et efficaces</v>
      </c>
    </row>
    <row r="75" spans="1:15" hidden="1" x14ac:dyDescent="0.25">
      <c r="A75" t="e" cm="1">
        <f t="array" aca="1" ref="A75" ca="1">OFFSET('Sheet1 (2)'!$A$1,COLUMN()-1,ROW()-1,,)</f>
        <v>#DIV/0!</v>
      </c>
      <c r="B75" cm="1">
        <f t="array" aca="1" ref="B75" ca="1">OFFSET('Sheet1 (2)'!$A$1,COLUMN()-1,ROW()-1,,)</f>
        <v>0</v>
      </c>
      <c r="C75" cm="1">
        <f t="array" aca="1" ref="C75" ca="1">OFFSET('Sheet1 (2)'!$A$1,COLUMN()-1,ROW()-1,,)</f>
        <v>0</v>
      </c>
      <c r="D75" cm="1">
        <f t="array" aca="1" ref="D75" ca="1">OFFSET('Sheet1 (2)'!$A$1,COLUMN()-1,ROW()-1,,)</f>
        <v>0</v>
      </c>
      <c r="E75" t="str" cm="1">
        <f t="array" aca="1" ref="E75" ca="1">OFFSET('Sheet1 (2)'!$A$1,COLUMN()-1,ROW()-1,,)</f>
        <v>Points - SUPERVISION : Les instances de pilotage permettent de prendre des décisions rapides et efficaces</v>
      </c>
      <c r="F75" s="3" t="e" cm="1">
        <f t="array" aca="1" ref="F75" ca="1">OFFSET(Sheet1!$A$1,COLUMN()-6,ROW()-1,,)</f>
        <v>#DIV/0!</v>
      </c>
      <c r="G75" cm="1">
        <f t="array" aca="1" ref="G75" ca="1">OFFSET(Sheet1!$A$1,COLUMN()-6,ROW()-1,,)</f>
        <v>0</v>
      </c>
      <c r="H75" cm="1">
        <f t="array" aca="1" ref="H75" ca="1">OFFSET(Sheet1!$A$1,COLUMN()-6,ROW()-1,,)</f>
        <v>0</v>
      </c>
      <c r="I75" cm="1">
        <f t="array" aca="1" ref="I75" ca="1">OFFSET(Sheet1!$A$1,COLUMN()-6,ROW()-1,,)</f>
        <v>0</v>
      </c>
      <c r="J75" s="2" t="str" cm="1">
        <f t="array" aca="1" ref="J75" ca="1">OFFSET(Sheet1!$A$1,COLUMN()-6,ROW()-1,,)</f>
        <v>Points - SUPERVISION : Les instances de pilotage permettent de prendre des décisions rapides et efficaces</v>
      </c>
      <c r="K75" t="e" cm="1">
        <f t="array" aca="1" ref="K75" ca="1">OFFSET('3-evol'!$A$1,COLUMN()-11,ROW()-1,,)</f>
        <v>#DIV/0!</v>
      </c>
      <c r="L75" cm="1">
        <f t="array" aca="1" ref="L75" ca="1">OFFSET('3-evol'!$A$1,COLUMN()-11,ROW()-1,,)</f>
        <v>0</v>
      </c>
      <c r="M75" cm="1">
        <f t="array" aca="1" ref="M75" ca="1">OFFSET('3-evol'!$A$1,COLUMN()-11,ROW()-1,,)</f>
        <v>0</v>
      </c>
      <c r="N75" cm="1">
        <f t="array" aca="1" ref="N75" ca="1">OFFSET('3-evol'!$A$1,COLUMN()-11,ROW()-1,,)</f>
        <v>0</v>
      </c>
      <c r="O75" t="str" cm="1">
        <f t="array" aca="1" ref="O75" ca="1">OFFSET('3-evol'!$A$1,COLUMN()-11,ROW()-1,,)</f>
        <v>Points - SUPERVISION : Les instances de pilotage permettent de prendre des décisions rapides et efficaces</v>
      </c>
    </row>
    <row r="76" spans="1:15" hidden="1" x14ac:dyDescent="0.25">
      <c r="A76" t="e" cm="1">
        <f t="array" aca="1" ref="A76" ca="1">OFFSET('Sheet1 (2)'!$A$1,COLUMN()-1,ROW()-1,,)</f>
        <v>#DIV/0!</v>
      </c>
      <c r="B76" cm="1">
        <f t="array" aca="1" ref="B76" ca="1">OFFSET('Sheet1 (2)'!$A$1,COLUMN()-1,ROW()-1,,)</f>
        <v>0</v>
      </c>
      <c r="C76" cm="1">
        <f t="array" aca="1" ref="C76" ca="1">OFFSET('Sheet1 (2)'!$A$1,COLUMN()-1,ROW()-1,,)</f>
        <v>0</v>
      </c>
      <c r="D76" cm="1">
        <f t="array" aca="1" ref="D76" ca="1">OFFSET('Sheet1 (2)'!$A$1,COLUMN()-1,ROW()-1,,)</f>
        <v>0</v>
      </c>
      <c r="E76" t="str" cm="1">
        <f t="array" aca="1" ref="E76" ca="1">OFFSET('Sheet1 (2)'!$A$1,COLUMN()-1,ROW()-1,,)</f>
        <v>Feedback - SUPERVISION : Les instances de pilotage permettent de prendre des décisions rapides et efficaces</v>
      </c>
      <c r="F76" s="3" t="e" cm="1">
        <f t="array" aca="1" ref="F76" ca="1">OFFSET(Sheet1!$A$1,COLUMN()-6,ROW()-1,,)</f>
        <v>#DIV/0!</v>
      </c>
      <c r="G76" cm="1">
        <f t="array" aca="1" ref="G76" ca="1">OFFSET(Sheet1!$A$1,COLUMN()-6,ROW()-1,,)</f>
        <v>0</v>
      </c>
      <c r="H76" cm="1">
        <f t="array" aca="1" ref="H76" ca="1">OFFSET(Sheet1!$A$1,COLUMN()-6,ROW()-1,,)</f>
        <v>0</v>
      </c>
      <c r="I76" cm="1">
        <f t="array" aca="1" ref="I76" ca="1">OFFSET(Sheet1!$A$1,COLUMN()-6,ROW()-1,,)</f>
        <v>0</v>
      </c>
      <c r="J76" s="2" t="str" cm="1">
        <f t="array" aca="1" ref="J76" ca="1">OFFSET(Sheet1!$A$1,COLUMN()-6,ROW()-1,,)</f>
        <v>Feedback - SUPERVISION : Les instances de pilotage permettent de prendre des décisions rapides et efficaces</v>
      </c>
      <c r="K76" t="e" cm="1">
        <f t="array" aca="1" ref="K76" ca="1">OFFSET('3-evol'!$A$1,COLUMN()-11,ROW()-1,,)</f>
        <v>#DIV/0!</v>
      </c>
      <c r="L76" cm="1">
        <f t="array" aca="1" ref="L76" ca="1">OFFSET('3-evol'!$A$1,COLUMN()-11,ROW()-1,,)</f>
        <v>0</v>
      </c>
      <c r="M76" cm="1">
        <f t="array" aca="1" ref="M76" ca="1">OFFSET('3-evol'!$A$1,COLUMN()-11,ROW()-1,,)</f>
        <v>0</v>
      </c>
      <c r="N76" cm="1">
        <f t="array" aca="1" ref="N76" ca="1">OFFSET('3-evol'!$A$1,COLUMN()-11,ROW()-1,,)</f>
        <v>0</v>
      </c>
      <c r="O76" t="str" cm="1">
        <f t="array" aca="1" ref="O76" ca="1">OFFSET('3-evol'!$A$1,COLUMN()-11,ROW()-1,,)</f>
        <v>Feedback - SUPERVISION : Les instances de pilotage permettent de prendre des décisions rapides et efficaces</v>
      </c>
    </row>
    <row r="77" spans="1:15" hidden="1" x14ac:dyDescent="0.25">
      <c r="A77" t="e" cm="1">
        <f t="array" aca="1" ref="A77" ca="1">OFFSET('Sheet1 (2)'!$A$1,COLUMN()-1,ROW()-1,,)</f>
        <v>#DIV/0!</v>
      </c>
      <c r="B77" cm="1">
        <f t="array" aca="1" ref="B77" ca="1">OFFSET('Sheet1 (2)'!$A$1,COLUMN()-1,ROW()-1,,)</f>
        <v>0</v>
      </c>
      <c r="C77" cm="1">
        <f t="array" aca="1" ref="C77" ca="1">OFFSET('Sheet1 (2)'!$A$1,COLUMN()-1,ROW()-1,,)</f>
        <v>0</v>
      </c>
      <c r="D77" cm="1">
        <f t="array" aca="1" ref="D77" ca="1">OFFSET('Sheet1 (2)'!$A$1,COLUMN()-1,ROW()-1,,)</f>
        <v>0</v>
      </c>
      <c r="E77" t="str" cm="1">
        <f t="array" aca="1" ref="E77" ca="1">OFFSET('Sheet1 (2)'!$A$1,COLUMN()-1,ROW()-1,,)</f>
        <v>Si la réponse comporte moins de 2 étoiles OUI, merci de préciser votre réponse dans le champs ci-dessous :12</v>
      </c>
      <c r="F77" s="3" t="e" cm="1">
        <f t="array" aca="1" ref="F77" ca="1">OFFSET(Sheet1!$A$1,COLUMN()-6,ROW()-1,,)</f>
        <v>#DIV/0!</v>
      </c>
      <c r="G77" cm="1">
        <f t="array" aca="1" ref="G77" ca="1">OFFSET(Sheet1!$A$1,COLUMN()-6,ROW()-1,,)</f>
        <v>0</v>
      </c>
      <c r="H77" cm="1">
        <f t="array" aca="1" ref="H77" ca="1">OFFSET(Sheet1!$A$1,COLUMN()-6,ROW()-1,,)</f>
        <v>0</v>
      </c>
      <c r="I77" cm="1">
        <f t="array" aca="1" ref="I77" ca="1">OFFSET(Sheet1!$A$1,COLUMN()-6,ROW()-1,,)</f>
        <v>0</v>
      </c>
      <c r="J77" s="2" t="str" cm="1">
        <f t="array" aca="1" ref="J77" ca="1">OFFSET(Sheet1!$A$1,COLUMN()-6,ROW()-1,,)</f>
        <v>Si la réponse comporte moins de 2 étoiles OUI, merci de préciser votre réponse dans le champs ci-dessous :12</v>
      </c>
      <c r="K77" t="e" cm="1">
        <f t="array" aca="1" ref="K77" ca="1">OFFSET('3-evol'!$A$1,COLUMN()-11,ROW()-1,,)</f>
        <v>#DIV/0!</v>
      </c>
      <c r="L77" cm="1">
        <f t="array" aca="1" ref="L77" ca="1">OFFSET('3-evol'!$A$1,COLUMN()-11,ROW()-1,,)</f>
        <v>0</v>
      </c>
      <c r="M77" cm="1">
        <f t="array" aca="1" ref="M77" ca="1">OFFSET('3-evol'!$A$1,COLUMN()-11,ROW()-1,,)</f>
        <v>0</v>
      </c>
      <c r="N77" cm="1">
        <f t="array" aca="1" ref="N77" ca="1">OFFSET('3-evol'!$A$1,COLUMN()-11,ROW()-1,,)</f>
        <v>0</v>
      </c>
      <c r="O77" t="str" cm="1">
        <f t="array" aca="1" ref="O77" ca="1">OFFSET('3-evol'!$A$1,COLUMN()-11,ROW()-1,,)</f>
        <v>Si la réponse comporte moins de 2 étoiles OUI, merci de préciser votre réponse dans le champs ci-dessous :12</v>
      </c>
    </row>
    <row r="78" spans="1:15" hidden="1" x14ac:dyDescent="0.25">
      <c r="A78" t="e" cm="1">
        <f t="array" aca="1" ref="A78" ca="1">OFFSET('Sheet1 (2)'!$A$1,COLUMN()-1,ROW()-1,,)</f>
        <v>#DIV/0!</v>
      </c>
      <c r="B78" cm="1">
        <f t="array" aca="1" ref="B78" ca="1">OFFSET('Sheet1 (2)'!$A$1,COLUMN()-1,ROW()-1,,)</f>
        <v>0</v>
      </c>
      <c r="C78" cm="1">
        <f t="array" aca="1" ref="C78" ca="1">OFFSET('Sheet1 (2)'!$A$1,COLUMN()-1,ROW()-1,,)</f>
        <v>0</v>
      </c>
      <c r="D78" cm="1">
        <f t="array" aca="1" ref="D78" ca="1">OFFSET('Sheet1 (2)'!$A$1,COLUMN()-1,ROW()-1,,)</f>
        <v>0</v>
      </c>
      <c r="E78" t="str" cm="1">
        <f t="array" aca="1" ref="E78" ca="1">OFFSET('Sheet1 (2)'!$A$1,COLUMN()-1,ROW()-1,,)</f>
        <v>Points - Si la réponse comporte moins de 2 étoiles OUI, merci de préciser votre réponse dans le champs ci-dessous :12</v>
      </c>
      <c r="F78" s="3" t="e" cm="1">
        <f t="array" aca="1" ref="F78" ca="1">OFFSET(Sheet1!$A$1,COLUMN()-6,ROW()-1,,)</f>
        <v>#DIV/0!</v>
      </c>
      <c r="G78" cm="1">
        <f t="array" aca="1" ref="G78" ca="1">OFFSET(Sheet1!$A$1,COLUMN()-6,ROW()-1,,)</f>
        <v>0</v>
      </c>
      <c r="H78" cm="1">
        <f t="array" aca="1" ref="H78" ca="1">OFFSET(Sheet1!$A$1,COLUMN()-6,ROW()-1,,)</f>
        <v>0</v>
      </c>
      <c r="I78" cm="1">
        <f t="array" aca="1" ref="I78" ca="1">OFFSET(Sheet1!$A$1,COLUMN()-6,ROW()-1,,)</f>
        <v>0</v>
      </c>
      <c r="J78" s="2" t="str" cm="1">
        <f t="array" aca="1" ref="J78" ca="1">OFFSET(Sheet1!$A$1,COLUMN()-6,ROW()-1,,)</f>
        <v>Points - Si la réponse comporte moins de 2 étoiles OUI, merci de préciser votre réponse dans le champs ci-dessous :12</v>
      </c>
      <c r="K78" t="e" cm="1">
        <f t="array" aca="1" ref="K78" ca="1">OFFSET('3-evol'!$A$1,COLUMN()-11,ROW()-1,,)</f>
        <v>#DIV/0!</v>
      </c>
      <c r="L78" cm="1">
        <f t="array" aca="1" ref="L78" ca="1">OFFSET('3-evol'!$A$1,COLUMN()-11,ROW()-1,,)</f>
        <v>0</v>
      </c>
      <c r="M78" cm="1">
        <f t="array" aca="1" ref="M78" ca="1">OFFSET('3-evol'!$A$1,COLUMN()-11,ROW()-1,,)</f>
        <v>0</v>
      </c>
      <c r="N78" cm="1">
        <f t="array" aca="1" ref="N78" ca="1">OFFSET('3-evol'!$A$1,COLUMN()-11,ROW()-1,,)</f>
        <v>0</v>
      </c>
      <c r="O78" t="str" cm="1">
        <f t="array" aca="1" ref="O78" ca="1">OFFSET('3-evol'!$A$1,COLUMN()-11,ROW()-1,,)</f>
        <v>Points - Si la réponse comporte moins de 2 étoiles OUI, merci de préciser votre réponse dans le champs ci-dessous :12</v>
      </c>
    </row>
    <row r="79" spans="1:15" hidden="1" x14ac:dyDescent="0.25">
      <c r="A79" t="e" cm="1">
        <f t="array" aca="1" ref="A79" ca="1">OFFSET('Sheet1 (2)'!$A$1,COLUMN()-1,ROW()-1,,)</f>
        <v>#DIV/0!</v>
      </c>
      <c r="B79" cm="1">
        <f t="array" aca="1" ref="B79" ca="1">OFFSET('Sheet1 (2)'!$A$1,COLUMN()-1,ROW()-1,,)</f>
        <v>0</v>
      </c>
      <c r="C79" cm="1">
        <f t="array" aca="1" ref="C79" ca="1">OFFSET('Sheet1 (2)'!$A$1,COLUMN()-1,ROW()-1,,)</f>
        <v>0</v>
      </c>
      <c r="D79" cm="1">
        <f t="array" aca="1" ref="D79" ca="1">OFFSET('Sheet1 (2)'!$A$1,COLUMN()-1,ROW()-1,,)</f>
        <v>0</v>
      </c>
      <c r="E79" t="str" cm="1">
        <f t="array" aca="1" ref="E79" ca="1">OFFSET('Sheet1 (2)'!$A$1,COLUMN()-1,ROW()-1,,)</f>
        <v>Feedback - Si la réponse comporte moins de 2 étoiles OUI, merci de préciser votre réponse dans le champs ci-dessous :12</v>
      </c>
      <c r="F79" s="3" t="e" cm="1">
        <f t="array" aca="1" ref="F79" ca="1">OFFSET(Sheet1!$A$1,COLUMN()-6,ROW()-1,,)</f>
        <v>#DIV/0!</v>
      </c>
      <c r="G79" cm="1">
        <f t="array" aca="1" ref="G79" ca="1">OFFSET(Sheet1!$A$1,COLUMN()-6,ROW()-1,,)</f>
        <v>0</v>
      </c>
      <c r="H79" cm="1">
        <f t="array" aca="1" ref="H79" ca="1">OFFSET(Sheet1!$A$1,COLUMN()-6,ROW()-1,,)</f>
        <v>0</v>
      </c>
      <c r="I79" cm="1">
        <f t="array" aca="1" ref="I79" ca="1">OFFSET(Sheet1!$A$1,COLUMN()-6,ROW()-1,,)</f>
        <v>0</v>
      </c>
      <c r="J79" s="2" t="str" cm="1">
        <f t="array" aca="1" ref="J79" ca="1">OFFSET(Sheet1!$A$1,COLUMN()-6,ROW()-1,,)</f>
        <v>Feedback - Si la réponse comporte moins de 2 étoiles OUI, merci de préciser votre réponse dans le champs ci-dessous :12</v>
      </c>
      <c r="K79" t="e" cm="1">
        <f t="array" aca="1" ref="K79" ca="1">OFFSET('3-evol'!$A$1,COLUMN()-11,ROW()-1,,)</f>
        <v>#DIV/0!</v>
      </c>
      <c r="L79" cm="1">
        <f t="array" aca="1" ref="L79" ca="1">OFFSET('3-evol'!$A$1,COLUMN()-11,ROW()-1,,)</f>
        <v>0</v>
      </c>
      <c r="M79" cm="1">
        <f t="array" aca="1" ref="M79" ca="1">OFFSET('3-evol'!$A$1,COLUMN()-11,ROW()-1,,)</f>
        <v>0</v>
      </c>
      <c r="N79" cm="1">
        <f t="array" aca="1" ref="N79" ca="1">OFFSET('3-evol'!$A$1,COLUMN()-11,ROW()-1,,)</f>
        <v>0</v>
      </c>
      <c r="O79" t="str" cm="1">
        <f t="array" aca="1" ref="O79" ca="1">OFFSET('3-evol'!$A$1,COLUMN()-11,ROW()-1,,)</f>
        <v>Feedback - Si la réponse comporte moins de 2 étoiles OUI, merci de préciser votre réponse dans le champs ci-dessous :12</v>
      </c>
    </row>
    <row r="80" spans="1:15" x14ac:dyDescent="0.25">
      <c r="A80" cm="1">
        <f t="array" aca="1" ref="A80" ca="1">OFFSET('Sheet1 (2)'!$A$1,COLUMN()-1,ROW()-1,,)</f>
        <v>4.4285714285714288</v>
      </c>
      <c r="B80" cm="1">
        <f t="array" aca="1" ref="B80" ca="1">OFFSET('Sheet1 (2)'!$A$1,COLUMN()-1,ROW()-1,,)</f>
        <v>3</v>
      </c>
      <c r="C80" cm="1">
        <f t="array" aca="1" ref="C80" ca="1">OFFSET('Sheet1 (2)'!$A$1,COLUMN()-1,ROW()-1,,)</f>
        <v>5</v>
      </c>
      <c r="D80" cm="1">
        <f t="array" aca="1" ref="D80" ca="1">OFFSET('Sheet1 (2)'!$A$1,COLUMN()-1,ROW()-1,,)</f>
        <v>7</v>
      </c>
      <c r="E80" t="str" cm="1">
        <f t="array" aca="1" ref="E80" ca="1">OFFSET('Sheet1 (2)'!$A$1,COLUMN()-1,ROW()-1,,)</f>
        <v>RESSOURCES : Les ressources sont suffisantes pour absorber ce changement</v>
      </c>
      <c r="F80" s="3" cm="1">
        <f t="array" aca="1" ref="F80" ca="1">OFFSET(Sheet1!$A$1,COLUMN()-6,ROW()-1,,)</f>
        <v>2.8518518518518516</v>
      </c>
      <c r="G80" cm="1">
        <f t="array" aca="1" ref="G80" ca="1">OFFSET(Sheet1!$A$1,COLUMN()-6,ROW()-1,,)</f>
        <v>1</v>
      </c>
      <c r="H80" cm="1">
        <f t="array" aca="1" ref="H80" ca="1">OFFSET(Sheet1!$A$1,COLUMN()-6,ROW()-1,,)</f>
        <v>5</v>
      </c>
      <c r="I80" cm="1">
        <f t="array" aca="1" ref="I80" ca="1">OFFSET(Sheet1!$A$1,COLUMN()-6,ROW()-1,,)</f>
        <v>27</v>
      </c>
      <c r="J80" s="2" t="str" cm="1">
        <f t="array" aca="1" ref="J80" ca="1">OFFSET(Sheet1!$A$1,COLUMN()-6,ROW()-1,,)</f>
        <v>RESSOURCES : Les ressources sont suffisantes pour absorber ce changement</v>
      </c>
      <c r="K80" cm="1">
        <f t="array" aca="1" ref="K80" ca="1">OFFSET('3-evol'!$A$1,COLUMN()-11,ROW()-1,,)</f>
        <v>2.8421052631578947</v>
      </c>
      <c r="L80" cm="1">
        <f t="array" aca="1" ref="L80" ca="1">OFFSET('3-evol'!$A$1,COLUMN()-11,ROW()-1,,)</f>
        <v>1</v>
      </c>
      <c r="M80" cm="1">
        <f t="array" aca="1" ref="M80" ca="1">OFFSET('3-evol'!$A$1,COLUMN()-11,ROW()-1,,)</f>
        <v>5</v>
      </c>
      <c r="N80" cm="1">
        <f t="array" aca="1" ref="N80" ca="1">OFFSET('3-evol'!$A$1,COLUMN()-11,ROW()-1,,)</f>
        <v>19</v>
      </c>
      <c r="O80" t="str" cm="1">
        <f t="array" aca="1" ref="O80" ca="1">OFFSET('3-evol'!$A$1,COLUMN()-11,ROW()-1,,)</f>
        <v>RESSOURCES : Les ressources sont suffisantes pour absorber ce changement</v>
      </c>
    </row>
    <row r="81" spans="1:15" hidden="1" x14ac:dyDescent="0.25">
      <c r="A81" t="e" cm="1">
        <f t="array" aca="1" ref="A81" ca="1">OFFSET('Sheet1 (2)'!$A$1,COLUMN()-1,ROW()-1,,)</f>
        <v>#DIV/0!</v>
      </c>
      <c r="B81" cm="1">
        <f t="array" aca="1" ref="B81" ca="1">OFFSET('Sheet1 (2)'!$A$1,COLUMN()-1,ROW()-1,,)</f>
        <v>0</v>
      </c>
      <c r="C81" cm="1">
        <f t="array" aca="1" ref="C81" ca="1">OFFSET('Sheet1 (2)'!$A$1,COLUMN()-1,ROW()-1,,)</f>
        <v>0</v>
      </c>
      <c r="D81" cm="1">
        <f t="array" aca="1" ref="D81" ca="1">OFFSET('Sheet1 (2)'!$A$1,COLUMN()-1,ROW()-1,,)</f>
        <v>0</v>
      </c>
      <c r="E81" t="str" cm="1">
        <f t="array" aca="1" ref="E81" ca="1">OFFSET('Sheet1 (2)'!$A$1,COLUMN()-1,ROW()-1,,)</f>
        <v>Points - RESSOURCES : Les ressources sont suffisantes pour absorber ce changement</v>
      </c>
      <c r="F81" s="3" t="e" cm="1">
        <f t="array" aca="1" ref="F81" ca="1">OFFSET(Sheet1!$A$1,COLUMN()-6,ROW()-1,,)</f>
        <v>#DIV/0!</v>
      </c>
      <c r="G81" cm="1">
        <f t="array" aca="1" ref="G81" ca="1">OFFSET(Sheet1!$A$1,COLUMN()-6,ROW()-1,,)</f>
        <v>0</v>
      </c>
      <c r="H81" cm="1">
        <f t="array" aca="1" ref="H81" ca="1">OFFSET(Sheet1!$A$1,COLUMN()-6,ROW()-1,,)</f>
        <v>0</v>
      </c>
      <c r="I81" cm="1">
        <f t="array" aca="1" ref="I81" ca="1">OFFSET(Sheet1!$A$1,COLUMN()-6,ROW()-1,,)</f>
        <v>0</v>
      </c>
      <c r="J81" s="2" t="str" cm="1">
        <f t="array" aca="1" ref="J81" ca="1">OFFSET(Sheet1!$A$1,COLUMN()-6,ROW()-1,,)</f>
        <v>Points - RESSOURCES : Les ressources sont suffisantes pour absorber ce changement</v>
      </c>
      <c r="K81" t="e" cm="1">
        <f t="array" aca="1" ref="K81" ca="1">OFFSET('3-evol'!$A$1,COLUMN()-11,ROW()-1,,)</f>
        <v>#DIV/0!</v>
      </c>
      <c r="L81" cm="1">
        <f t="array" aca="1" ref="L81" ca="1">OFFSET('3-evol'!$A$1,COLUMN()-11,ROW()-1,,)</f>
        <v>0</v>
      </c>
      <c r="M81" cm="1">
        <f t="array" aca="1" ref="M81" ca="1">OFFSET('3-evol'!$A$1,COLUMN()-11,ROW()-1,,)</f>
        <v>0</v>
      </c>
      <c r="N81" cm="1">
        <f t="array" aca="1" ref="N81" ca="1">OFFSET('3-evol'!$A$1,COLUMN()-11,ROW()-1,,)</f>
        <v>0</v>
      </c>
      <c r="O81" t="str" cm="1">
        <f t="array" aca="1" ref="O81" ca="1">OFFSET('3-evol'!$A$1,COLUMN()-11,ROW()-1,,)</f>
        <v>Points - RESSOURCES : Les ressources sont suffisantes pour absorber ce changement</v>
      </c>
    </row>
    <row r="82" spans="1:15" hidden="1" x14ac:dyDescent="0.25">
      <c r="A82" t="e" cm="1">
        <f t="array" aca="1" ref="A82" ca="1">OFFSET('Sheet1 (2)'!$A$1,COLUMN()-1,ROW()-1,,)</f>
        <v>#DIV/0!</v>
      </c>
      <c r="B82" cm="1">
        <f t="array" aca="1" ref="B82" ca="1">OFFSET('Sheet1 (2)'!$A$1,COLUMN()-1,ROW()-1,,)</f>
        <v>0</v>
      </c>
      <c r="C82" cm="1">
        <f t="array" aca="1" ref="C82" ca="1">OFFSET('Sheet1 (2)'!$A$1,COLUMN()-1,ROW()-1,,)</f>
        <v>0</v>
      </c>
      <c r="D82" cm="1">
        <f t="array" aca="1" ref="D82" ca="1">OFFSET('Sheet1 (2)'!$A$1,COLUMN()-1,ROW()-1,,)</f>
        <v>0</v>
      </c>
      <c r="E82" t="str" cm="1">
        <f t="array" aca="1" ref="E82" ca="1">OFFSET('Sheet1 (2)'!$A$1,COLUMN()-1,ROW()-1,,)</f>
        <v>Feedback - RESSOURCES : Les ressources sont suffisantes pour absorber ce changement</v>
      </c>
      <c r="F82" s="3" t="e" cm="1">
        <f t="array" aca="1" ref="F82" ca="1">OFFSET(Sheet1!$A$1,COLUMN()-6,ROW()-1,,)</f>
        <v>#DIV/0!</v>
      </c>
      <c r="G82" cm="1">
        <f t="array" aca="1" ref="G82" ca="1">OFFSET(Sheet1!$A$1,COLUMN()-6,ROW()-1,,)</f>
        <v>0</v>
      </c>
      <c r="H82" cm="1">
        <f t="array" aca="1" ref="H82" ca="1">OFFSET(Sheet1!$A$1,COLUMN()-6,ROW()-1,,)</f>
        <v>0</v>
      </c>
      <c r="I82" cm="1">
        <f t="array" aca="1" ref="I82" ca="1">OFFSET(Sheet1!$A$1,COLUMN()-6,ROW()-1,,)</f>
        <v>0</v>
      </c>
      <c r="J82" s="2" t="str" cm="1">
        <f t="array" aca="1" ref="J82" ca="1">OFFSET(Sheet1!$A$1,COLUMN()-6,ROW()-1,,)</f>
        <v>Feedback - RESSOURCES : Les ressources sont suffisantes pour absorber ce changement</v>
      </c>
      <c r="K82" t="e" cm="1">
        <f t="array" aca="1" ref="K82" ca="1">OFFSET('3-evol'!$A$1,COLUMN()-11,ROW()-1,,)</f>
        <v>#DIV/0!</v>
      </c>
      <c r="L82" cm="1">
        <f t="array" aca="1" ref="L82" ca="1">OFFSET('3-evol'!$A$1,COLUMN()-11,ROW()-1,,)</f>
        <v>0</v>
      </c>
      <c r="M82" cm="1">
        <f t="array" aca="1" ref="M82" ca="1">OFFSET('3-evol'!$A$1,COLUMN()-11,ROW()-1,,)</f>
        <v>0</v>
      </c>
      <c r="N82" cm="1">
        <f t="array" aca="1" ref="N82" ca="1">OFFSET('3-evol'!$A$1,COLUMN()-11,ROW()-1,,)</f>
        <v>0</v>
      </c>
      <c r="O82" t="str" cm="1">
        <f t="array" aca="1" ref="O82" ca="1">OFFSET('3-evol'!$A$1,COLUMN()-11,ROW()-1,,)</f>
        <v>Feedback - RESSOURCES : Les ressources sont suffisantes pour absorber ce changement</v>
      </c>
    </row>
    <row r="83" spans="1:15" hidden="1" x14ac:dyDescent="0.25">
      <c r="A83" t="e" cm="1">
        <f t="array" aca="1" ref="A83" ca="1">OFFSET('Sheet1 (2)'!$A$1,COLUMN()-1,ROW()-1,,)</f>
        <v>#DIV/0!</v>
      </c>
      <c r="B83" cm="1">
        <f t="array" aca="1" ref="B83" ca="1">OFFSET('Sheet1 (2)'!$A$1,COLUMN()-1,ROW()-1,,)</f>
        <v>0</v>
      </c>
      <c r="C83" cm="1">
        <f t="array" aca="1" ref="C83" ca="1">OFFSET('Sheet1 (2)'!$A$1,COLUMN()-1,ROW()-1,,)</f>
        <v>0</v>
      </c>
      <c r="D83" cm="1">
        <f t="array" aca="1" ref="D83" ca="1">OFFSET('Sheet1 (2)'!$A$1,COLUMN()-1,ROW()-1,,)</f>
        <v>0</v>
      </c>
      <c r="E83" t="str" cm="1">
        <f t="array" aca="1" ref="E83" ca="1">OFFSET('Sheet1 (2)'!$A$1,COLUMN()-1,ROW()-1,,)</f>
        <v>Si la réponse comporte moins de 2 étoiles OUI, merci de préciser votre réponse dans le champs ci-dessous :13</v>
      </c>
      <c r="F83" s="3" t="e" cm="1">
        <f t="array" aca="1" ref="F83" ca="1">OFFSET(Sheet1!$A$1,COLUMN()-6,ROW()-1,,)</f>
        <v>#DIV/0!</v>
      </c>
      <c r="G83" cm="1">
        <f t="array" aca="1" ref="G83" ca="1">OFFSET(Sheet1!$A$1,COLUMN()-6,ROW()-1,,)</f>
        <v>0</v>
      </c>
      <c r="H83" cm="1">
        <f t="array" aca="1" ref="H83" ca="1">OFFSET(Sheet1!$A$1,COLUMN()-6,ROW()-1,,)</f>
        <v>0</v>
      </c>
      <c r="I83" cm="1">
        <f t="array" aca="1" ref="I83" ca="1">OFFSET(Sheet1!$A$1,COLUMN()-6,ROW()-1,,)</f>
        <v>0</v>
      </c>
      <c r="J83" s="2" t="str" cm="1">
        <f t="array" aca="1" ref="J83" ca="1">OFFSET(Sheet1!$A$1,COLUMN()-6,ROW()-1,,)</f>
        <v>Si la réponse comporte moins de 2 étoiles OUI, merci de préciser votre réponse dans le champs ci-dessous :13</v>
      </c>
      <c r="K83" t="e" cm="1">
        <f t="array" aca="1" ref="K83" ca="1">OFFSET('3-evol'!$A$1,COLUMN()-11,ROW()-1,,)</f>
        <v>#DIV/0!</v>
      </c>
      <c r="L83" cm="1">
        <f t="array" aca="1" ref="L83" ca="1">OFFSET('3-evol'!$A$1,COLUMN()-11,ROW()-1,,)</f>
        <v>0</v>
      </c>
      <c r="M83" cm="1">
        <f t="array" aca="1" ref="M83" ca="1">OFFSET('3-evol'!$A$1,COLUMN()-11,ROW()-1,,)</f>
        <v>0</v>
      </c>
      <c r="N83" cm="1">
        <f t="array" aca="1" ref="N83" ca="1">OFFSET('3-evol'!$A$1,COLUMN()-11,ROW()-1,,)</f>
        <v>0</v>
      </c>
      <c r="O83" t="str" cm="1">
        <f t="array" aca="1" ref="O83" ca="1">OFFSET('3-evol'!$A$1,COLUMN()-11,ROW()-1,,)</f>
        <v>Si la réponse comporte moins de 2 étoiles OUI, merci de préciser votre réponse dans le champs ci-dessous :13</v>
      </c>
    </row>
    <row r="84" spans="1:15" hidden="1" x14ac:dyDescent="0.25">
      <c r="A84" t="e" cm="1">
        <f t="array" aca="1" ref="A84" ca="1">OFFSET('Sheet1 (2)'!$A$1,COLUMN()-1,ROW()-1,,)</f>
        <v>#DIV/0!</v>
      </c>
      <c r="B84" cm="1">
        <f t="array" aca="1" ref="B84" ca="1">OFFSET('Sheet1 (2)'!$A$1,COLUMN()-1,ROW()-1,,)</f>
        <v>0</v>
      </c>
      <c r="C84" cm="1">
        <f t="array" aca="1" ref="C84" ca="1">OFFSET('Sheet1 (2)'!$A$1,COLUMN()-1,ROW()-1,,)</f>
        <v>0</v>
      </c>
      <c r="D84" cm="1">
        <f t="array" aca="1" ref="D84" ca="1">OFFSET('Sheet1 (2)'!$A$1,COLUMN()-1,ROW()-1,,)</f>
        <v>0</v>
      </c>
      <c r="E84" t="str" cm="1">
        <f t="array" aca="1" ref="E84" ca="1">OFFSET('Sheet1 (2)'!$A$1,COLUMN()-1,ROW()-1,,)</f>
        <v>Points - Si la réponse comporte moins de 2 étoiles OUI, merci de préciser votre réponse dans le champs ci-dessous :13</v>
      </c>
      <c r="F84" s="3" t="e" cm="1">
        <f t="array" aca="1" ref="F84" ca="1">OFFSET(Sheet1!$A$1,COLUMN()-6,ROW()-1,,)</f>
        <v>#DIV/0!</v>
      </c>
      <c r="G84" cm="1">
        <f t="array" aca="1" ref="G84" ca="1">OFFSET(Sheet1!$A$1,COLUMN()-6,ROW()-1,,)</f>
        <v>0</v>
      </c>
      <c r="H84" cm="1">
        <f t="array" aca="1" ref="H84" ca="1">OFFSET(Sheet1!$A$1,COLUMN()-6,ROW()-1,,)</f>
        <v>0</v>
      </c>
      <c r="I84" cm="1">
        <f t="array" aca="1" ref="I84" ca="1">OFFSET(Sheet1!$A$1,COLUMN()-6,ROW()-1,,)</f>
        <v>0</v>
      </c>
      <c r="J84" s="2" t="str" cm="1">
        <f t="array" aca="1" ref="J84" ca="1">OFFSET(Sheet1!$A$1,COLUMN()-6,ROW()-1,,)</f>
        <v>Points - Si la réponse comporte moins de 2 étoiles OUI, merci de préciser votre réponse dans le champs ci-dessous :13</v>
      </c>
      <c r="K84" t="e" cm="1">
        <f t="array" aca="1" ref="K84" ca="1">OFFSET('3-evol'!$A$1,COLUMN()-11,ROW()-1,,)</f>
        <v>#DIV/0!</v>
      </c>
      <c r="L84" cm="1">
        <f t="array" aca="1" ref="L84" ca="1">OFFSET('3-evol'!$A$1,COLUMN()-11,ROW()-1,,)</f>
        <v>0</v>
      </c>
      <c r="M84" cm="1">
        <f t="array" aca="1" ref="M84" ca="1">OFFSET('3-evol'!$A$1,COLUMN()-11,ROW()-1,,)</f>
        <v>0</v>
      </c>
      <c r="N84" cm="1">
        <f t="array" aca="1" ref="N84" ca="1">OFFSET('3-evol'!$A$1,COLUMN()-11,ROW()-1,,)</f>
        <v>0</v>
      </c>
      <c r="O84" t="str" cm="1">
        <f t="array" aca="1" ref="O84" ca="1">OFFSET('3-evol'!$A$1,COLUMN()-11,ROW()-1,,)</f>
        <v>Points - Si la réponse comporte moins de 2 étoiles OUI, merci de préciser votre réponse dans le champs ci-dessous :13</v>
      </c>
    </row>
    <row r="85" spans="1:15" hidden="1" x14ac:dyDescent="0.25">
      <c r="A85" t="e" cm="1">
        <f t="array" aca="1" ref="A85" ca="1">OFFSET('Sheet1 (2)'!$A$1,COLUMN()-1,ROW()-1,,)</f>
        <v>#DIV/0!</v>
      </c>
      <c r="B85" cm="1">
        <f t="array" aca="1" ref="B85" ca="1">OFFSET('Sheet1 (2)'!$A$1,COLUMN()-1,ROW()-1,,)</f>
        <v>0</v>
      </c>
      <c r="C85" cm="1">
        <f t="array" aca="1" ref="C85" ca="1">OFFSET('Sheet1 (2)'!$A$1,COLUMN()-1,ROW()-1,,)</f>
        <v>0</v>
      </c>
      <c r="D85" cm="1">
        <f t="array" aca="1" ref="D85" ca="1">OFFSET('Sheet1 (2)'!$A$1,COLUMN()-1,ROW()-1,,)</f>
        <v>0</v>
      </c>
      <c r="E85" t="str" cm="1">
        <f t="array" aca="1" ref="E85" ca="1">OFFSET('Sheet1 (2)'!$A$1,COLUMN()-1,ROW()-1,,)</f>
        <v>Feedback - Si la réponse comporte moins de 2 étoiles OUI, merci de préciser votre réponse dans le champs ci-dessous :13</v>
      </c>
      <c r="F85" s="3" t="e" cm="1">
        <f t="array" aca="1" ref="F85" ca="1">OFFSET(Sheet1!$A$1,COLUMN()-6,ROW()-1,,)</f>
        <v>#DIV/0!</v>
      </c>
      <c r="G85" cm="1">
        <f t="array" aca="1" ref="G85" ca="1">OFFSET(Sheet1!$A$1,COLUMN()-6,ROW()-1,,)</f>
        <v>0</v>
      </c>
      <c r="H85" cm="1">
        <f t="array" aca="1" ref="H85" ca="1">OFFSET(Sheet1!$A$1,COLUMN()-6,ROW()-1,,)</f>
        <v>0</v>
      </c>
      <c r="I85" cm="1">
        <f t="array" aca="1" ref="I85" ca="1">OFFSET(Sheet1!$A$1,COLUMN()-6,ROW()-1,,)</f>
        <v>0</v>
      </c>
      <c r="J85" s="2" t="str" cm="1">
        <f t="array" aca="1" ref="J85" ca="1">OFFSET(Sheet1!$A$1,COLUMN()-6,ROW()-1,,)</f>
        <v>Feedback - Si la réponse comporte moins de 2 étoiles OUI, merci de préciser votre réponse dans le champs ci-dessous :13</v>
      </c>
      <c r="K85" t="e" cm="1">
        <f t="array" aca="1" ref="K85" ca="1">OFFSET('3-evol'!$A$1,COLUMN()-11,ROW()-1,,)</f>
        <v>#DIV/0!</v>
      </c>
      <c r="L85" cm="1">
        <f t="array" aca="1" ref="L85" ca="1">OFFSET('3-evol'!$A$1,COLUMN()-11,ROW()-1,,)</f>
        <v>0</v>
      </c>
      <c r="M85" cm="1">
        <f t="array" aca="1" ref="M85" ca="1">OFFSET('3-evol'!$A$1,COLUMN()-11,ROW()-1,,)</f>
        <v>0</v>
      </c>
      <c r="N85" cm="1">
        <f t="array" aca="1" ref="N85" ca="1">OFFSET('3-evol'!$A$1,COLUMN()-11,ROW()-1,,)</f>
        <v>0</v>
      </c>
      <c r="O85" t="str" cm="1">
        <f t="array" aca="1" ref="O85" ca="1">OFFSET('3-evol'!$A$1,COLUMN()-11,ROW()-1,,)</f>
        <v>Feedback - Si la réponse comporte moins de 2 étoiles OUI, merci de préciser votre réponse dans le champs ci-dessous :13</v>
      </c>
    </row>
    <row r="86" spans="1:15" x14ac:dyDescent="0.25">
      <c r="A86" cm="1">
        <f t="array" aca="1" ref="A86" ca="1">OFFSET('Sheet1 (2)'!$A$1,COLUMN()-1,ROW()-1,,)</f>
        <v>4.2857142857142856</v>
      </c>
      <c r="B86" cm="1">
        <f t="array" aca="1" ref="B86" ca="1">OFFSET('Sheet1 (2)'!$A$1,COLUMN()-1,ROW()-1,,)</f>
        <v>3</v>
      </c>
      <c r="C86" cm="1">
        <f t="array" aca="1" ref="C86" ca="1">OFFSET('Sheet1 (2)'!$A$1,COLUMN()-1,ROW()-1,,)</f>
        <v>5</v>
      </c>
      <c r="D86" cm="1">
        <f t="array" aca="1" ref="D86" ca="1">OFFSET('Sheet1 (2)'!$A$1,COLUMN()-1,ROW()-1,,)</f>
        <v>7</v>
      </c>
      <c r="E86" t="str" cm="1">
        <f t="array" aca="1" ref="E86" ca="1">OFFSET('Sheet1 (2)'!$A$1,COLUMN()-1,ROW()-1,,)</f>
        <v>PORTFOLIO : Les interactions de ce projet avec les autres initiatives sont gérées correctement</v>
      </c>
      <c r="F86" s="3" cm="1">
        <f t="array" aca="1" ref="F86" ca="1">OFFSET(Sheet1!$A$1,COLUMN()-6,ROW()-1,,)</f>
        <v>3.2592592592592591</v>
      </c>
      <c r="G86" cm="1">
        <f t="array" aca="1" ref="G86" ca="1">OFFSET(Sheet1!$A$1,COLUMN()-6,ROW()-1,,)</f>
        <v>1</v>
      </c>
      <c r="H86" cm="1">
        <f t="array" aca="1" ref="H86" ca="1">OFFSET(Sheet1!$A$1,COLUMN()-6,ROW()-1,,)</f>
        <v>5</v>
      </c>
      <c r="I86" cm="1">
        <f t="array" aca="1" ref="I86" ca="1">OFFSET(Sheet1!$A$1,COLUMN()-6,ROW()-1,,)</f>
        <v>27</v>
      </c>
      <c r="J86" s="2" t="str" cm="1">
        <f t="array" aca="1" ref="J86" ca="1">OFFSET(Sheet1!$A$1,COLUMN()-6,ROW()-1,,)</f>
        <v>PORTFOLIO : Les interactions de ce projet avec les autres initiatives sont gérées correctement</v>
      </c>
      <c r="K86" cm="1">
        <f t="array" aca="1" ref="K86" ca="1">OFFSET('3-evol'!$A$1,COLUMN()-11,ROW()-1,,)</f>
        <v>3.2105263157894739</v>
      </c>
      <c r="L86" cm="1">
        <f t="array" aca="1" ref="L86" ca="1">OFFSET('3-evol'!$A$1,COLUMN()-11,ROW()-1,,)</f>
        <v>1</v>
      </c>
      <c r="M86" cm="1">
        <f t="array" aca="1" ref="M86" ca="1">OFFSET('3-evol'!$A$1,COLUMN()-11,ROW()-1,,)</f>
        <v>5</v>
      </c>
      <c r="N86" cm="1">
        <f t="array" aca="1" ref="N86" ca="1">OFFSET('3-evol'!$A$1,COLUMN()-11,ROW()-1,,)</f>
        <v>19</v>
      </c>
      <c r="O86" t="str" cm="1">
        <f t="array" aca="1" ref="O86" ca="1">OFFSET('3-evol'!$A$1,COLUMN()-11,ROW()-1,,)</f>
        <v>PORTFOLIO : Les interactions de ce projet avec les autres initiatives sont gérées correctement</v>
      </c>
    </row>
    <row r="87" spans="1:15" hidden="1" x14ac:dyDescent="0.25">
      <c r="A87" t="e" cm="1">
        <f t="array" aca="1" ref="A87" ca="1">OFFSET('Sheet1 (2)'!$A$1,COLUMN()-1,ROW()-1,,)</f>
        <v>#DIV/0!</v>
      </c>
      <c r="B87" cm="1">
        <f t="array" aca="1" ref="B87" ca="1">OFFSET('Sheet1 (2)'!$A$1,COLUMN()-1,ROW()-1,,)</f>
        <v>0</v>
      </c>
      <c r="C87" cm="1">
        <f t="array" aca="1" ref="C87" ca="1">OFFSET('Sheet1 (2)'!$A$1,COLUMN()-1,ROW()-1,,)</f>
        <v>0</v>
      </c>
      <c r="D87" cm="1">
        <f t="array" aca="1" ref="D87" ca="1">OFFSET('Sheet1 (2)'!$A$1,COLUMN()-1,ROW()-1,,)</f>
        <v>0</v>
      </c>
      <c r="E87" t="str" cm="1">
        <f t="array" aca="1" ref="E87" ca="1">OFFSET('Sheet1 (2)'!$A$1,COLUMN()-1,ROW()-1,,)</f>
        <v>Points - PORTFOLIO : Les interactions de ce projet avec les autres initiatives sont gérées correctement</v>
      </c>
      <c r="F87" s="3" t="e" cm="1">
        <f t="array" aca="1" ref="F87" ca="1">OFFSET(Sheet1!$A$1,COLUMN()-6,ROW()-1,,)</f>
        <v>#DIV/0!</v>
      </c>
      <c r="G87" cm="1">
        <f t="array" aca="1" ref="G87" ca="1">OFFSET(Sheet1!$A$1,COLUMN()-6,ROW()-1,,)</f>
        <v>0</v>
      </c>
      <c r="H87" cm="1">
        <f t="array" aca="1" ref="H87" ca="1">OFFSET(Sheet1!$A$1,COLUMN()-6,ROW()-1,,)</f>
        <v>0</v>
      </c>
      <c r="I87" cm="1">
        <f t="array" aca="1" ref="I87" ca="1">OFFSET(Sheet1!$A$1,COLUMN()-6,ROW()-1,,)</f>
        <v>0</v>
      </c>
      <c r="J87" s="2" t="str" cm="1">
        <f t="array" aca="1" ref="J87" ca="1">OFFSET(Sheet1!$A$1,COLUMN()-6,ROW()-1,,)</f>
        <v>Points - PORTFOLIO : Les interactions de ce projet avec les autres initiatives sont gérées correctement</v>
      </c>
      <c r="K87" t="e" cm="1">
        <f t="array" aca="1" ref="K87" ca="1">OFFSET('3-evol'!$A$1,COLUMN()-11,ROW()-1,,)</f>
        <v>#DIV/0!</v>
      </c>
      <c r="L87" cm="1">
        <f t="array" aca="1" ref="L87" ca="1">OFFSET('3-evol'!$A$1,COLUMN()-11,ROW()-1,,)</f>
        <v>0</v>
      </c>
      <c r="M87" cm="1">
        <f t="array" aca="1" ref="M87" ca="1">OFFSET('3-evol'!$A$1,COLUMN()-11,ROW()-1,,)</f>
        <v>0</v>
      </c>
      <c r="N87" cm="1">
        <f t="array" aca="1" ref="N87" ca="1">OFFSET('3-evol'!$A$1,COLUMN()-11,ROW()-1,,)</f>
        <v>0</v>
      </c>
      <c r="O87" t="str" cm="1">
        <f t="array" aca="1" ref="O87" ca="1">OFFSET('3-evol'!$A$1,COLUMN()-11,ROW()-1,,)</f>
        <v>Points - PORTFOLIO : Les interactions de ce projet avec les autres initiatives sont gérées correctement</v>
      </c>
    </row>
    <row r="88" spans="1:15" hidden="1" x14ac:dyDescent="0.25">
      <c r="A88" t="e" cm="1">
        <f t="array" aca="1" ref="A88" ca="1">OFFSET('Sheet1 (2)'!$A$1,COLUMN()-1,ROW()-1,,)</f>
        <v>#DIV/0!</v>
      </c>
      <c r="B88" cm="1">
        <f t="array" aca="1" ref="B88" ca="1">OFFSET('Sheet1 (2)'!$A$1,COLUMN()-1,ROW()-1,,)</f>
        <v>0</v>
      </c>
      <c r="C88" cm="1">
        <f t="array" aca="1" ref="C88" ca="1">OFFSET('Sheet1 (2)'!$A$1,COLUMN()-1,ROW()-1,,)</f>
        <v>0</v>
      </c>
      <c r="D88" cm="1">
        <f t="array" aca="1" ref="D88" ca="1">OFFSET('Sheet1 (2)'!$A$1,COLUMN()-1,ROW()-1,,)</f>
        <v>0</v>
      </c>
      <c r="E88" t="str" cm="1">
        <f t="array" aca="1" ref="E88" ca="1">OFFSET('Sheet1 (2)'!$A$1,COLUMN()-1,ROW()-1,,)</f>
        <v>Feedback - PORTFOLIO : Les interactions de ce projet avec les autres initiatives sont gérées correctement</v>
      </c>
      <c r="F88" s="3" t="e" cm="1">
        <f t="array" aca="1" ref="F88" ca="1">OFFSET(Sheet1!$A$1,COLUMN()-6,ROW()-1,,)</f>
        <v>#DIV/0!</v>
      </c>
      <c r="G88" cm="1">
        <f t="array" aca="1" ref="G88" ca="1">OFFSET(Sheet1!$A$1,COLUMN()-6,ROW()-1,,)</f>
        <v>0</v>
      </c>
      <c r="H88" cm="1">
        <f t="array" aca="1" ref="H88" ca="1">OFFSET(Sheet1!$A$1,COLUMN()-6,ROW()-1,,)</f>
        <v>0</v>
      </c>
      <c r="I88" cm="1">
        <f t="array" aca="1" ref="I88" ca="1">OFFSET(Sheet1!$A$1,COLUMN()-6,ROW()-1,,)</f>
        <v>0</v>
      </c>
      <c r="J88" s="2" t="str" cm="1">
        <f t="array" aca="1" ref="J88" ca="1">OFFSET(Sheet1!$A$1,COLUMN()-6,ROW()-1,,)</f>
        <v>Feedback - PORTFOLIO : Les interactions de ce projet avec les autres initiatives sont gérées correctement</v>
      </c>
      <c r="K88" t="e" cm="1">
        <f t="array" aca="1" ref="K88" ca="1">OFFSET('3-evol'!$A$1,COLUMN()-11,ROW()-1,,)</f>
        <v>#DIV/0!</v>
      </c>
      <c r="L88" cm="1">
        <f t="array" aca="1" ref="L88" ca="1">OFFSET('3-evol'!$A$1,COLUMN()-11,ROW()-1,,)</f>
        <v>0</v>
      </c>
      <c r="M88" cm="1">
        <f t="array" aca="1" ref="M88" ca="1">OFFSET('3-evol'!$A$1,COLUMN()-11,ROW()-1,,)</f>
        <v>0</v>
      </c>
      <c r="N88" cm="1">
        <f t="array" aca="1" ref="N88" ca="1">OFFSET('3-evol'!$A$1,COLUMN()-11,ROW()-1,,)</f>
        <v>0</v>
      </c>
      <c r="O88" t="str" cm="1">
        <f t="array" aca="1" ref="O88" ca="1">OFFSET('3-evol'!$A$1,COLUMN()-11,ROW()-1,,)</f>
        <v>Feedback - PORTFOLIO : Les interactions de ce projet avec les autres initiatives sont gérées correctement</v>
      </c>
    </row>
    <row r="89" spans="1:15" hidden="1" x14ac:dyDescent="0.25">
      <c r="A89" t="e" cm="1">
        <f t="array" aca="1" ref="A89" ca="1">OFFSET('Sheet1 (2)'!$A$1,COLUMN()-1,ROW()-1,,)</f>
        <v>#DIV/0!</v>
      </c>
      <c r="B89" cm="1">
        <f t="array" aca="1" ref="B89" ca="1">OFFSET('Sheet1 (2)'!$A$1,COLUMN()-1,ROW()-1,,)</f>
        <v>0</v>
      </c>
      <c r="C89" cm="1">
        <f t="array" aca="1" ref="C89" ca="1">OFFSET('Sheet1 (2)'!$A$1,COLUMN()-1,ROW()-1,,)</f>
        <v>0</v>
      </c>
      <c r="D89" cm="1">
        <f t="array" aca="1" ref="D89" ca="1">OFFSET('Sheet1 (2)'!$A$1,COLUMN()-1,ROW()-1,,)</f>
        <v>0</v>
      </c>
      <c r="E89" t="str" cm="1">
        <f t="array" aca="1" ref="E89" ca="1">OFFSET('Sheet1 (2)'!$A$1,COLUMN()-1,ROW()-1,,)</f>
        <v>Si la réponse comporte moins de 2 étoiles OUI, merci de préciser votre réponse dans le champs ci-dessous :14</v>
      </c>
      <c r="F89" s="3" t="e" cm="1">
        <f t="array" aca="1" ref="F89" ca="1">OFFSET(Sheet1!$A$1,COLUMN()-6,ROW()-1,,)</f>
        <v>#DIV/0!</v>
      </c>
      <c r="G89" cm="1">
        <f t="array" aca="1" ref="G89" ca="1">OFFSET(Sheet1!$A$1,COLUMN()-6,ROW()-1,,)</f>
        <v>0</v>
      </c>
      <c r="H89" cm="1">
        <f t="array" aca="1" ref="H89" ca="1">OFFSET(Sheet1!$A$1,COLUMN()-6,ROW()-1,,)</f>
        <v>0</v>
      </c>
      <c r="I89" cm="1">
        <f t="array" aca="1" ref="I89" ca="1">OFFSET(Sheet1!$A$1,COLUMN()-6,ROW()-1,,)</f>
        <v>0</v>
      </c>
      <c r="J89" s="2" t="str" cm="1">
        <f t="array" aca="1" ref="J89" ca="1">OFFSET(Sheet1!$A$1,COLUMN()-6,ROW()-1,,)</f>
        <v>Si la réponse comporte moins de 2 étoiles OUI, merci de préciser votre réponse dans le champs ci-dessous :14</v>
      </c>
      <c r="K89" t="e" cm="1">
        <f t="array" aca="1" ref="K89" ca="1">OFFSET('3-evol'!$A$1,COLUMN()-11,ROW()-1,,)</f>
        <v>#DIV/0!</v>
      </c>
      <c r="L89" cm="1">
        <f t="array" aca="1" ref="L89" ca="1">OFFSET('3-evol'!$A$1,COLUMN()-11,ROW()-1,,)</f>
        <v>0</v>
      </c>
      <c r="M89" cm="1">
        <f t="array" aca="1" ref="M89" ca="1">OFFSET('3-evol'!$A$1,COLUMN()-11,ROW()-1,,)</f>
        <v>0</v>
      </c>
      <c r="N89" cm="1">
        <f t="array" aca="1" ref="N89" ca="1">OFFSET('3-evol'!$A$1,COLUMN()-11,ROW()-1,,)</f>
        <v>0</v>
      </c>
      <c r="O89" t="str" cm="1">
        <f t="array" aca="1" ref="O89" ca="1">OFFSET('3-evol'!$A$1,COLUMN()-11,ROW()-1,,)</f>
        <v>Si la réponse comporte moins de 2 étoiles OUI, merci de préciser votre réponse dans le champs ci-dessous :14</v>
      </c>
    </row>
    <row r="90" spans="1:15" hidden="1" x14ac:dyDescent="0.25">
      <c r="A90" t="e" cm="1">
        <f t="array" aca="1" ref="A90" ca="1">OFFSET('Sheet1 (2)'!$A$1,COLUMN()-1,ROW()-1,,)</f>
        <v>#DIV/0!</v>
      </c>
      <c r="B90" cm="1">
        <f t="array" aca="1" ref="B90" ca="1">OFFSET('Sheet1 (2)'!$A$1,COLUMN()-1,ROW()-1,,)</f>
        <v>0</v>
      </c>
      <c r="C90" cm="1">
        <f t="array" aca="1" ref="C90" ca="1">OFFSET('Sheet1 (2)'!$A$1,COLUMN()-1,ROW()-1,,)</f>
        <v>0</v>
      </c>
      <c r="D90" cm="1">
        <f t="array" aca="1" ref="D90" ca="1">OFFSET('Sheet1 (2)'!$A$1,COLUMN()-1,ROW()-1,,)</f>
        <v>0</v>
      </c>
      <c r="E90" t="str" cm="1">
        <f t="array" aca="1" ref="E90" ca="1">OFFSET('Sheet1 (2)'!$A$1,COLUMN()-1,ROW()-1,,)</f>
        <v>Points - Si la réponse comporte moins de 2 étoiles OUI, merci de préciser votre réponse dans le champs ci-dessous :14</v>
      </c>
      <c r="F90" s="3" t="e" cm="1">
        <f t="array" aca="1" ref="F90" ca="1">OFFSET(Sheet1!$A$1,COLUMN()-6,ROW()-1,,)</f>
        <v>#DIV/0!</v>
      </c>
      <c r="G90" cm="1">
        <f t="array" aca="1" ref="G90" ca="1">OFFSET(Sheet1!$A$1,COLUMN()-6,ROW()-1,,)</f>
        <v>0</v>
      </c>
      <c r="H90" cm="1">
        <f t="array" aca="1" ref="H90" ca="1">OFFSET(Sheet1!$A$1,COLUMN()-6,ROW()-1,,)</f>
        <v>0</v>
      </c>
      <c r="I90" cm="1">
        <f t="array" aca="1" ref="I90" ca="1">OFFSET(Sheet1!$A$1,COLUMN()-6,ROW()-1,,)</f>
        <v>0</v>
      </c>
      <c r="J90" s="2" t="str" cm="1">
        <f t="array" aca="1" ref="J90" ca="1">OFFSET(Sheet1!$A$1,COLUMN()-6,ROW()-1,,)</f>
        <v>Points - Si la réponse comporte moins de 2 étoiles OUI, merci de préciser votre réponse dans le champs ci-dessous :14</v>
      </c>
      <c r="K90" t="e" cm="1">
        <f t="array" aca="1" ref="K90" ca="1">OFFSET('3-evol'!$A$1,COLUMN()-11,ROW()-1,,)</f>
        <v>#DIV/0!</v>
      </c>
      <c r="L90" cm="1">
        <f t="array" aca="1" ref="L90" ca="1">OFFSET('3-evol'!$A$1,COLUMN()-11,ROW()-1,,)</f>
        <v>0</v>
      </c>
      <c r="M90" cm="1">
        <f t="array" aca="1" ref="M90" ca="1">OFFSET('3-evol'!$A$1,COLUMN()-11,ROW()-1,,)</f>
        <v>0</v>
      </c>
      <c r="N90" cm="1">
        <f t="array" aca="1" ref="N90" ca="1">OFFSET('3-evol'!$A$1,COLUMN()-11,ROW()-1,,)</f>
        <v>0</v>
      </c>
      <c r="O90" t="str" cm="1">
        <f t="array" aca="1" ref="O90" ca="1">OFFSET('3-evol'!$A$1,COLUMN()-11,ROW()-1,,)</f>
        <v>Points - Si la réponse comporte moins de 2 étoiles OUI, merci de préciser votre réponse dans le champs ci-dessous :14</v>
      </c>
    </row>
    <row r="91" spans="1:15" hidden="1" x14ac:dyDescent="0.25">
      <c r="A91" t="e" cm="1">
        <f t="array" aca="1" ref="A91" ca="1">OFFSET('Sheet1 (2)'!$A$1,COLUMN()-1,ROW()-1,,)</f>
        <v>#DIV/0!</v>
      </c>
      <c r="B91" cm="1">
        <f t="array" aca="1" ref="B91" ca="1">OFFSET('Sheet1 (2)'!$A$1,COLUMN()-1,ROW()-1,,)</f>
        <v>0</v>
      </c>
      <c r="C91" cm="1">
        <f t="array" aca="1" ref="C91" ca="1">OFFSET('Sheet1 (2)'!$A$1,COLUMN()-1,ROW()-1,,)</f>
        <v>0</v>
      </c>
      <c r="D91" cm="1">
        <f t="array" aca="1" ref="D91" ca="1">OFFSET('Sheet1 (2)'!$A$1,COLUMN()-1,ROW()-1,,)</f>
        <v>0</v>
      </c>
      <c r="E91" t="str" cm="1">
        <f t="array" aca="1" ref="E91" ca="1">OFFSET('Sheet1 (2)'!$A$1,COLUMN()-1,ROW()-1,,)</f>
        <v>Feedback - Si la réponse comporte moins de 2 étoiles OUI, merci de préciser votre réponse dans le champs ci-dessous :14</v>
      </c>
      <c r="F91" s="3" t="e" cm="1">
        <f t="array" aca="1" ref="F91" ca="1">OFFSET(Sheet1!$A$1,COLUMN()-6,ROW()-1,,)</f>
        <v>#DIV/0!</v>
      </c>
      <c r="G91" cm="1">
        <f t="array" aca="1" ref="G91" ca="1">OFFSET(Sheet1!$A$1,COLUMN()-6,ROW()-1,,)</f>
        <v>0</v>
      </c>
      <c r="H91" cm="1">
        <f t="array" aca="1" ref="H91" ca="1">OFFSET(Sheet1!$A$1,COLUMN()-6,ROW()-1,,)</f>
        <v>0</v>
      </c>
      <c r="I91" cm="1">
        <f t="array" aca="1" ref="I91" ca="1">OFFSET(Sheet1!$A$1,COLUMN()-6,ROW()-1,,)</f>
        <v>0</v>
      </c>
      <c r="J91" s="2" t="str" cm="1">
        <f t="array" aca="1" ref="J91" ca="1">OFFSET(Sheet1!$A$1,COLUMN()-6,ROW()-1,,)</f>
        <v>Feedback - Si la réponse comporte moins de 2 étoiles OUI, merci de préciser votre réponse dans le champs ci-dessous :14</v>
      </c>
      <c r="K91" t="e" cm="1">
        <f t="array" aca="1" ref="K91" ca="1">OFFSET('3-evol'!$A$1,COLUMN()-11,ROW()-1,,)</f>
        <v>#DIV/0!</v>
      </c>
      <c r="L91" cm="1">
        <f t="array" aca="1" ref="L91" ca="1">OFFSET('3-evol'!$A$1,COLUMN()-11,ROW()-1,,)</f>
        <v>0</v>
      </c>
      <c r="M91" cm="1">
        <f t="array" aca="1" ref="M91" ca="1">OFFSET('3-evol'!$A$1,COLUMN()-11,ROW()-1,,)</f>
        <v>0</v>
      </c>
      <c r="N91" cm="1">
        <f t="array" aca="1" ref="N91" ca="1">OFFSET('3-evol'!$A$1,COLUMN()-11,ROW()-1,,)</f>
        <v>0</v>
      </c>
      <c r="O91" t="str" cm="1">
        <f t="array" aca="1" ref="O91" ca="1">OFFSET('3-evol'!$A$1,COLUMN()-11,ROW()-1,,)</f>
        <v>Feedback - Si la réponse comporte moins de 2 étoiles OUI, merci de préciser votre réponse dans le champs ci-dessous :14</v>
      </c>
    </row>
    <row r="92" spans="1:15" x14ac:dyDescent="0.25">
      <c r="A92" cm="1">
        <f t="array" aca="1" ref="A92" ca="1">OFFSET('Sheet1 (2)'!$A$1,COLUMN()-1,ROW()-1,,)</f>
        <v>4.5714285714285712</v>
      </c>
      <c r="B92" cm="1">
        <f t="array" aca="1" ref="B92" ca="1">OFFSET('Sheet1 (2)'!$A$1,COLUMN()-1,ROW()-1,,)</f>
        <v>4</v>
      </c>
      <c r="C92" cm="1">
        <f t="array" aca="1" ref="C92" ca="1">OFFSET('Sheet1 (2)'!$A$1,COLUMN()-1,ROW()-1,,)</f>
        <v>5</v>
      </c>
      <c r="D92" cm="1">
        <f t="array" aca="1" ref="D92" ca="1">OFFSET('Sheet1 (2)'!$A$1,COLUMN()-1,ROW()-1,,)</f>
        <v>7</v>
      </c>
      <c r="E92" t="str" cm="1">
        <f t="array" aca="1" ref="E92" ca="1">OFFSET('Sheet1 (2)'!$A$1,COLUMN()-1,ROW()-1,,)</f>
        <v>CHEMIN CRITIQUE : Les délais et ressources à travers de ce projet sont gérés efficacement</v>
      </c>
      <c r="F92" s="3" cm="1">
        <f t="array" aca="1" ref="F92" ca="1">OFFSET(Sheet1!$A$1,COLUMN()-6,ROW()-1,,)</f>
        <v>3.2962962962962963</v>
      </c>
      <c r="G92" cm="1">
        <f t="array" aca="1" ref="G92" ca="1">OFFSET(Sheet1!$A$1,COLUMN()-6,ROW()-1,,)</f>
        <v>2</v>
      </c>
      <c r="H92" cm="1">
        <f t="array" aca="1" ref="H92" ca="1">OFFSET(Sheet1!$A$1,COLUMN()-6,ROW()-1,,)</f>
        <v>5</v>
      </c>
      <c r="I92" cm="1">
        <f t="array" aca="1" ref="I92" ca="1">OFFSET(Sheet1!$A$1,COLUMN()-6,ROW()-1,,)</f>
        <v>27</v>
      </c>
      <c r="J92" s="2" t="str" cm="1">
        <f t="array" aca="1" ref="J92" ca="1">OFFSET(Sheet1!$A$1,COLUMN()-6,ROW()-1,,)</f>
        <v>CHEMIN CRITIQUE : Les délais et ressources à travers de ce projet sont gérés efficacement</v>
      </c>
      <c r="K92" cm="1">
        <f t="array" aca="1" ref="K92" ca="1">OFFSET('3-evol'!$A$1,COLUMN()-11,ROW()-1,,)</f>
        <v>3</v>
      </c>
      <c r="L92" cm="1">
        <f t="array" aca="1" ref="L92" ca="1">OFFSET('3-evol'!$A$1,COLUMN()-11,ROW()-1,,)</f>
        <v>1</v>
      </c>
      <c r="M92" cm="1">
        <f t="array" aca="1" ref="M92" ca="1">OFFSET('3-evol'!$A$1,COLUMN()-11,ROW()-1,,)</f>
        <v>5</v>
      </c>
      <c r="N92" cm="1">
        <f t="array" aca="1" ref="N92" ca="1">OFFSET('3-evol'!$A$1,COLUMN()-11,ROW()-1,,)</f>
        <v>19</v>
      </c>
      <c r="O92" t="str" cm="1">
        <f t="array" aca="1" ref="O92" ca="1">OFFSET('3-evol'!$A$1,COLUMN()-11,ROW()-1,,)</f>
        <v>CHEMIN CRITIQUE : Les délais et ressources à travers de ce projet sont gérés efficacement</v>
      </c>
    </row>
    <row r="93" spans="1:15" hidden="1" x14ac:dyDescent="0.25">
      <c r="A93" t="e" cm="1">
        <f t="array" aca="1" ref="A93" ca="1">OFFSET('Sheet1 (2)'!$A$1,COLUMN()-1,ROW()-1,,)</f>
        <v>#DIV/0!</v>
      </c>
      <c r="B93" cm="1">
        <f t="array" aca="1" ref="B93" ca="1">OFFSET('Sheet1 (2)'!$A$1,COLUMN()-1,ROW()-1,,)</f>
        <v>0</v>
      </c>
      <c r="C93" cm="1">
        <f t="array" aca="1" ref="C93" ca="1">OFFSET('Sheet1 (2)'!$A$1,COLUMN()-1,ROW()-1,,)</f>
        <v>0</v>
      </c>
      <c r="D93" cm="1">
        <f t="array" aca="1" ref="D93" ca="1">OFFSET('Sheet1 (2)'!$A$1,COLUMN()-1,ROW()-1,,)</f>
        <v>0</v>
      </c>
      <c r="E93" t="str" cm="1">
        <f t="array" aca="1" ref="E93" ca="1">OFFSET('Sheet1 (2)'!$A$1,COLUMN()-1,ROW()-1,,)</f>
        <v>Points - CHEMIN CRITIQUE : Les délais et ressources à travers de ce projet sont gérés efficacement</v>
      </c>
      <c r="F93" s="3" t="e" cm="1">
        <f t="array" aca="1" ref="F93" ca="1">OFFSET(Sheet1!$A$1,COLUMN()-6,ROW()-1,,)</f>
        <v>#DIV/0!</v>
      </c>
      <c r="G93" cm="1">
        <f t="array" aca="1" ref="G93" ca="1">OFFSET(Sheet1!$A$1,COLUMN()-6,ROW()-1,,)</f>
        <v>0</v>
      </c>
      <c r="H93" cm="1">
        <f t="array" aca="1" ref="H93" ca="1">OFFSET(Sheet1!$A$1,COLUMN()-6,ROW()-1,,)</f>
        <v>0</v>
      </c>
      <c r="I93" cm="1">
        <f t="array" aca="1" ref="I93" ca="1">OFFSET(Sheet1!$A$1,COLUMN()-6,ROW()-1,,)</f>
        <v>0</v>
      </c>
      <c r="J93" s="2" t="str" cm="1">
        <f t="array" aca="1" ref="J93" ca="1">OFFSET(Sheet1!$A$1,COLUMN()-6,ROW()-1,,)</f>
        <v>Points - CHEMIN CRITIQUE : Les délais et ressources à travers de ce projet sont gérés efficacement</v>
      </c>
      <c r="K93" t="e" cm="1">
        <f t="array" aca="1" ref="K93" ca="1">OFFSET('3-evol'!$A$1,COLUMN()-11,ROW()-1,,)</f>
        <v>#DIV/0!</v>
      </c>
      <c r="L93" cm="1">
        <f t="array" aca="1" ref="L93" ca="1">OFFSET('3-evol'!$A$1,COLUMN()-11,ROW()-1,,)</f>
        <v>0</v>
      </c>
      <c r="M93" cm="1">
        <f t="array" aca="1" ref="M93" ca="1">OFFSET('3-evol'!$A$1,COLUMN()-11,ROW()-1,,)</f>
        <v>0</v>
      </c>
      <c r="N93" cm="1">
        <f t="array" aca="1" ref="N93" ca="1">OFFSET('3-evol'!$A$1,COLUMN()-11,ROW()-1,,)</f>
        <v>0</v>
      </c>
      <c r="O93" t="str" cm="1">
        <f t="array" aca="1" ref="O93" ca="1">OFFSET('3-evol'!$A$1,COLUMN()-11,ROW()-1,,)</f>
        <v>Points - CHEMIN CRITIQUE : Les délais et ressources à travers de ce projet sont gérés efficacement</v>
      </c>
    </row>
    <row r="94" spans="1:15" hidden="1" x14ac:dyDescent="0.25">
      <c r="A94" t="e" cm="1">
        <f t="array" aca="1" ref="A94" ca="1">OFFSET('Sheet1 (2)'!$A$1,COLUMN()-1,ROW()-1,,)</f>
        <v>#DIV/0!</v>
      </c>
      <c r="B94" cm="1">
        <f t="array" aca="1" ref="B94" ca="1">OFFSET('Sheet1 (2)'!$A$1,COLUMN()-1,ROW()-1,,)</f>
        <v>0</v>
      </c>
      <c r="C94" cm="1">
        <f t="array" aca="1" ref="C94" ca="1">OFFSET('Sheet1 (2)'!$A$1,COLUMN()-1,ROW()-1,,)</f>
        <v>0</v>
      </c>
      <c r="D94" cm="1">
        <f t="array" aca="1" ref="D94" ca="1">OFFSET('Sheet1 (2)'!$A$1,COLUMN()-1,ROW()-1,,)</f>
        <v>0</v>
      </c>
      <c r="E94" t="str" cm="1">
        <f t="array" aca="1" ref="E94" ca="1">OFFSET('Sheet1 (2)'!$A$1,COLUMN()-1,ROW()-1,,)</f>
        <v>Feedback - CHEMIN CRITIQUE : Les délais et ressources à travers de ce projet sont gérés efficacement</v>
      </c>
      <c r="F94" s="3" t="e" cm="1">
        <f t="array" aca="1" ref="F94" ca="1">OFFSET(Sheet1!$A$1,COLUMN()-6,ROW()-1,,)</f>
        <v>#DIV/0!</v>
      </c>
      <c r="G94" cm="1">
        <f t="array" aca="1" ref="G94" ca="1">OFFSET(Sheet1!$A$1,COLUMN()-6,ROW()-1,,)</f>
        <v>0</v>
      </c>
      <c r="H94" cm="1">
        <f t="array" aca="1" ref="H94" ca="1">OFFSET(Sheet1!$A$1,COLUMN()-6,ROW()-1,,)</f>
        <v>0</v>
      </c>
      <c r="I94" cm="1">
        <f t="array" aca="1" ref="I94" ca="1">OFFSET(Sheet1!$A$1,COLUMN()-6,ROW()-1,,)</f>
        <v>0</v>
      </c>
      <c r="J94" s="2" t="str" cm="1">
        <f t="array" aca="1" ref="J94" ca="1">OFFSET(Sheet1!$A$1,COLUMN()-6,ROW()-1,,)</f>
        <v>Feedback - CHEMIN CRITIQUE : Les délais et ressources à travers de ce projet sont gérés efficacement</v>
      </c>
      <c r="K94" t="e" cm="1">
        <f t="array" aca="1" ref="K94" ca="1">OFFSET('3-evol'!$A$1,COLUMN()-11,ROW()-1,,)</f>
        <v>#DIV/0!</v>
      </c>
      <c r="L94" cm="1">
        <f t="array" aca="1" ref="L94" ca="1">OFFSET('3-evol'!$A$1,COLUMN()-11,ROW()-1,,)</f>
        <v>0</v>
      </c>
      <c r="M94" cm="1">
        <f t="array" aca="1" ref="M94" ca="1">OFFSET('3-evol'!$A$1,COLUMN()-11,ROW()-1,,)</f>
        <v>0</v>
      </c>
      <c r="N94" cm="1">
        <f t="array" aca="1" ref="N94" ca="1">OFFSET('3-evol'!$A$1,COLUMN()-11,ROW()-1,,)</f>
        <v>0</v>
      </c>
      <c r="O94" t="str" cm="1">
        <f t="array" aca="1" ref="O94" ca="1">OFFSET('3-evol'!$A$1,COLUMN()-11,ROW()-1,,)</f>
        <v>Feedback - CHEMIN CRITIQUE : Les délais et ressources à travers de ce projet sont gérés efficacement</v>
      </c>
    </row>
    <row r="95" spans="1:15" hidden="1" x14ac:dyDescent="0.25">
      <c r="A95" t="e" cm="1">
        <f t="array" aca="1" ref="A95" ca="1">OFFSET('Sheet1 (2)'!$A$1,COLUMN()-1,ROW()-1,,)</f>
        <v>#DIV/0!</v>
      </c>
      <c r="B95" cm="1">
        <f t="array" aca="1" ref="B95" ca="1">OFFSET('Sheet1 (2)'!$A$1,COLUMN()-1,ROW()-1,,)</f>
        <v>0</v>
      </c>
      <c r="C95" cm="1">
        <f t="array" aca="1" ref="C95" ca="1">OFFSET('Sheet1 (2)'!$A$1,COLUMN()-1,ROW()-1,,)</f>
        <v>0</v>
      </c>
      <c r="D95" cm="1">
        <f t="array" aca="1" ref="D95" ca="1">OFFSET('Sheet1 (2)'!$A$1,COLUMN()-1,ROW()-1,,)</f>
        <v>0</v>
      </c>
      <c r="E95" t="str" cm="1">
        <f t="array" aca="1" ref="E95" ca="1">OFFSET('Sheet1 (2)'!$A$1,COLUMN()-1,ROW()-1,,)</f>
        <v>Si la réponse comporte moins de 2 étoiles OUI, merci de préciser votre réponse dans le champs ci-dessous :15</v>
      </c>
      <c r="F95" s="3" t="e" cm="1">
        <f t="array" aca="1" ref="F95" ca="1">OFFSET(Sheet1!$A$1,COLUMN()-6,ROW()-1,,)</f>
        <v>#DIV/0!</v>
      </c>
      <c r="G95" cm="1">
        <f t="array" aca="1" ref="G95" ca="1">OFFSET(Sheet1!$A$1,COLUMN()-6,ROW()-1,,)</f>
        <v>0</v>
      </c>
      <c r="H95" cm="1">
        <f t="array" aca="1" ref="H95" ca="1">OFFSET(Sheet1!$A$1,COLUMN()-6,ROW()-1,,)</f>
        <v>0</v>
      </c>
      <c r="I95" cm="1">
        <f t="array" aca="1" ref="I95" ca="1">OFFSET(Sheet1!$A$1,COLUMN()-6,ROW()-1,,)</f>
        <v>0</v>
      </c>
      <c r="J95" s="2" t="str" cm="1">
        <f t="array" aca="1" ref="J95" ca="1">OFFSET(Sheet1!$A$1,COLUMN()-6,ROW()-1,,)</f>
        <v>Si la réponse comporte moins de 2 étoiles OUI, merci de préciser votre réponse dans le champs ci-dessous :15</v>
      </c>
      <c r="K95" t="e" cm="1">
        <f t="array" aca="1" ref="K95" ca="1">OFFSET('3-evol'!$A$1,COLUMN()-11,ROW()-1,,)</f>
        <v>#DIV/0!</v>
      </c>
      <c r="L95" cm="1">
        <f t="array" aca="1" ref="L95" ca="1">OFFSET('3-evol'!$A$1,COLUMN()-11,ROW()-1,,)</f>
        <v>0</v>
      </c>
      <c r="M95" cm="1">
        <f t="array" aca="1" ref="M95" ca="1">OFFSET('3-evol'!$A$1,COLUMN()-11,ROW()-1,,)</f>
        <v>0</v>
      </c>
      <c r="N95" cm="1">
        <f t="array" aca="1" ref="N95" ca="1">OFFSET('3-evol'!$A$1,COLUMN()-11,ROW()-1,,)</f>
        <v>0</v>
      </c>
      <c r="O95" t="str" cm="1">
        <f t="array" aca="1" ref="O95" ca="1">OFFSET('3-evol'!$A$1,COLUMN()-11,ROW()-1,,)</f>
        <v>Si la réponse comporte moins de 2 étoiles OUI, merci de préciser votre réponse dans le champs ci-dessous :15</v>
      </c>
    </row>
    <row r="96" spans="1:15" hidden="1" x14ac:dyDescent="0.25">
      <c r="A96" t="e" cm="1">
        <f t="array" aca="1" ref="A96" ca="1">OFFSET('Sheet1 (2)'!$A$1,COLUMN()-1,ROW()-1,,)</f>
        <v>#DIV/0!</v>
      </c>
      <c r="B96" cm="1">
        <f t="array" aca="1" ref="B96" ca="1">OFFSET('Sheet1 (2)'!$A$1,COLUMN()-1,ROW()-1,,)</f>
        <v>0</v>
      </c>
      <c r="C96" cm="1">
        <f t="array" aca="1" ref="C96" ca="1">OFFSET('Sheet1 (2)'!$A$1,COLUMN()-1,ROW()-1,,)</f>
        <v>0</v>
      </c>
      <c r="D96" cm="1">
        <f t="array" aca="1" ref="D96" ca="1">OFFSET('Sheet1 (2)'!$A$1,COLUMN()-1,ROW()-1,,)</f>
        <v>0</v>
      </c>
      <c r="E96" t="str" cm="1">
        <f t="array" aca="1" ref="E96" ca="1">OFFSET('Sheet1 (2)'!$A$1,COLUMN()-1,ROW()-1,,)</f>
        <v>Points - Si la réponse comporte moins de 2 étoiles OUI, merci de préciser votre réponse dans le champs ci-dessous :15</v>
      </c>
      <c r="F96" s="3" t="e" cm="1">
        <f t="array" aca="1" ref="F96" ca="1">OFFSET(Sheet1!$A$1,COLUMN()-6,ROW()-1,,)</f>
        <v>#DIV/0!</v>
      </c>
      <c r="G96" cm="1">
        <f t="array" aca="1" ref="G96" ca="1">OFFSET(Sheet1!$A$1,COLUMN()-6,ROW()-1,,)</f>
        <v>0</v>
      </c>
      <c r="H96" cm="1">
        <f t="array" aca="1" ref="H96" ca="1">OFFSET(Sheet1!$A$1,COLUMN()-6,ROW()-1,,)</f>
        <v>0</v>
      </c>
      <c r="I96" cm="1">
        <f t="array" aca="1" ref="I96" ca="1">OFFSET(Sheet1!$A$1,COLUMN()-6,ROW()-1,,)</f>
        <v>0</v>
      </c>
      <c r="J96" s="2" t="str" cm="1">
        <f t="array" aca="1" ref="J96" ca="1">OFFSET(Sheet1!$A$1,COLUMN()-6,ROW()-1,,)</f>
        <v>Points - Si la réponse comporte moins de 2 étoiles OUI, merci de préciser votre réponse dans le champs ci-dessous :15</v>
      </c>
      <c r="K96" t="e" cm="1">
        <f t="array" aca="1" ref="K96" ca="1">OFFSET('3-evol'!$A$1,COLUMN()-11,ROW()-1,,)</f>
        <v>#DIV/0!</v>
      </c>
      <c r="L96" cm="1">
        <f t="array" aca="1" ref="L96" ca="1">OFFSET('3-evol'!$A$1,COLUMN()-11,ROW()-1,,)</f>
        <v>0</v>
      </c>
      <c r="M96" cm="1">
        <f t="array" aca="1" ref="M96" ca="1">OFFSET('3-evol'!$A$1,COLUMN()-11,ROW()-1,,)</f>
        <v>0</v>
      </c>
      <c r="N96" cm="1">
        <f t="array" aca="1" ref="N96" ca="1">OFFSET('3-evol'!$A$1,COLUMN()-11,ROW()-1,,)</f>
        <v>0</v>
      </c>
      <c r="O96" t="str" cm="1">
        <f t="array" aca="1" ref="O96" ca="1">OFFSET('3-evol'!$A$1,COLUMN()-11,ROW()-1,,)</f>
        <v>Points - Si la réponse comporte moins de 2 étoiles OUI, merci de préciser votre réponse dans le champs ci-dessous :15</v>
      </c>
    </row>
    <row r="97" spans="1:15" hidden="1" x14ac:dyDescent="0.25">
      <c r="A97" t="e" cm="1">
        <f t="array" aca="1" ref="A97" ca="1">OFFSET('Sheet1 (2)'!$A$1,COLUMN()-1,ROW()-1,,)</f>
        <v>#DIV/0!</v>
      </c>
      <c r="B97" cm="1">
        <f t="array" aca="1" ref="B97" ca="1">OFFSET('Sheet1 (2)'!$A$1,COLUMN()-1,ROW()-1,,)</f>
        <v>0</v>
      </c>
      <c r="C97" cm="1">
        <f t="array" aca="1" ref="C97" ca="1">OFFSET('Sheet1 (2)'!$A$1,COLUMN()-1,ROW()-1,,)</f>
        <v>0</v>
      </c>
      <c r="D97" cm="1">
        <f t="array" aca="1" ref="D97" ca="1">OFFSET('Sheet1 (2)'!$A$1,COLUMN()-1,ROW()-1,,)</f>
        <v>0</v>
      </c>
      <c r="E97" t="str" cm="1">
        <f t="array" aca="1" ref="E97" ca="1">OFFSET('Sheet1 (2)'!$A$1,COLUMN()-1,ROW()-1,,)</f>
        <v>Feedback - Si la réponse comporte moins de 2 étoiles OUI, merci de préciser votre réponse dans le champs ci-dessous :15</v>
      </c>
      <c r="F97" s="3" t="e" cm="1">
        <f t="array" aca="1" ref="F97" ca="1">OFFSET(Sheet1!$A$1,COLUMN()-6,ROW()-1,,)</f>
        <v>#DIV/0!</v>
      </c>
      <c r="G97" cm="1">
        <f t="array" aca="1" ref="G97" ca="1">OFFSET(Sheet1!$A$1,COLUMN()-6,ROW()-1,,)</f>
        <v>0</v>
      </c>
      <c r="H97" cm="1">
        <f t="array" aca="1" ref="H97" ca="1">OFFSET(Sheet1!$A$1,COLUMN()-6,ROW()-1,,)</f>
        <v>0</v>
      </c>
      <c r="I97" cm="1">
        <f t="array" aca="1" ref="I97" ca="1">OFFSET(Sheet1!$A$1,COLUMN()-6,ROW()-1,,)</f>
        <v>0</v>
      </c>
      <c r="J97" s="2" t="str" cm="1">
        <f t="array" aca="1" ref="J97" ca="1">OFFSET(Sheet1!$A$1,COLUMN()-6,ROW()-1,,)</f>
        <v>Feedback - Si la réponse comporte moins de 2 étoiles OUI, merci de préciser votre réponse dans le champs ci-dessous :15</v>
      </c>
      <c r="K97" t="e" cm="1">
        <f t="array" aca="1" ref="K97" ca="1">OFFSET('3-evol'!$A$1,COLUMN()-11,ROW()-1,,)</f>
        <v>#DIV/0!</v>
      </c>
      <c r="L97" cm="1">
        <f t="array" aca="1" ref="L97" ca="1">OFFSET('3-evol'!$A$1,COLUMN()-11,ROW()-1,,)</f>
        <v>0</v>
      </c>
      <c r="M97" cm="1">
        <f t="array" aca="1" ref="M97" ca="1">OFFSET('3-evol'!$A$1,COLUMN()-11,ROW()-1,,)</f>
        <v>0</v>
      </c>
      <c r="N97" cm="1">
        <f t="array" aca="1" ref="N97" ca="1">OFFSET('3-evol'!$A$1,COLUMN()-11,ROW()-1,,)</f>
        <v>0</v>
      </c>
      <c r="O97" t="str" cm="1">
        <f t="array" aca="1" ref="O97" ca="1">OFFSET('3-evol'!$A$1,COLUMN()-11,ROW()-1,,)</f>
        <v>Feedback - Si la réponse comporte moins de 2 étoiles OUI, merci de préciser votre réponse dans le champs ci-dessous :15</v>
      </c>
    </row>
    <row r="98" spans="1:15" hidden="1" x14ac:dyDescent="0.25">
      <c r="A98" cm="1">
        <f t="array" aca="1" ref="A98" ca="1">OFFSET('Sheet1 (2)'!$A$1,COLUMN()-1,ROW()-1,,)</f>
        <v>0</v>
      </c>
      <c r="B98" cm="1">
        <f t="array" aca="1" ref="B98" ca="1">OFFSET('Sheet1 (2)'!$A$1,COLUMN()-1,ROW()-1,,)</f>
        <v>0</v>
      </c>
      <c r="C98" cm="1">
        <f t="array" aca="1" ref="C98" ca="1">OFFSET('Sheet1 (2)'!$A$1,COLUMN()-1,ROW()-1,,)</f>
        <v>0</v>
      </c>
      <c r="D98" cm="1">
        <f t="array" aca="1" ref="D98" ca="1">OFFSET('Sheet1 (2)'!$A$1,COLUMN()-1,ROW()-1,,)</f>
        <v>0</v>
      </c>
      <c r="E98" cm="1">
        <f t="array" aca="1" ref="E98" ca="1">OFFSET('Sheet1 (2)'!$A$1,COLUMN()-1,ROW()-1,,)</f>
        <v>0</v>
      </c>
      <c r="F98" s="3" cm="1">
        <f t="array" aca="1" ref="F98" ca="1">OFFSET(Sheet1!$A$1,COLUMN()-6,ROW()-1,,)</f>
        <v>0</v>
      </c>
      <c r="G98" cm="1">
        <f t="array" aca="1" ref="G98" ca="1">OFFSET(Sheet1!$A$1,COLUMN()-6,ROW()-1,,)</f>
        <v>0</v>
      </c>
      <c r="H98" cm="1">
        <f t="array" aca="1" ref="H98" ca="1">OFFSET(Sheet1!$A$1,COLUMN()-6,ROW()-1,,)</f>
        <v>0</v>
      </c>
      <c r="I98" cm="1">
        <f t="array" aca="1" ref="I98" ca="1">OFFSET(Sheet1!$A$1,COLUMN()-6,ROW()-1,,)</f>
        <v>0</v>
      </c>
      <c r="J98" s="2" cm="1">
        <f t="array" aca="1" ref="J98" ca="1">OFFSET(Sheet1!$A$1,COLUMN()-6,ROW()-1,,)</f>
        <v>0</v>
      </c>
      <c r="K98" cm="1">
        <f t="array" aca="1" ref="K98" ca="1">OFFSET('3-evol'!$A$1,COLUMN()-11,ROW()-1,,)</f>
        <v>0</v>
      </c>
      <c r="L98" cm="1">
        <f t="array" aca="1" ref="L98" ca="1">OFFSET('3-evol'!$A$1,COLUMN()-11,ROW()-1,,)</f>
        <v>0</v>
      </c>
      <c r="M98" cm="1">
        <f t="array" aca="1" ref="M98" ca="1">OFFSET('3-evol'!$A$1,COLUMN()-11,ROW()-1,,)</f>
        <v>0</v>
      </c>
      <c r="N98" cm="1">
        <f t="array" aca="1" ref="N98" ca="1">OFFSET('3-evol'!$A$1,COLUMN()-11,ROW()-1,,)</f>
        <v>0</v>
      </c>
      <c r="O98" cm="1">
        <f t="array" aca="1" ref="O98" ca="1">OFFSET('3-evol'!$A$1,COLUMN()-11,ROW()-1,,)</f>
        <v>0</v>
      </c>
    </row>
  </sheetData>
  <autoFilter ref="A1:J98" xr:uid="{10E04E00-56CA-4E5D-9404-7F4D5189C187}">
    <filterColumn colId="0">
      <filters>
        <filter val="0"/>
        <filter val="3,714285714"/>
        <filter val="4"/>
        <filter val="4,285714286"/>
        <filter val="4,428571429"/>
        <filter val="4,571428571"/>
        <filter val="4,714285714"/>
        <filter val="4,857142857"/>
        <filter val="44901,60088"/>
        <filter val="5"/>
      </filters>
    </filterColumn>
    <filterColumn colId="4">
      <filters>
        <filter val="ALIGNEMENT : Je suis aligné sur l’objectif final du programme"/>
        <filter val="CAPACITE : Ce changement entraine une charge de travail que nous pouvons absorber sur le site"/>
        <filter val="CHEMIN CRITIQUE : Les délais et ressources à travers de ce projet sont gérés efficacement"/>
        <filter val="CLARTE : J'ai une vision claire de l’objectif final du programme"/>
        <filter val="CULTURE  : Nous avons la culture appropriée pour absorber ce changement"/>
        <filter val="ENGAGEMENT  : Je supporte l’objectif du programme"/>
        <filter val="INTEGRITE : Les objectifs initiaux du programme restent les mêmes"/>
        <filter val="PARTENARIAT : Nos interactions avec des partenaires externes sont suffisantes pour supporter ce changement"/>
        <filter val="PORTFOLIO : Les interactions de ce projet avec les autres initiatives sont gérées correctement"/>
        <filter val="RESISTANCE  : Les personnes impactées par ce changement démontrent l'engagement nécessaire pour réussir sa mise en place"/>
        <filter val="RESSOURCES : Les ressources sont suffisantes pour absorber ce changement"/>
        <filter val="SOLUTION  : L’approche pour atteindre l’objectif du programme est solide"/>
        <filter val="SPONSORSHIP  : Les leaders fournissent le niveau de sponsorship suffisant pour supporter le programme"/>
        <filter val="SUPERVISION : Les instances de pilotage permettent de prendre des décisions rapides et efficaces"/>
        <filter val="SYNERGIE : Nos efforts de collaboration pour ce projet nous font gagner du temps plus qu’il n’en coute"/>
      </filters>
    </filterColumn>
  </autoFilter>
  <conditionalFormatting sqref="E3:E98">
    <cfRule type="expression" dxfId="1" priority="1">
      <formula>E3&lt;&gt;J3</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B2CF5-869A-4DF0-A1BD-799BEE2E5C0F}">
  <sheetPr codeName="Blad4"/>
  <dimension ref="A1:S16"/>
  <sheetViews>
    <sheetView topLeftCell="L1" workbookViewId="0">
      <selection activeCell="O1" sqref="O1"/>
    </sheetView>
  </sheetViews>
  <sheetFormatPr defaultRowHeight="15" x14ac:dyDescent="0.25"/>
  <cols>
    <col min="12" max="12" width="18.140625" bestFit="1" customWidth="1"/>
    <col min="13" max="13" width="16.140625" bestFit="1" customWidth="1"/>
    <col min="14" max="14" width="15.5703125" bestFit="1" customWidth="1"/>
    <col min="15" max="15" width="24.7109375" bestFit="1" customWidth="1"/>
  </cols>
  <sheetData>
    <row r="1" spans="1:19" x14ac:dyDescent="0.25">
      <c r="A1" t="s">
        <v>149</v>
      </c>
      <c r="B1" t="s">
        <v>150</v>
      </c>
      <c r="C1" t="s">
        <v>151</v>
      </c>
      <c r="D1" t="s">
        <v>152</v>
      </c>
      <c r="E1" s="2" t="s">
        <v>153</v>
      </c>
      <c r="F1" t="s">
        <v>154</v>
      </c>
      <c r="G1" t="s">
        <v>149</v>
      </c>
      <c r="H1" t="s">
        <v>150</v>
      </c>
      <c r="I1" t="s">
        <v>151</v>
      </c>
      <c r="J1" t="s">
        <v>152</v>
      </c>
      <c r="K1" s="2" t="s">
        <v>153</v>
      </c>
      <c r="L1" t="s">
        <v>206</v>
      </c>
      <c r="M1" t="s">
        <v>207</v>
      </c>
      <c r="N1" t="str">
        <f>"Moyenne "&amp;O1</f>
        <v>Moyenne Manager et Direct Report</v>
      </c>
      <c r="O1" s="4" t="s">
        <v>205</v>
      </c>
      <c r="P1" t="s">
        <v>150</v>
      </c>
      <c r="Q1" t="s">
        <v>151</v>
      </c>
      <c r="R1" t="s">
        <v>152</v>
      </c>
      <c r="S1" s="2" t="s">
        <v>153</v>
      </c>
    </row>
    <row r="2" spans="1:19" x14ac:dyDescent="0.25">
      <c r="A2">
        <v>5</v>
      </c>
      <c r="B2">
        <v>5</v>
      </c>
      <c r="C2">
        <v>5</v>
      </c>
      <c r="D2">
        <v>7</v>
      </c>
      <c r="E2" s="2" t="s">
        <v>7</v>
      </c>
      <c r="F2" t="str">
        <f>LEFT(E2,SEARCH(":",E2)-2)</f>
        <v>CLARTE</v>
      </c>
      <c r="G2">
        <v>4.2962962962962967</v>
      </c>
      <c r="H2">
        <v>3</v>
      </c>
      <c r="I2">
        <v>5</v>
      </c>
      <c r="J2">
        <v>27</v>
      </c>
      <c r="K2" t="s">
        <v>7</v>
      </c>
      <c r="L2">
        <f>AVERAGE(A2:A16)</f>
        <v>4.6380952380952376</v>
      </c>
      <c r="M2">
        <f>AVERAGE(G2:G16)</f>
        <v>3.6839506172839505</v>
      </c>
      <c r="N2">
        <f>AVERAGE(O2:O16)</f>
        <v>3.4456140350877194</v>
      </c>
      <c r="O2">
        <v>4.1578947368421053</v>
      </c>
      <c r="P2">
        <v>2</v>
      </c>
      <c r="Q2">
        <v>5</v>
      </c>
      <c r="R2">
        <v>19</v>
      </c>
      <c r="S2" t="s">
        <v>7</v>
      </c>
    </row>
    <row r="3" spans="1:19" x14ac:dyDescent="0.25">
      <c r="A3">
        <v>5</v>
      </c>
      <c r="B3">
        <v>5</v>
      </c>
      <c r="C3">
        <v>5</v>
      </c>
      <c r="D3">
        <v>7</v>
      </c>
      <c r="E3" s="2" t="s">
        <v>13</v>
      </c>
      <c r="F3" t="str">
        <f t="shared" ref="F3:F16" si="0">LEFT(E3,SEARCH(":",E3)-2)</f>
        <v>ALIGNEMENT</v>
      </c>
      <c r="G3">
        <v>4.1111111111111107</v>
      </c>
      <c r="H3">
        <v>2</v>
      </c>
      <c r="I3">
        <v>5</v>
      </c>
      <c r="J3">
        <v>27</v>
      </c>
      <c r="K3" t="s">
        <v>13</v>
      </c>
      <c r="L3">
        <f>+L2</f>
        <v>4.6380952380952376</v>
      </c>
      <c r="M3">
        <f>+M2</f>
        <v>3.6839506172839505</v>
      </c>
      <c r="N3">
        <f>+N2</f>
        <v>3.4456140350877194</v>
      </c>
      <c r="O3">
        <v>4.2631578947368425</v>
      </c>
      <c r="P3">
        <v>3</v>
      </c>
      <c r="Q3">
        <v>5</v>
      </c>
      <c r="R3">
        <v>19</v>
      </c>
      <c r="S3" t="s">
        <v>13</v>
      </c>
    </row>
    <row r="4" spans="1:19" x14ac:dyDescent="0.25">
      <c r="A4">
        <v>5</v>
      </c>
      <c r="B4">
        <v>5</v>
      </c>
      <c r="C4">
        <v>5</v>
      </c>
      <c r="D4">
        <v>7</v>
      </c>
      <c r="E4" s="2" t="s">
        <v>19</v>
      </c>
      <c r="F4" t="str">
        <f t="shared" si="0"/>
        <v>ENGAGEMENT </v>
      </c>
      <c r="G4">
        <v>4.5925925925925926</v>
      </c>
      <c r="H4">
        <v>2</v>
      </c>
      <c r="I4">
        <v>5</v>
      </c>
      <c r="J4">
        <v>27</v>
      </c>
      <c r="K4" t="s">
        <v>19</v>
      </c>
      <c r="L4">
        <f t="shared" ref="L4:L16" si="1">+L3</f>
        <v>4.6380952380952376</v>
      </c>
      <c r="M4">
        <f t="shared" ref="M4:N16" si="2">+M3</f>
        <v>3.6839506172839505</v>
      </c>
      <c r="N4">
        <f t="shared" si="2"/>
        <v>3.4456140350877194</v>
      </c>
      <c r="O4">
        <v>4.3684210526315788</v>
      </c>
      <c r="P4">
        <v>3</v>
      </c>
      <c r="Q4">
        <v>5</v>
      </c>
      <c r="R4">
        <v>19</v>
      </c>
      <c r="S4" t="s">
        <v>19</v>
      </c>
    </row>
    <row r="5" spans="1:19" x14ac:dyDescent="0.25">
      <c r="A5">
        <v>4.7142857142857144</v>
      </c>
      <c r="B5">
        <v>4</v>
      </c>
      <c r="C5">
        <v>5</v>
      </c>
      <c r="D5">
        <v>7</v>
      </c>
      <c r="E5" s="2" t="s">
        <v>25</v>
      </c>
      <c r="F5" t="str">
        <f t="shared" si="0"/>
        <v>SOLUTION </v>
      </c>
      <c r="G5">
        <v>3.7037037037037037</v>
      </c>
      <c r="H5">
        <v>2</v>
      </c>
      <c r="I5">
        <v>5</v>
      </c>
      <c r="J5">
        <v>27</v>
      </c>
      <c r="K5" t="s">
        <v>25</v>
      </c>
      <c r="L5">
        <f t="shared" si="1"/>
        <v>4.6380952380952376</v>
      </c>
      <c r="M5">
        <f t="shared" si="2"/>
        <v>3.6839506172839505</v>
      </c>
      <c r="N5">
        <f t="shared" si="2"/>
        <v>3.4456140350877194</v>
      </c>
      <c r="O5">
        <v>3.3684210526315788</v>
      </c>
      <c r="P5">
        <v>1</v>
      </c>
      <c r="Q5">
        <v>5</v>
      </c>
      <c r="R5">
        <v>19</v>
      </c>
      <c r="S5" t="s">
        <v>25</v>
      </c>
    </row>
    <row r="6" spans="1:19" x14ac:dyDescent="0.25">
      <c r="A6">
        <v>5</v>
      </c>
      <c r="B6">
        <v>5</v>
      </c>
      <c r="C6">
        <v>5</v>
      </c>
      <c r="D6">
        <v>7</v>
      </c>
      <c r="E6" s="2" t="s">
        <v>31</v>
      </c>
      <c r="F6" t="str">
        <f t="shared" si="0"/>
        <v>INTEGRITE</v>
      </c>
      <c r="G6">
        <v>3.8518518518518516</v>
      </c>
      <c r="H6">
        <v>1</v>
      </c>
      <c r="I6">
        <v>5</v>
      </c>
      <c r="J6">
        <v>27</v>
      </c>
      <c r="K6" t="s">
        <v>31</v>
      </c>
      <c r="L6">
        <f t="shared" si="1"/>
        <v>4.6380952380952376</v>
      </c>
      <c r="M6">
        <f t="shared" si="2"/>
        <v>3.6839506172839505</v>
      </c>
      <c r="N6">
        <f t="shared" si="2"/>
        <v>3.4456140350877194</v>
      </c>
      <c r="O6">
        <v>3.736842105263158</v>
      </c>
      <c r="P6">
        <v>1</v>
      </c>
      <c r="Q6">
        <v>5</v>
      </c>
      <c r="R6">
        <v>19</v>
      </c>
      <c r="S6" t="s">
        <v>31</v>
      </c>
    </row>
    <row r="7" spans="1:19" x14ac:dyDescent="0.25">
      <c r="A7">
        <v>4.7142857142857144</v>
      </c>
      <c r="B7">
        <v>3</v>
      </c>
      <c r="C7">
        <v>5</v>
      </c>
      <c r="D7">
        <v>7</v>
      </c>
      <c r="E7" s="2" t="s">
        <v>37</v>
      </c>
      <c r="F7" t="str">
        <f t="shared" si="0"/>
        <v>SPONSORSHIP </v>
      </c>
      <c r="G7">
        <v>3.6666666666666665</v>
      </c>
      <c r="H7">
        <v>1</v>
      </c>
      <c r="I7">
        <v>5</v>
      </c>
      <c r="J7">
        <v>27</v>
      </c>
      <c r="K7" t="s">
        <v>37</v>
      </c>
      <c r="L7">
        <f t="shared" si="1"/>
        <v>4.6380952380952376</v>
      </c>
      <c r="M7">
        <f t="shared" si="2"/>
        <v>3.6839506172839505</v>
      </c>
      <c r="N7">
        <f t="shared" si="2"/>
        <v>3.4456140350877194</v>
      </c>
      <c r="O7">
        <v>3.5263157894736841</v>
      </c>
      <c r="P7">
        <v>1</v>
      </c>
      <c r="Q7">
        <v>5</v>
      </c>
      <c r="R7">
        <v>19</v>
      </c>
      <c r="S7" t="s">
        <v>37</v>
      </c>
    </row>
    <row r="8" spans="1:19" x14ac:dyDescent="0.25">
      <c r="A8">
        <v>4.4285714285714288</v>
      </c>
      <c r="B8">
        <v>4</v>
      </c>
      <c r="C8">
        <v>5</v>
      </c>
      <c r="D8">
        <v>7</v>
      </c>
      <c r="E8" s="2" t="s">
        <v>43</v>
      </c>
      <c r="F8" t="str">
        <f t="shared" si="0"/>
        <v>CAPACITE</v>
      </c>
      <c r="G8">
        <v>3.0370370370370372</v>
      </c>
      <c r="H8">
        <v>1</v>
      </c>
      <c r="I8">
        <v>5</v>
      </c>
      <c r="J8">
        <v>27</v>
      </c>
      <c r="K8" t="s">
        <v>43</v>
      </c>
      <c r="L8">
        <f t="shared" si="1"/>
        <v>4.6380952380952376</v>
      </c>
      <c r="M8">
        <f t="shared" si="2"/>
        <v>3.6839506172839505</v>
      </c>
      <c r="N8">
        <f t="shared" si="2"/>
        <v>3.4456140350877194</v>
      </c>
      <c r="O8">
        <v>2.736842105263158</v>
      </c>
      <c r="P8">
        <v>1</v>
      </c>
      <c r="Q8">
        <v>5</v>
      </c>
      <c r="R8">
        <v>19</v>
      </c>
      <c r="S8" t="s">
        <v>43</v>
      </c>
    </row>
    <row r="9" spans="1:19" x14ac:dyDescent="0.25">
      <c r="A9">
        <v>3.7142857142857144</v>
      </c>
      <c r="B9">
        <v>2</v>
      </c>
      <c r="C9">
        <v>5</v>
      </c>
      <c r="D9">
        <v>7</v>
      </c>
      <c r="E9" s="2" t="s">
        <v>49</v>
      </c>
      <c r="F9" t="str">
        <f t="shared" si="0"/>
        <v>CULTURE </v>
      </c>
      <c r="G9">
        <v>3.6296296296296298</v>
      </c>
      <c r="H9">
        <v>1</v>
      </c>
      <c r="I9">
        <v>5</v>
      </c>
      <c r="J9">
        <v>27</v>
      </c>
      <c r="K9" t="s">
        <v>49</v>
      </c>
      <c r="L9">
        <f t="shared" si="1"/>
        <v>4.6380952380952376</v>
      </c>
      <c r="M9">
        <f t="shared" si="2"/>
        <v>3.6839506172839505</v>
      </c>
      <c r="N9">
        <f t="shared" si="2"/>
        <v>3.4456140350877194</v>
      </c>
      <c r="O9">
        <v>3.6315789473684212</v>
      </c>
      <c r="P9">
        <v>1</v>
      </c>
      <c r="Q9">
        <v>5</v>
      </c>
      <c r="R9">
        <v>19</v>
      </c>
      <c r="S9" t="s">
        <v>49</v>
      </c>
    </row>
    <row r="10" spans="1:19" x14ac:dyDescent="0.25">
      <c r="A10">
        <v>4.8571428571428568</v>
      </c>
      <c r="B10">
        <v>4</v>
      </c>
      <c r="C10">
        <v>5</v>
      </c>
      <c r="D10">
        <v>7</v>
      </c>
      <c r="E10" s="2" t="s">
        <v>55</v>
      </c>
      <c r="F10" t="str">
        <f t="shared" si="0"/>
        <v>RESISTANCE </v>
      </c>
      <c r="G10">
        <v>4.1111111111111107</v>
      </c>
      <c r="H10">
        <v>1</v>
      </c>
      <c r="I10">
        <v>5</v>
      </c>
      <c r="J10">
        <v>27</v>
      </c>
      <c r="K10" t="s">
        <v>55</v>
      </c>
      <c r="L10">
        <f t="shared" si="1"/>
        <v>4.6380952380952376</v>
      </c>
      <c r="M10">
        <f t="shared" si="2"/>
        <v>3.6839506172839505</v>
      </c>
      <c r="N10">
        <f t="shared" si="2"/>
        <v>3.4456140350877194</v>
      </c>
      <c r="O10">
        <v>3.6842105263157894</v>
      </c>
      <c r="P10">
        <v>1</v>
      </c>
      <c r="Q10">
        <v>5</v>
      </c>
      <c r="R10">
        <v>19</v>
      </c>
      <c r="S10" t="s">
        <v>55</v>
      </c>
    </row>
    <row r="11" spans="1:19" x14ac:dyDescent="0.25">
      <c r="A11">
        <v>4.4285714285714288</v>
      </c>
      <c r="B11">
        <v>4</v>
      </c>
      <c r="C11">
        <v>5</v>
      </c>
      <c r="D11">
        <v>7</v>
      </c>
      <c r="E11" s="2" t="s">
        <v>61</v>
      </c>
      <c r="F11" t="str">
        <f t="shared" si="0"/>
        <v>SYNERGIE</v>
      </c>
      <c r="G11">
        <v>3.7777777777777777</v>
      </c>
      <c r="H11">
        <v>1</v>
      </c>
      <c r="I11">
        <v>5</v>
      </c>
      <c r="J11">
        <v>27</v>
      </c>
      <c r="K11" t="s">
        <v>61</v>
      </c>
      <c r="L11">
        <f t="shared" si="1"/>
        <v>4.6380952380952376</v>
      </c>
      <c r="M11">
        <f t="shared" si="2"/>
        <v>3.6839506172839505</v>
      </c>
      <c r="N11">
        <f t="shared" si="2"/>
        <v>3.4456140350877194</v>
      </c>
      <c r="O11">
        <v>3</v>
      </c>
      <c r="P11">
        <v>1</v>
      </c>
      <c r="Q11">
        <v>5</v>
      </c>
      <c r="R11">
        <v>19</v>
      </c>
      <c r="S11" t="s">
        <v>61</v>
      </c>
    </row>
    <row r="12" spans="1:19" x14ac:dyDescent="0.25">
      <c r="A12">
        <v>4.5714285714285712</v>
      </c>
      <c r="B12">
        <v>4</v>
      </c>
      <c r="C12">
        <v>5</v>
      </c>
      <c r="D12">
        <v>7</v>
      </c>
      <c r="E12" s="2" t="s">
        <v>67</v>
      </c>
      <c r="F12" t="str">
        <f t="shared" si="0"/>
        <v>PARTENARIAT</v>
      </c>
      <c r="G12">
        <v>3.7037037037037037</v>
      </c>
      <c r="H12">
        <v>3</v>
      </c>
      <c r="I12">
        <v>5</v>
      </c>
      <c r="J12">
        <v>27</v>
      </c>
      <c r="K12" t="s">
        <v>67</v>
      </c>
      <c r="L12">
        <f t="shared" si="1"/>
        <v>4.6380952380952376</v>
      </c>
      <c r="M12">
        <f t="shared" si="2"/>
        <v>3.6839506172839505</v>
      </c>
      <c r="N12">
        <f t="shared" si="2"/>
        <v>3.4456140350877194</v>
      </c>
      <c r="O12">
        <v>3</v>
      </c>
      <c r="P12">
        <v>1</v>
      </c>
      <c r="Q12">
        <v>5</v>
      </c>
      <c r="R12">
        <v>19</v>
      </c>
      <c r="S12" t="s">
        <v>67</v>
      </c>
    </row>
    <row r="13" spans="1:19" x14ac:dyDescent="0.25">
      <c r="A13">
        <v>4.8571428571428568</v>
      </c>
      <c r="B13">
        <v>4</v>
      </c>
      <c r="C13">
        <v>5</v>
      </c>
      <c r="D13">
        <v>7</v>
      </c>
      <c r="E13" s="2" t="s">
        <v>73</v>
      </c>
      <c r="F13" t="str">
        <f t="shared" si="0"/>
        <v>SUPERVISION</v>
      </c>
      <c r="G13">
        <v>3.3703703703703702</v>
      </c>
      <c r="H13">
        <v>1</v>
      </c>
      <c r="I13">
        <v>5</v>
      </c>
      <c r="J13">
        <v>27</v>
      </c>
      <c r="K13" t="s">
        <v>73</v>
      </c>
      <c r="L13">
        <f t="shared" si="1"/>
        <v>4.6380952380952376</v>
      </c>
      <c r="M13">
        <f t="shared" si="2"/>
        <v>3.6839506172839505</v>
      </c>
      <c r="N13">
        <f t="shared" si="2"/>
        <v>3.4456140350877194</v>
      </c>
      <c r="O13">
        <v>3.1578947368421053</v>
      </c>
      <c r="P13">
        <v>1</v>
      </c>
      <c r="Q13">
        <v>5</v>
      </c>
      <c r="R13">
        <v>19</v>
      </c>
      <c r="S13" t="s">
        <v>73</v>
      </c>
    </row>
    <row r="14" spans="1:19" x14ac:dyDescent="0.25">
      <c r="A14">
        <v>4.4285714285714288</v>
      </c>
      <c r="B14">
        <v>3</v>
      </c>
      <c r="C14">
        <v>5</v>
      </c>
      <c r="D14">
        <v>7</v>
      </c>
      <c r="E14" s="2" t="s">
        <v>79</v>
      </c>
      <c r="F14" t="str">
        <f t="shared" si="0"/>
        <v>RESSOURCES</v>
      </c>
      <c r="G14">
        <v>2.8518518518518516</v>
      </c>
      <c r="H14">
        <v>1</v>
      </c>
      <c r="I14">
        <v>5</v>
      </c>
      <c r="J14">
        <v>27</v>
      </c>
      <c r="K14" t="s">
        <v>79</v>
      </c>
      <c r="L14">
        <f t="shared" si="1"/>
        <v>4.6380952380952376</v>
      </c>
      <c r="M14">
        <f t="shared" si="2"/>
        <v>3.6839506172839505</v>
      </c>
      <c r="N14">
        <f t="shared" si="2"/>
        <v>3.4456140350877194</v>
      </c>
      <c r="O14">
        <v>2.8421052631578947</v>
      </c>
      <c r="P14">
        <v>1</v>
      </c>
      <c r="Q14">
        <v>5</v>
      </c>
      <c r="R14">
        <v>19</v>
      </c>
      <c r="S14" t="s">
        <v>79</v>
      </c>
    </row>
    <row r="15" spans="1:19" x14ac:dyDescent="0.25">
      <c r="A15">
        <v>4.2857142857142856</v>
      </c>
      <c r="B15">
        <v>3</v>
      </c>
      <c r="C15">
        <v>5</v>
      </c>
      <c r="D15">
        <v>7</v>
      </c>
      <c r="E15" s="2" t="s">
        <v>85</v>
      </c>
      <c r="F15" t="str">
        <f t="shared" si="0"/>
        <v>PORTFOLIO</v>
      </c>
      <c r="G15">
        <v>3.2592592592592591</v>
      </c>
      <c r="H15">
        <v>1</v>
      </c>
      <c r="I15">
        <v>5</v>
      </c>
      <c r="J15">
        <v>27</v>
      </c>
      <c r="K15" t="s">
        <v>85</v>
      </c>
      <c r="L15">
        <f t="shared" si="1"/>
        <v>4.6380952380952376</v>
      </c>
      <c r="M15">
        <f t="shared" si="2"/>
        <v>3.6839506172839505</v>
      </c>
      <c r="N15">
        <f t="shared" si="2"/>
        <v>3.4456140350877194</v>
      </c>
      <c r="O15">
        <v>3.2105263157894739</v>
      </c>
      <c r="P15">
        <v>1</v>
      </c>
      <c r="Q15">
        <v>5</v>
      </c>
      <c r="R15">
        <v>19</v>
      </c>
      <c r="S15" t="s">
        <v>85</v>
      </c>
    </row>
    <row r="16" spans="1:19" x14ac:dyDescent="0.25">
      <c r="A16">
        <v>4.5714285714285712</v>
      </c>
      <c r="B16">
        <v>4</v>
      </c>
      <c r="C16">
        <v>5</v>
      </c>
      <c r="D16">
        <v>7</v>
      </c>
      <c r="E16" s="2" t="s">
        <v>91</v>
      </c>
      <c r="F16" t="str">
        <f t="shared" si="0"/>
        <v>CHEMIN CRITIQUE</v>
      </c>
      <c r="G16">
        <v>3.2962962962962963</v>
      </c>
      <c r="H16">
        <v>2</v>
      </c>
      <c r="I16">
        <v>5</v>
      </c>
      <c r="J16">
        <v>27</v>
      </c>
      <c r="K16" t="s">
        <v>91</v>
      </c>
      <c r="L16">
        <f t="shared" si="1"/>
        <v>4.6380952380952376</v>
      </c>
      <c r="M16">
        <f t="shared" si="2"/>
        <v>3.6839506172839505</v>
      </c>
      <c r="N16">
        <f t="shared" si="2"/>
        <v>3.4456140350877194</v>
      </c>
      <c r="O16">
        <v>3</v>
      </c>
      <c r="P16">
        <v>1</v>
      </c>
      <c r="Q16">
        <v>5</v>
      </c>
      <c r="R16">
        <v>19</v>
      </c>
      <c r="S16" t="s">
        <v>91</v>
      </c>
    </row>
  </sheetData>
  <conditionalFormatting sqref="E2:F16">
    <cfRule type="expression" dxfId="0" priority="1">
      <formula>E2&lt;&gt;K2</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5</vt:i4>
      </vt:variant>
      <vt:variant>
        <vt:lpstr>Grafieken</vt:lpstr>
      </vt:variant>
      <vt:variant>
        <vt:i4>2</vt:i4>
      </vt:variant>
    </vt:vector>
  </HeadingPairs>
  <TitlesOfParts>
    <vt:vector size="7" baseType="lpstr">
      <vt:lpstr>Sheet1 (2)</vt:lpstr>
      <vt:lpstr>Sheet1</vt:lpstr>
      <vt:lpstr>3-evol</vt:lpstr>
      <vt:lpstr>compaire</vt:lpstr>
      <vt:lpstr>Données Camembert</vt:lpstr>
      <vt:lpstr>Grafiek1</vt:lpstr>
      <vt:lpstr>Camembert tous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Royer, Elodie</dc:creator>
  <cp:lastModifiedBy>BSA</cp:lastModifiedBy>
  <dcterms:created xsi:type="dcterms:W3CDTF">2023-01-03T16:00:47Z</dcterms:created>
  <dcterms:modified xsi:type="dcterms:W3CDTF">2023-01-17T00:06:28Z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42aa342-8706-4288-bd11-ebb85995028c_Enabled">
    <vt:lpwstr>True</vt:lpwstr>
  </property>
  <property fmtid="{D5CDD505-2E9C-101B-9397-08002B2CF9AE}" pid="3" name="MSIP_Label_f42aa342-8706-4288-bd11-ebb85995028c_SiteId">
    <vt:lpwstr>72f988bf-86f1-41af-91ab-2d7cd011db47</vt:lpwstr>
  </property>
  <property fmtid="{D5CDD505-2E9C-101B-9397-08002B2CF9AE}" pid="4" name="MSIP_Label_f42aa342-8706-4288-bd11-ebb85995028c_Owner">
    <vt:lpwstr>qinzen@microsoft.com</vt:lpwstr>
  </property>
  <property fmtid="{D5CDD505-2E9C-101B-9397-08002B2CF9AE}" pid="5" name="MSIP_Label_f42aa342-8706-4288-bd11-ebb85995028c_SetDate">
    <vt:lpwstr>2018-05-23T11:41:12.6969027Z</vt:lpwstr>
  </property>
  <property fmtid="{D5CDD505-2E9C-101B-9397-08002B2CF9AE}" pid="6" name="MSIP_Label_f42aa342-8706-4288-bd11-ebb85995028c_Name">
    <vt:lpwstr>General</vt:lpwstr>
  </property>
  <property fmtid="{D5CDD505-2E9C-101B-9397-08002B2CF9AE}" pid="7" name="MSIP_Label_f42aa342-8706-4288-bd11-ebb85995028c_Application">
    <vt:lpwstr>Microsoft Azure Information Protection</vt:lpwstr>
  </property>
  <property fmtid="{D5CDD505-2E9C-101B-9397-08002B2CF9AE}" pid="8" name="MSIP_Label_f42aa342-8706-4288-bd11-ebb85995028c_Extended_MSFT_Method">
    <vt:lpwstr>Automatic</vt:lpwstr>
  </property>
  <property fmtid="{D5CDD505-2E9C-101B-9397-08002B2CF9AE}" pid="9" name="Sensitivity">
    <vt:lpwstr>General</vt:lpwstr>
  </property>
</Properties>
</file>