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chartsheets/sheet1.xml" ContentType="application/vnd.openxmlformats-officedocument.spreadsheetml.chart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tables/table1.xml" ContentType="application/vnd.openxmlformats-officedocument.spreadsheetml.table+xml"/>
  <Override PartName="/xl/tables/table2.xml" ContentType="application/vnd.openxmlformats-officedocument.spreadsheetml.table+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601"/>
  <workbookPr codeName="ThisWorkbook"/>
  <mc:AlternateContent xmlns:mc="http://schemas.openxmlformats.org/markup-compatibility/2006">
    <mc:Choice Requires="x15">
      <x15ac:absPath xmlns:x15ac="http://schemas.microsoft.com/office/spreadsheetml/2010/11/ac" url="C:\Users\Eigenaar\Downloads\"/>
    </mc:Choice>
  </mc:AlternateContent>
  <xr:revisionPtr revIDLastSave="0" documentId="13_ncr:1_{F76B3933-78AB-4964-819E-8C82FC49287F}" xr6:coauthVersionLast="47" xr6:coauthVersionMax="47" xr10:uidLastSave="{00000000-0000-0000-0000-000000000000}"/>
  <bookViews>
    <workbookView xWindow="0" yWindow="0" windowWidth="28800" windowHeight="16200" activeTab="2" xr2:uid="{00000000-000D-0000-FFFF-FFFF00000000}"/>
  </bookViews>
  <sheets>
    <sheet name="Sheet1 (2)" sheetId="2" r:id="rId1"/>
    <sheet name="Sheet1" sheetId="1" r:id="rId2"/>
    <sheet name="Grafiek1" sheetId="4" r:id="rId3"/>
    <sheet name="compaire" sheetId="3" r:id="rId4"/>
  </sheets>
  <definedNames>
    <definedName name="_xlnm._FilterDatabase" localSheetId="3" hidden="1">compaire!$A$1:$J$98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2" i="3" l="1" a="1"/>
  <c r="B2" i="3" s="1"/>
  <c r="G2" i="3" a="1"/>
  <c r="G2" i="3" s="1"/>
  <c r="H2" i="3" a="1"/>
  <c r="H2" i="3" s="1"/>
  <c r="I2" i="3" a="1"/>
  <c r="I2" i="3" s="1"/>
  <c r="J2" i="3" a="1"/>
  <c r="J2" i="3" s="1"/>
  <c r="F2" i="3" a="1"/>
  <c r="F2" i="3" s="1"/>
  <c r="C2" i="3" a="1"/>
  <c r="C2" i="3" s="1"/>
  <c r="D2" i="3" a="1"/>
  <c r="D2" i="3" s="1"/>
  <c r="E2" i="3" a="1"/>
  <c r="E2" i="3" s="1"/>
  <c r="A2" i="3" a="1"/>
  <c r="A2" i="3" s="1"/>
  <c r="F3" i="3" a="1"/>
  <c r="F3" i="3" s="1"/>
  <c r="G3" i="3" a="1"/>
  <c r="G3" i="3" s="1"/>
  <c r="H3" i="3" a="1"/>
  <c r="H3" i="3" s="1"/>
  <c r="I3" i="3" a="1"/>
  <c r="I3" i="3" s="1"/>
  <c r="J3" i="3" a="1"/>
  <c r="J3" i="3" s="1"/>
  <c r="F4" i="3" a="1"/>
  <c r="F4" i="3" s="1"/>
  <c r="G4" i="3" a="1"/>
  <c r="G4" i="3" s="1"/>
  <c r="H4" i="3" a="1"/>
  <c r="H4" i="3" s="1"/>
  <c r="I4" i="3" a="1"/>
  <c r="I4" i="3" s="1"/>
  <c r="J4" i="3" a="1"/>
  <c r="J4" i="3" s="1"/>
  <c r="F5" i="3" a="1"/>
  <c r="F5" i="3" s="1"/>
  <c r="G5" i="3" a="1"/>
  <c r="G5" i="3" s="1"/>
  <c r="H5" i="3" a="1"/>
  <c r="H5" i="3" s="1"/>
  <c r="I5" i="3" a="1"/>
  <c r="I5" i="3" s="1"/>
  <c r="J5" i="3" a="1"/>
  <c r="J5" i="3" s="1"/>
  <c r="F6" i="3" a="1"/>
  <c r="F6" i="3" s="1"/>
  <c r="G6" i="3" a="1"/>
  <c r="G6" i="3" s="1"/>
  <c r="H6" i="3" a="1"/>
  <c r="H6" i="3" s="1"/>
  <c r="I6" i="3" a="1"/>
  <c r="I6" i="3" s="1"/>
  <c r="J6" i="3" a="1"/>
  <c r="J6" i="3" s="1"/>
  <c r="F7" i="3" a="1"/>
  <c r="F7" i="3" s="1"/>
  <c r="G7" i="3" a="1"/>
  <c r="G7" i="3" s="1"/>
  <c r="H7" i="3" a="1"/>
  <c r="H7" i="3" s="1"/>
  <c r="I7" i="3" a="1"/>
  <c r="I7" i="3" s="1"/>
  <c r="J7" i="3" a="1"/>
  <c r="J7" i="3" s="1"/>
  <c r="F8" i="3" a="1"/>
  <c r="F8" i="3" s="1"/>
  <c r="G8" i="3" a="1"/>
  <c r="G8" i="3" s="1"/>
  <c r="H8" i="3" a="1"/>
  <c r="H8" i="3" s="1"/>
  <c r="I8" i="3" a="1"/>
  <c r="I8" i="3" s="1"/>
  <c r="J8" i="3" a="1"/>
  <c r="J8" i="3" s="1"/>
  <c r="F9" i="3" a="1"/>
  <c r="F9" i="3" s="1"/>
  <c r="G9" i="3" a="1"/>
  <c r="G9" i="3" s="1"/>
  <c r="H9" i="3" a="1"/>
  <c r="H9" i="3" s="1"/>
  <c r="I9" i="3" a="1"/>
  <c r="I9" i="3" s="1"/>
  <c r="J9" i="3" a="1"/>
  <c r="J9" i="3" s="1"/>
  <c r="F10" i="3" a="1"/>
  <c r="F10" i="3" s="1"/>
  <c r="G10" i="3" a="1"/>
  <c r="G10" i="3" s="1"/>
  <c r="H10" i="3" a="1"/>
  <c r="H10" i="3" s="1"/>
  <c r="I10" i="3" a="1"/>
  <c r="I10" i="3" s="1"/>
  <c r="J10" i="3" a="1"/>
  <c r="J10" i="3" s="1"/>
  <c r="F11" i="3" a="1"/>
  <c r="F11" i="3" s="1"/>
  <c r="G11" i="3" a="1"/>
  <c r="G11" i="3" s="1"/>
  <c r="H11" i="3" a="1"/>
  <c r="H11" i="3" s="1"/>
  <c r="I11" i="3" a="1"/>
  <c r="I11" i="3" s="1"/>
  <c r="J11" i="3" a="1"/>
  <c r="J11" i="3" s="1"/>
  <c r="F12" i="3" a="1"/>
  <c r="F12" i="3" s="1"/>
  <c r="G12" i="3" a="1"/>
  <c r="G12" i="3" s="1"/>
  <c r="H12" i="3" a="1"/>
  <c r="H12" i="3" s="1"/>
  <c r="I12" i="3" a="1"/>
  <c r="I12" i="3" s="1"/>
  <c r="J12" i="3" a="1"/>
  <c r="J12" i="3" s="1"/>
  <c r="F13" i="3" a="1"/>
  <c r="F13" i="3" s="1"/>
  <c r="G13" i="3" a="1"/>
  <c r="G13" i="3" s="1"/>
  <c r="H13" i="3" a="1"/>
  <c r="H13" i="3" s="1"/>
  <c r="I13" i="3" a="1"/>
  <c r="I13" i="3" s="1"/>
  <c r="J13" i="3" a="1"/>
  <c r="J13" i="3" s="1"/>
  <c r="F14" i="3" a="1"/>
  <c r="F14" i="3" s="1"/>
  <c r="G14" i="3" a="1"/>
  <c r="G14" i="3" s="1"/>
  <c r="H14" i="3" a="1"/>
  <c r="H14" i="3" s="1"/>
  <c r="I14" i="3" a="1"/>
  <c r="I14" i="3" s="1"/>
  <c r="J14" i="3" a="1"/>
  <c r="J14" i="3" s="1"/>
  <c r="F15" i="3" a="1"/>
  <c r="F15" i="3" s="1"/>
  <c r="G15" i="3" a="1"/>
  <c r="G15" i="3" s="1"/>
  <c r="H15" i="3" a="1"/>
  <c r="H15" i="3" s="1"/>
  <c r="I15" i="3" a="1"/>
  <c r="I15" i="3" s="1"/>
  <c r="J15" i="3" a="1"/>
  <c r="J15" i="3" s="1"/>
  <c r="F16" i="3" a="1"/>
  <c r="F16" i="3" s="1"/>
  <c r="G16" i="3" a="1"/>
  <c r="G16" i="3" s="1"/>
  <c r="H16" i="3" a="1"/>
  <c r="H16" i="3" s="1"/>
  <c r="I16" i="3" a="1"/>
  <c r="I16" i="3" s="1"/>
  <c r="J16" i="3" a="1"/>
  <c r="J16" i="3" s="1"/>
  <c r="F17" i="3" a="1"/>
  <c r="F17" i="3" s="1"/>
  <c r="G17" i="3" a="1"/>
  <c r="G17" i="3" s="1"/>
  <c r="H17" i="3" a="1"/>
  <c r="H17" i="3" s="1"/>
  <c r="I17" i="3" a="1"/>
  <c r="I17" i="3" s="1"/>
  <c r="J17" i="3" a="1"/>
  <c r="J17" i="3" s="1"/>
  <c r="F18" i="3" a="1"/>
  <c r="F18" i="3" s="1"/>
  <c r="G18" i="3" a="1"/>
  <c r="G18" i="3" s="1"/>
  <c r="H18" i="3" a="1"/>
  <c r="H18" i="3" s="1"/>
  <c r="I18" i="3" a="1"/>
  <c r="I18" i="3" s="1"/>
  <c r="J18" i="3" a="1"/>
  <c r="J18" i="3" s="1"/>
  <c r="F19" i="3" a="1"/>
  <c r="F19" i="3" s="1"/>
  <c r="G19" i="3" a="1"/>
  <c r="G19" i="3" s="1"/>
  <c r="H19" i="3" a="1"/>
  <c r="H19" i="3" s="1"/>
  <c r="I19" i="3" a="1"/>
  <c r="I19" i="3" s="1"/>
  <c r="J19" i="3" a="1"/>
  <c r="J19" i="3" s="1"/>
  <c r="F20" i="3" a="1"/>
  <c r="F20" i="3" s="1"/>
  <c r="G20" i="3" a="1"/>
  <c r="G20" i="3" s="1"/>
  <c r="H20" i="3" a="1"/>
  <c r="H20" i="3" s="1"/>
  <c r="I20" i="3" a="1"/>
  <c r="I20" i="3" s="1"/>
  <c r="J20" i="3" a="1"/>
  <c r="J20" i="3" s="1"/>
  <c r="F21" i="3" a="1"/>
  <c r="F21" i="3" s="1"/>
  <c r="G21" i="3" a="1"/>
  <c r="G21" i="3" s="1"/>
  <c r="H21" i="3" a="1"/>
  <c r="H21" i="3" s="1"/>
  <c r="I21" i="3" a="1"/>
  <c r="I21" i="3" s="1"/>
  <c r="J21" i="3" a="1"/>
  <c r="J21" i="3" s="1"/>
  <c r="F22" i="3" a="1"/>
  <c r="F22" i="3" s="1"/>
  <c r="G22" i="3" a="1"/>
  <c r="G22" i="3" s="1"/>
  <c r="H22" i="3" a="1"/>
  <c r="H22" i="3" s="1"/>
  <c r="I22" i="3" a="1"/>
  <c r="I22" i="3" s="1"/>
  <c r="J22" i="3" a="1"/>
  <c r="J22" i="3" s="1"/>
  <c r="F23" i="3" a="1"/>
  <c r="F23" i="3" s="1"/>
  <c r="G23" i="3" a="1"/>
  <c r="G23" i="3" s="1"/>
  <c r="H23" i="3" a="1"/>
  <c r="H23" i="3" s="1"/>
  <c r="I23" i="3" a="1"/>
  <c r="I23" i="3" s="1"/>
  <c r="J23" i="3" a="1"/>
  <c r="J23" i="3" s="1"/>
  <c r="F24" i="3" a="1"/>
  <c r="F24" i="3" s="1"/>
  <c r="G24" i="3" a="1"/>
  <c r="G24" i="3" s="1"/>
  <c r="H24" i="3" a="1"/>
  <c r="H24" i="3" s="1"/>
  <c r="I24" i="3" a="1"/>
  <c r="I24" i="3" s="1"/>
  <c r="J24" i="3" a="1"/>
  <c r="J24" i="3" s="1"/>
  <c r="F25" i="3" a="1"/>
  <c r="F25" i="3" s="1"/>
  <c r="G25" i="3" a="1"/>
  <c r="G25" i="3" s="1"/>
  <c r="H25" i="3" a="1"/>
  <c r="H25" i="3" s="1"/>
  <c r="I25" i="3" a="1"/>
  <c r="I25" i="3" s="1"/>
  <c r="J25" i="3" a="1"/>
  <c r="J25" i="3" s="1"/>
  <c r="F26" i="3" a="1"/>
  <c r="F26" i="3" s="1"/>
  <c r="G26" i="3" a="1"/>
  <c r="G26" i="3" s="1"/>
  <c r="H26" i="3" a="1"/>
  <c r="H26" i="3" s="1"/>
  <c r="I26" i="3" a="1"/>
  <c r="I26" i="3" s="1"/>
  <c r="J26" i="3" a="1"/>
  <c r="J26" i="3" s="1"/>
  <c r="F27" i="3" a="1"/>
  <c r="F27" i="3" s="1"/>
  <c r="G27" i="3" a="1"/>
  <c r="G27" i="3" s="1"/>
  <c r="H27" i="3" a="1"/>
  <c r="H27" i="3" s="1"/>
  <c r="I27" i="3" a="1"/>
  <c r="I27" i="3" s="1"/>
  <c r="J27" i="3" a="1"/>
  <c r="J27" i="3" s="1"/>
  <c r="F28" i="3" a="1"/>
  <c r="F28" i="3" s="1"/>
  <c r="G28" i="3" a="1"/>
  <c r="G28" i="3" s="1"/>
  <c r="H28" i="3" a="1"/>
  <c r="H28" i="3" s="1"/>
  <c r="I28" i="3" a="1"/>
  <c r="I28" i="3" s="1"/>
  <c r="J28" i="3" a="1"/>
  <c r="J28" i="3" s="1"/>
  <c r="F29" i="3" a="1"/>
  <c r="F29" i="3" s="1"/>
  <c r="G29" i="3" a="1"/>
  <c r="G29" i="3" s="1"/>
  <c r="H29" i="3" a="1"/>
  <c r="H29" i="3" s="1"/>
  <c r="I29" i="3" a="1"/>
  <c r="I29" i="3" s="1"/>
  <c r="J29" i="3" a="1"/>
  <c r="J29" i="3" s="1"/>
  <c r="F30" i="3" a="1"/>
  <c r="F30" i="3" s="1"/>
  <c r="G30" i="3" a="1"/>
  <c r="G30" i="3" s="1"/>
  <c r="H30" i="3" a="1"/>
  <c r="H30" i="3" s="1"/>
  <c r="I30" i="3" a="1"/>
  <c r="I30" i="3" s="1"/>
  <c r="J30" i="3" a="1"/>
  <c r="J30" i="3" s="1"/>
  <c r="F31" i="3" a="1"/>
  <c r="F31" i="3" s="1"/>
  <c r="G31" i="3" a="1"/>
  <c r="G31" i="3" s="1"/>
  <c r="H31" i="3" a="1"/>
  <c r="H31" i="3" s="1"/>
  <c r="I31" i="3" a="1"/>
  <c r="I31" i="3" s="1"/>
  <c r="J31" i="3" a="1"/>
  <c r="J31" i="3" s="1"/>
  <c r="F32" i="3" a="1"/>
  <c r="F32" i="3" s="1"/>
  <c r="G32" i="3" a="1"/>
  <c r="G32" i="3" s="1"/>
  <c r="H32" i="3" a="1"/>
  <c r="H32" i="3" s="1"/>
  <c r="I32" i="3" a="1"/>
  <c r="I32" i="3" s="1"/>
  <c r="J32" i="3" a="1"/>
  <c r="J32" i="3" s="1"/>
  <c r="F33" i="3" a="1"/>
  <c r="F33" i="3" s="1"/>
  <c r="G33" i="3" a="1"/>
  <c r="G33" i="3" s="1"/>
  <c r="H33" i="3" a="1"/>
  <c r="H33" i="3" s="1"/>
  <c r="I33" i="3" a="1"/>
  <c r="I33" i="3" s="1"/>
  <c r="J33" i="3" a="1"/>
  <c r="J33" i="3" s="1"/>
  <c r="F34" i="3" a="1"/>
  <c r="F34" i="3" s="1"/>
  <c r="G34" i="3" a="1"/>
  <c r="G34" i="3" s="1"/>
  <c r="H34" i="3" a="1"/>
  <c r="H34" i="3" s="1"/>
  <c r="I34" i="3" a="1"/>
  <c r="I34" i="3" s="1"/>
  <c r="J34" i="3" a="1"/>
  <c r="J34" i="3" s="1"/>
  <c r="F35" i="3" a="1"/>
  <c r="F35" i="3" s="1"/>
  <c r="G35" i="3" a="1"/>
  <c r="G35" i="3" s="1"/>
  <c r="H35" i="3" a="1"/>
  <c r="H35" i="3" s="1"/>
  <c r="I35" i="3" a="1"/>
  <c r="I35" i="3" s="1"/>
  <c r="J35" i="3" a="1"/>
  <c r="J35" i="3" s="1"/>
  <c r="F36" i="3" a="1"/>
  <c r="F36" i="3" s="1"/>
  <c r="G36" i="3" a="1"/>
  <c r="G36" i="3" s="1"/>
  <c r="H36" i="3" a="1"/>
  <c r="H36" i="3" s="1"/>
  <c r="I36" i="3" a="1"/>
  <c r="I36" i="3" s="1"/>
  <c r="J36" i="3" a="1"/>
  <c r="J36" i="3" s="1"/>
  <c r="F37" i="3" a="1"/>
  <c r="F37" i="3" s="1"/>
  <c r="G37" i="3" a="1"/>
  <c r="G37" i="3" s="1"/>
  <c r="H37" i="3" a="1"/>
  <c r="H37" i="3" s="1"/>
  <c r="I37" i="3" a="1"/>
  <c r="I37" i="3" s="1"/>
  <c r="J37" i="3" a="1"/>
  <c r="J37" i="3" s="1"/>
  <c r="F38" i="3" a="1"/>
  <c r="F38" i="3" s="1"/>
  <c r="G38" i="3" a="1"/>
  <c r="G38" i="3" s="1"/>
  <c r="H38" i="3" a="1"/>
  <c r="H38" i="3" s="1"/>
  <c r="I38" i="3" a="1"/>
  <c r="I38" i="3" s="1"/>
  <c r="J38" i="3" a="1"/>
  <c r="J38" i="3" s="1"/>
  <c r="F39" i="3" a="1"/>
  <c r="F39" i="3" s="1"/>
  <c r="G39" i="3" a="1"/>
  <c r="G39" i="3" s="1"/>
  <c r="H39" i="3" a="1"/>
  <c r="H39" i="3" s="1"/>
  <c r="I39" i="3" a="1"/>
  <c r="I39" i="3" s="1"/>
  <c r="J39" i="3" a="1"/>
  <c r="J39" i="3" s="1"/>
  <c r="F40" i="3" a="1"/>
  <c r="F40" i="3" s="1"/>
  <c r="G40" i="3" a="1"/>
  <c r="G40" i="3" s="1"/>
  <c r="H40" i="3" a="1"/>
  <c r="H40" i="3" s="1"/>
  <c r="I40" i="3" a="1"/>
  <c r="I40" i="3" s="1"/>
  <c r="J40" i="3" a="1"/>
  <c r="J40" i="3" s="1"/>
  <c r="F41" i="3" a="1"/>
  <c r="F41" i="3" s="1"/>
  <c r="G41" i="3" a="1"/>
  <c r="G41" i="3" s="1"/>
  <c r="H41" i="3" a="1"/>
  <c r="H41" i="3" s="1"/>
  <c r="I41" i="3" a="1"/>
  <c r="I41" i="3" s="1"/>
  <c r="J41" i="3" a="1"/>
  <c r="J41" i="3" s="1"/>
  <c r="F42" i="3" a="1"/>
  <c r="F42" i="3" s="1"/>
  <c r="G42" i="3" a="1"/>
  <c r="G42" i="3" s="1"/>
  <c r="H42" i="3" a="1"/>
  <c r="H42" i="3" s="1"/>
  <c r="I42" i="3" a="1"/>
  <c r="I42" i="3" s="1"/>
  <c r="J42" i="3" a="1"/>
  <c r="J42" i="3" s="1"/>
  <c r="F43" i="3" a="1"/>
  <c r="F43" i="3" s="1"/>
  <c r="G43" i="3" a="1"/>
  <c r="G43" i="3" s="1"/>
  <c r="H43" i="3" a="1"/>
  <c r="H43" i="3" s="1"/>
  <c r="I43" i="3" a="1"/>
  <c r="I43" i="3" s="1"/>
  <c r="J43" i="3" a="1"/>
  <c r="J43" i="3" s="1"/>
  <c r="F44" i="3" a="1"/>
  <c r="F44" i="3" s="1"/>
  <c r="G44" i="3" a="1"/>
  <c r="G44" i="3" s="1"/>
  <c r="H44" i="3" a="1"/>
  <c r="H44" i="3" s="1"/>
  <c r="I44" i="3" a="1"/>
  <c r="I44" i="3" s="1"/>
  <c r="J44" i="3" a="1"/>
  <c r="J44" i="3" s="1"/>
  <c r="F45" i="3" a="1"/>
  <c r="F45" i="3" s="1"/>
  <c r="G45" i="3" a="1"/>
  <c r="G45" i="3" s="1"/>
  <c r="H45" i="3" a="1"/>
  <c r="H45" i="3" s="1"/>
  <c r="I45" i="3" a="1"/>
  <c r="I45" i="3" s="1"/>
  <c r="J45" i="3" a="1"/>
  <c r="J45" i="3" s="1"/>
  <c r="F46" i="3" a="1"/>
  <c r="F46" i="3" s="1"/>
  <c r="G46" i="3" a="1"/>
  <c r="G46" i="3" s="1"/>
  <c r="H46" i="3" a="1"/>
  <c r="H46" i="3" s="1"/>
  <c r="I46" i="3" a="1"/>
  <c r="I46" i="3" s="1"/>
  <c r="J46" i="3" a="1"/>
  <c r="J46" i="3" s="1"/>
  <c r="F47" i="3" a="1"/>
  <c r="F47" i="3" s="1"/>
  <c r="G47" i="3" a="1"/>
  <c r="G47" i="3" s="1"/>
  <c r="H47" i="3" a="1"/>
  <c r="H47" i="3" s="1"/>
  <c r="I47" i="3" a="1"/>
  <c r="I47" i="3" s="1"/>
  <c r="J47" i="3" a="1"/>
  <c r="J47" i="3" s="1"/>
  <c r="F48" i="3" a="1"/>
  <c r="F48" i="3" s="1"/>
  <c r="G48" i="3" a="1"/>
  <c r="G48" i="3" s="1"/>
  <c r="H48" i="3" a="1"/>
  <c r="H48" i="3" s="1"/>
  <c r="I48" i="3" a="1"/>
  <c r="I48" i="3" s="1"/>
  <c r="J48" i="3" a="1"/>
  <c r="J48" i="3" s="1"/>
  <c r="F49" i="3" a="1"/>
  <c r="F49" i="3" s="1"/>
  <c r="G49" i="3" a="1"/>
  <c r="G49" i="3" s="1"/>
  <c r="H49" i="3" a="1"/>
  <c r="H49" i="3" s="1"/>
  <c r="I49" i="3" a="1"/>
  <c r="I49" i="3" s="1"/>
  <c r="J49" i="3" a="1"/>
  <c r="J49" i="3" s="1"/>
  <c r="F50" i="3" a="1"/>
  <c r="F50" i="3" s="1"/>
  <c r="G50" i="3" a="1"/>
  <c r="G50" i="3" s="1"/>
  <c r="H50" i="3" a="1"/>
  <c r="H50" i="3" s="1"/>
  <c r="I50" i="3" a="1"/>
  <c r="I50" i="3" s="1"/>
  <c r="J50" i="3" a="1"/>
  <c r="J50" i="3" s="1"/>
  <c r="F51" i="3" a="1"/>
  <c r="F51" i="3" s="1"/>
  <c r="G51" i="3" a="1"/>
  <c r="G51" i="3" s="1"/>
  <c r="H51" i="3" a="1"/>
  <c r="H51" i="3" s="1"/>
  <c r="I51" i="3" a="1"/>
  <c r="I51" i="3" s="1"/>
  <c r="J51" i="3" a="1"/>
  <c r="J51" i="3" s="1"/>
  <c r="F52" i="3" a="1"/>
  <c r="F52" i="3" s="1"/>
  <c r="G52" i="3" a="1"/>
  <c r="G52" i="3" s="1"/>
  <c r="H52" i="3" a="1"/>
  <c r="H52" i="3" s="1"/>
  <c r="I52" i="3" a="1"/>
  <c r="I52" i="3" s="1"/>
  <c r="J52" i="3" a="1"/>
  <c r="J52" i="3" s="1"/>
  <c r="F53" i="3" a="1"/>
  <c r="F53" i="3" s="1"/>
  <c r="G53" i="3" a="1"/>
  <c r="G53" i="3" s="1"/>
  <c r="H53" i="3" a="1"/>
  <c r="H53" i="3" s="1"/>
  <c r="I53" i="3" a="1"/>
  <c r="I53" i="3" s="1"/>
  <c r="J53" i="3" a="1"/>
  <c r="J53" i="3" s="1"/>
  <c r="F54" i="3" a="1"/>
  <c r="F54" i="3" s="1"/>
  <c r="G54" i="3" a="1"/>
  <c r="G54" i="3" s="1"/>
  <c r="H54" i="3" a="1"/>
  <c r="H54" i="3" s="1"/>
  <c r="I54" i="3" a="1"/>
  <c r="I54" i="3" s="1"/>
  <c r="J54" i="3" a="1"/>
  <c r="J54" i="3" s="1"/>
  <c r="F55" i="3" a="1"/>
  <c r="F55" i="3" s="1"/>
  <c r="G55" i="3" a="1"/>
  <c r="G55" i="3" s="1"/>
  <c r="H55" i="3" a="1"/>
  <c r="H55" i="3" s="1"/>
  <c r="I55" i="3" a="1"/>
  <c r="I55" i="3" s="1"/>
  <c r="J55" i="3" a="1"/>
  <c r="J55" i="3" s="1"/>
  <c r="F56" i="3" a="1"/>
  <c r="F56" i="3" s="1"/>
  <c r="G56" i="3" a="1"/>
  <c r="G56" i="3" s="1"/>
  <c r="H56" i="3" a="1"/>
  <c r="H56" i="3" s="1"/>
  <c r="I56" i="3" a="1"/>
  <c r="I56" i="3" s="1"/>
  <c r="J56" i="3" a="1"/>
  <c r="J56" i="3" s="1"/>
  <c r="F57" i="3" a="1"/>
  <c r="F57" i="3" s="1"/>
  <c r="G57" i="3" a="1"/>
  <c r="G57" i="3" s="1"/>
  <c r="H57" i="3" a="1"/>
  <c r="H57" i="3" s="1"/>
  <c r="I57" i="3" a="1"/>
  <c r="I57" i="3" s="1"/>
  <c r="J57" i="3" a="1"/>
  <c r="J57" i="3" s="1"/>
  <c r="F58" i="3" a="1"/>
  <c r="F58" i="3" s="1"/>
  <c r="G58" i="3" a="1"/>
  <c r="G58" i="3" s="1"/>
  <c r="H58" i="3" a="1"/>
  <c r="H58" i="3" s="1"/>
  <c r="I58" i="3" a="1"/>
  <c r="I58" i="3" s="1"/>
  <c r="J58" i="3" a="1"/>
  <c r="J58" i="3" s="1"/>
  <c r="F59" i="3" a="1"/>
  <c r="F59" i="3" s="1"/>
  <c r="G59" i="3" a="1"/>
  <c r="G59" i="3" s="1"/>
  <c r="H59" i="3" a="1"/>
  <c r="H59" i="3" s="1"/>
  <c r="I59" i="3" a="1"/>
  <c r="I59" i="3" s="1"/>
  <c r="J59" i="3" a="1"/>
  <c r="J59" i="3" s="1"/>
  <c r="F60" i="3" a="1"/>
  <c r="F60" i="3" s="1"/>
  <c r="G60" i="3" a="1"/>
  <c r="G60" i="3" s="1"/>
  <c r="H60" i="3" a="1"/>
  <c r="H60" i="3" s="1"/>
  <c r="I60" i="3" a="1"/>
  <c r="I60" i="3" s="1"/>
  <c r="J60" i="3" a="1"/>
  <c r="J60" i="3" s="1"/>
  <c r="F61" i="3" a="1"/>
  <c r="F61" i="3" s="1"/>
  <c r="G61" i="3" a="1"/>
  <c r="G61" i="3" s="1"/>
  <c r="H61" i="3" a="1"/>
  <c r="H61" i="3" s="1"/>
  <c r="I61" i="3" a="1"/>
  <c r="I61" i="3" s="1"/>
  <c r="J61" i="3" a="1"/>
  <c r="J61" i="3" s="1"/>
  <c r="F62" i="3" a="1"/>
  <c r="F62" i="3" s="1"/>
  <c r="G62" i="3" a="1"/>
  <c r="G62" i="3" s="1"/>
  <c r="H62" i="3" a="1"/>
  <c r="H62" i="3" s="1"/>
  <c r="I62" i="3" a="1"/>
  <c r="I62" i="3" s="1"/>
  <c r="J62" i="3" a="1"/>
  <c r="J62" i="3" s="1"/>
  <c r="F63" i="3" a="1"/>
  <c r="F63" i="3" s="1"/>
  <c r="G63" i="3" a="1"/>
  <c r="G63" i="3" s="1"/>
  <c r="H63" i="3" a="1"/>
  <c r="H63" i="3" s="1"/>
  <c r="I63" i="3" a="1"/>
  <c r="I63" i="3" s="1"/>
  <c r="J63" i="3" a="1"/>
  <c r="J63" i="3" s="1"/>
  <c r="F64" i="3" a="1"/>
  <c r="F64" i="3" s="1"/>
  <c r="G64" i="3" a="1"/>
  <c r="G64" i="3" s="1"/>
  <c r="H64" i="3" a="1"/>
  <c r="H64" i="3" s="1"/>
  <c r="I64" i="3" a="1"/>
  <c r="I64" i="3" s="1"/>
  <c r="J64" i="3" a="1"/>
  <c r="J64" i="3" s="1"/>
  <c r="F65" i="3" a="1"/>
  <c r="F65" i="3" s="1"/>
  <c r="G65" i="3" a="1"/>
  <c r="G65" i="3" s="1"/>
  <c r="H65" i="3" a="1"/>
  <c r="H65" i="3" s="1"/>
  <c r="I65" i="3" a="1"/>
  <c r="I65" i="3" s="1"/>
  <c r="J65" i="3" a="1"/>
  <c r="J65" i="3" s="1"/>
  <c r="F66" i="3" a="1"/>
  <c r="F66" i="3" s="1"/>
  <c r="G66" i="3" a="1"/>
  <c r="G66" i="3" s="1"/>
  <c r="H66" i="3" a="1"/>
  <c r="H66" i="3" s="1"/>
  <c r="I66" i="3" a="1"/>
  <c r="I66" i="3" s="1"/>
  <c r="J66" i="3" a="1"/>
  <c r="J66" i="3" s="1"/>
  <c r="F67" i="3" a="1"/>
  <c r="F67" i="3" s="1"/>
  <c r="G67" i="3" a="1"/>
  <c r="G67" i="3" s="1"/>
  <c r="H67" i="3" a="1"/>
  <c r="H67" i="3" s="1"/>
  <c r="I67" i="3" a="1"/>
  <c r="I67" i="3" s="1"/>
  <c r="J67" i="3" a="1"/>
  <c r="J67" i="3" s="1"/>
  <c r="F68" i="3" a="1"/>
  <c r="F68" i="3" s="1"/>
  <c r="G68" i="3" a="1"/>
  <c r="G68" i="3" s="1"/>
  <c r="H68" i="3" a="1"/>
  <c r="H68" i="3" s="1"/>
  <c r="I68" i="3" a="1"/>
  <c r="I68" i="3" s="1"/>
  <c r="J68" i="3" a="1"/>
  <c r="J68" i="3" s="1"/>
  <c r="F69" i="3" a="1"/>
  <c r="F69" i="3" s="1"/>
  <c r="G69" i="3" a="1"/>
  <c r="G69" i="3" s="1"/>
  <c r="H69" i="3" a="1"/>
  <c r="H69" i="3" s="1"/>
  <c r="I69" i="3" a="1"/>
  <c r="I69" i="3" s="1"/>
  <c r="J69" i="3" a="1"/>
  <c r="J69" i="3" s="1"/>
  <c r="F70" i="3" a="1"/>
  <c r="F70" i="3" s="1"/>
  <c r="G70" i="3" a="1"/>
  <c r="G70" i="3" s="1"/>
  <c r="H70" i="3" a="1"/>
  <c r="H70" i="3" s="1"/>
  <c r="I70" i="3" a="1"/>
  <c r="I70" i="3" s="1"/>
  <c r="J70" i="3" a="1"/>
  <c r="J70" i="3" s="1"/>
  <c r="F71" i="3" a="1"/>
  <c r="F71" i="3" s="1"/>
  <c r="G71" i="3" a="1"/>
  <c r="G71" i="3" s="1"/>
  <c r="H71" i="3" a="1"/>
  <c r="H71" i="3" s="1"/>
  <c r="I71" i="3" a="1"/>
  <c r="I71" i="3" s="1"/>
  <c r="J71" i="3" a="1"/>
  <c r="J71" i="3" s="1"/>
  <c r="F72" i="3" a="1"/>
  <c r="F72" i="3" s="1"/>
  <c r="G72" i="3" a="1"/>
  <c r="G72" i="3" s="1"/>
  <c r="H72" i="3" a="1"/>
  <c r="H72" i="3" s="1"/>
  <c r="I72" i="3" a="1"/>
  <c r="I72" i="3" s="1"/>
  <c r="J72" i="3" a="1"/>
  <c r="J72" i="3" s="1"/>
  <c r="F73" i="3" a="1"/>
  <c r="F73" i="3" s="1"/>
  <c r="G73" i="3" a="1"/>
  <c r="G73" i="3" s="1"/>
  <c r="H73" i="3" a="1"/>
  <c r="H73" i="3" s="1"/>
  <c r="I73" i="3" a="1"/>
  <c r="I73" i="3" s="1"/>
  <c r="J73" i="3" a="1"/>
  <c r="J73" i="3" s="1"/>
  <c r="F74" i="3" a="1"/>
  <c r="F74" i="3" s="1"/>
  <c r="G74" i="3" a="1"/>
  <c r="G74" i="3" s="1"/>
  <c r="H74" i="3" a="1"/>
  <c r="H74" i="3" s="1"/>
  <c r="I74" i="3" a="1"/>
  <c r="I74" i="3" s="1"/>
  <c r="J74" i="3" a="1"/>
  <c r="J74" i="3" s="1"/>
  <c r="F75" i="3" a="1"/>
  <c r="F75" i="3" s="1"/>
  <c r="G75" i="3" a="1"/>
  <c r="G75" i="3" s="1"/>
  <c r="H75" i="3" a="1"/>
  <c r="H75" i="3" s="1"/>
  <c r="I75" i="3" a="1"/>
  <c r="I75" i="3" s="1"/>
  <c r="J75" i="3" a="1"/>
  <c r="J75" i="3" s="1"/>
  <c r="F76" i="3" a="1"/>
  <c r="F76" i="3" s="1"/>
  <c r="G76" i="3" a="1"/>
  <c r="G76" i="3" s="1"/>
  <c r="H76" i="3" a="1"/>
  <c r="H76" i="3" s="1"/>
  <c r="I76" i="3" a="1"/>
  <c r="I76" i="3" s="1"/>
  <c r="J76" i="3" a="1"/>
  <c r="J76" i="3" s="1"/>
  <c r="F77" i="3" a="1"/>
  <c r="F77" i="3" s="1"/>
  <c r="G77" i="3" a="1"/>
  <c r="G77" i="3" s="1"/>
  <c r="H77" i="3" a="1"/>
  <c r="H77" i="3" s="1"/>
  <c r="I77" i="3" a="1"/>
  <c r="I77" i="3" s="1"/>
  <c r="J77" i="3" a="1"/>
  <c r="J77" i="3" s="1"/>
  <c r="F78" i="3" a="1"/>
  <c r="F78" i="3" s="1"/>
  <c r="G78" i="3" a="1"/>
  <c r="G78" i="3" s="1"/>
  <c r="H78" i="3" a="1"/>
  <c r="H78" i="3" s="1"/>
  <c r="I78" i="3" a="1"/>
  <c r="I78" i="3" s="1"/>
  <c r="J78" i="3" a="1"/>
  <c r="J78" i="3" s="1"/>
  <c r="F79" i="3" a="1"/>
  <c r="F79" i="3" s="1"/>
  <c r="G79" i="3" a="1"/>
  <c r="G79" i="3" s="1"/>
  <c r="H79" i="3" a="1"/>
  <c r="H79" i="3" s="1"/>
  <c r="I79" i="3" a="1"/>
  <c r="I79" i="3" s="1"/>
  <c r="J79" i="3" a="1"/>
  <c r="J79" i="3" s="1"/>
  <c r="F80" i="3" a="1"/>
  <c r="F80" i="3" s="1"/>
  <c r="G80" i="3" a="1"/>
  <c r="G80" i="3" s="1"/>
  <c r="H80" i="3" a="1"/>
  <c r="H80" i="3" s="1"/>
  <c r="I80" i="3" a="1"/>
  <c r="I80" i="3" s="1"/>
  <c r="J80" i="3" a="1"/>
  <c r="J80" i="3" s="1"/>
  <c r="F81" i="3" a="1"/>
  <c r="F81" i="3" s="1"/>
  <c r="G81" i="3" a="1"/>
  <c r="G81" i="3" s="1"/>
  <c r="H81" i="3" a="1"/>
  <c r="H81" i="3" s="1"/>
  <c r="I81" i="3" a="1"/>
  <c r="I81" i="3" s="1"/>
  <c r="J81" i="3" a="1"/>
  <c r="J81" i="3" s="1"/>
  <c r="F82" i="3" a="1"/>
  <c r="F82" i="3" s="1"/>
  <c r="G82" i="3" a="1"/>
  <c r="G82" i="3" s="1"/>
  <c r="H82" i="3" a="1"/>
  <c r="H82" i="3" s="1"/>
  <c r="I82" i="3" a="1"/>
  <c r="I82" i="3" s="1"/>
  <c r="J82" i="3" a="1"/>
  <c r="J82" i="3" s="1"/>
  <c r="F83" i="3" a="1"/>
  <c r="F83" i="3" s="1"/>
  <c r="G83" i="3" a="1"/>
  <c r="G83" i="3" s="1"/>
  <c r="H83" i="3" a="1"/>
  <c r="H83" i="3" s="1"/>
  <c r="I83" i="3" a="1"/>
  <c r="I83" i="3" s="1"/>
  <c r="J83" i="3" a="1"/>
  <c r="J83" i="3" s="1"/>
  <c r="F84" i="3" a="1"/>
  <c r="F84" i="3" s="1"/>
  <c r="G84" i="3" a="1"/>
  <c r="G84" i="3" s="1"/>
  <c r="H84" i="3" a="1"/>
  <c r="H84" i="3" s="1"/>
  <c r="I84" i="3" a="1"/>
  <c r="I84" i="3" s="1"/>
  <c r="J84" i="3" a="1"/>
  <c r="J84" i="3" s="1"/>
  <c r="F85" i="3" a="1"/>
  <c r="F85" i="3" s="1"/>
  <c r="G85" i="3" a="1"/>
  <c r="G85" i="3" s="1"/>
  <c r="H85" i="3" a="1"/>
  <c r="H85" i="3" s="1"/>
  <c r="I85" i="3" a="1"/>
  <c r="I85" i="3" s="1"/>
  <c r="J85" i="3" a="1"/>
  <c r="J85" i="3" s="1"/>
  <c r="F86" i="3" a="1"/>
  <c r="F86" i="3" s="1"/>
  <c r="G86" i="3" a="1"/>
  <c r="G86" i="3" s="1"/>
  <c r="H86" i="3" a="1"/>
  <c r="H86" i="3" s="1"/>
  <c r="I86" i="3" a="1"/>
  <c r="I86" i="3" s="1"/>
  <c r="J86" i="3" a="1"/>
  <c r="J86" i="3" s="1"/>
  <c r="F87" i="3" a="1"/>
  <c r="F87" i="3" s="1"/>
  <c r="G87" i="3" a="1"/>
  <c r="G87" i="3" s="1"/>
  <c r="H87" i="3" a="1"/>
  <c r="H87" i="3" s="1"/>
  <c r="I87" i="3" a="1"/>
  <c r="I87" i="3" s="1"/>
  <c r="J87" i="3" a="1"/>
  <c r="J87" i="3" s="1"/>
  <c r="F88" i="3" a="1"/>
  <c r="F88" i="3" s="1"/>
  <c r="G88" i="3" a="1"/>
  <c r="G88" i="3" s="1"/>
  <c r="H88" i="3" a="1"/>
  <c r="H88" i="3" s="1"/>
  <c r="I88" i="3" a="1"/>
  <c r="I88" i="3" s="1"/>
  <c r="J88" i="3" a="1"/>
  <c r="J88" i="3" s="1"/>
  <c r="F89" i="3" a="1"/>
  <c r="F89" i="3" s="1"/>
  <c r="G89" i="3" a="1"/>
  <c r="G89" i="3" s="1"/>
  <c r="H89" i="3" a="1"/>
  <c r="H89" i="3" s="1"/>
  <c r="I89" i="3" a="1"/>
  <c r="I89" i="3" s="1"/>
  <c r="J89" i="3" a="1"/>
  <c r="J89" i="3" s="1"/>
  <c r="F90" i="3" a="1"/>
  <c r="F90" i="3" s="1"/>
  <c r="G90" i="3" a="1"/>
  <c r="G90" i="3" s="1"/>
  <c r="H90" i="3" a="1"/>
  <c r="H90" i="3" s="1"/>
  <c r="I90" i="3" a="1"/>
  <c r="I90" i="3" s="1"/>
  <c r="J90" i="3" a="1"/>
  <c r="J90" i="3" s="1"/>
  <c r="F91" i="3" a="1"/>
  <c r="F91" i="3" s="1"/>
  <c r="G91" i="3" a="1"/>
  <c r="G91" i="3" s="1"/>
  <c r="H91" i="3" a="1"/>
  <c r="H91" i="3" s="1"/>
  <c r="I91" i="3" a="1"/>
  <c r="I91" i="3" s="1"/>
  <c r="J91" i="3" a="1"/>
  <c r="J91" i="3" s="1"/>
  <c r="F92" i="3" a="1"/>
  <c r="F92" i="3" s="1"/>
  <c r="G92" i="3" a="1"/>
  <c r="G92" i="3" s="1"/>
  <c r="H92" i="3" a="1"/>
  <c r="H92" i="3" s="1"/>
  <c r="I92" i="3" a="1"/>
  <c r="I92" i="3" s="1"/>
  <c r="J92" i="3" a="1"/>
  <c r="J92" i="3" s="1"/>
  <c r="F93" i="3" a="1"/>
  <c r="F93" i="3" s="1"/>
  <c r="G93" i="3" a="1"/>
  <c r="G93" i="3" s="1"/>
  <c r="H93" i="3" a="1"/>
  <c r="H93" i="3" s="1"/>
  <c r="I93" i="3" a="1"/>
  <c r="I93" i="3" s="1"/>
  <c r="J93" i="3" a="1"/>
  <c r="J93" i="3" s="1"/>
  <c r="F94" i="3" a="1"/>
  <c r="F94" i="3" s="1"/>
  <c r="G94" i="3" a="1"/>
  <c r="G94" i="3" s="1"/>
  <c r="H94" i="3" a="1"/>
  <c r="H94" i="3" s="1"/>
  <c r="I94" i="3" a="1"/>
  <c r="I94" i="3" s="1"/>
  <c r="J94" i="3" a="1"/>
  <c r="J94" i="3" s="1"/>
  <c r="F95" i="3" a="1"/>
  <c r="F95" i="3" s="1"/>
  <c r="G95" i="3" a="1"/>
  <c r="G95" i="3" s="1"/>
  <c r="H95" i="3" a="1"/>
  <c r="H95" i="3" s="1"/>
  <c r="I95" i="3" a="1"/>
  <c r="I95" i="3" s="1"/>
  <c r="J95" i="3" a="1"/>
  <c r="J95" i="3" s="1"/>
  <c r="F96" i="3" a="1"/>
  <c r="F96" i="3" s="1"/>
  <c r="G96" i="3" a="1"/>
  <c r="G96" i="3" s="1"/>
  <c r="H96" i="3" a="1"/>
  <c r="H96" i="3" s="1"/>
  <c r="I96" i="3" a="1"/>
  <c r="I96" i="3" s="1"/>
  <c r="J96" i="3" a="1"/>
  <c r="J96" i="3" s="1"/>
  <c r="F97" i="3" a="1"/>
  <c r="F97" i="3" s="1"/>
  <c r="G97" i="3" a="1"/>
  <c r="G97" i="3" s="1"/>
  <c r="H97" i="3" a="1"/>
  <c r="H97" i="3" s="1"/>
  <c r="I97" i="3" a="1"/>
  <c r="I97" i="3" s="1"/>
  <c r="J97" i="3" a="1"/>
  <c r="J97" i="3" s="1"/>
  <c r="F98" i="3" a="1"/>
  <c r="F98" i="3" s="1"/>
  <c r="G98" i="3" a="1"/>
  <c r="G98" i="3" s="1"/>
  <c r="H98" i="3" a="1"/>
  <c r="H98" i="3" s="1"/>
  <c r="I98" i="3" a="1"/>
  <c r="I98" i="3" s="1"/>
  <c r="J98" i="3" a="1"/>
  <c r="J98" i="3" s="1"/>
  <c r="A3" i="3" a="1"/>
  <c r="A3" i="3" s="1"/>
  <c r="B3" i="3" a="1"/>
  <c r="B3" i="3" s="1"/>
  <c r="C3" i="3" a="1"/>
  <c r="C3" i="3" s="1"/>
  <c r="D3" i="3" a="1"/>
  <c r="D3" i="3" s="1"/>
  <c r="E3" i="3" a="1"/>
  <c r="E3" i="3" s="1"/>
  <c r="A4" i="3" a="1"/>
  <c r="A4" i="3" s="1"/>
  <c r="B4" i="3" a="1"/>
  <c r="B4" i="3" s="1"/>
  <c r="C4" i="3" a="1"/>
  <c r="C4" i="3" s="1"/>
  <c r="D4" i="3" a="1"/>
  <c r="D4" i="3" s="1"/>
  <c r="E4" i="3" a="1"/>
  <c r="E4" i="3" s="1"/>
  <c r="A5" i="3" a="1"/>
  <c r="A5" i="3" s="1"/>
  <c r="B5" i="3" a="1"/>
  <c r="B5" i="3" s="1"/>
  <c r="C5" i="3" a="1"/>
  <c r="C5" i="3" s="1"/>
  <c r="D5" i="3" a="1"/>
  <c r="D5" i="3" s="1"/>
  <c r="E5" i="3" a="1"/>
  <c r="E5" i="3" s="1"/>
  <c r="A6" i="3" a="1"/>
  <c r="A6" i="3" s="1"/>
  <c r="B6" i="3" a="1"/>
  <c r="B6" i="3" s="1"/>
  <c r="C6" i="3" a="1"/>
  <c r="C6" i="3" s="1"/>
  <c r="D6" i="3" a="1"/>
  <c r="D6" i="3" s="1"/>
  <c r="E6" i="3" a="1"/>
  <c r="E6" i="3" s="1"/>
  <c r="A7" i="3" a="1"/>
  <c r="A7" i="3" s="1"/>
  <c r="B7" i="3" a="1"/>
  <c r="B7" i="3" s="1"/>
  <c r="C7" i="3" a="1"/>
  <c r="C7" i="3" s="1"/>
  <c r="D7" i="3" a="1"/>
  <c r="D7" i="3" s="1"/>
  <c r="E7" i="3" a="1"/>
  <c r="E7" i="3" s="1"/>
  <c r="A8" i="3" a="1"/>
  <c r="A8" i="3" s="1"/>
  <c r="B8" i="3" a="1"/>
  <c r="B8" i="3" s="1"/>
  <c r="C8" i="3" a="1"/>
  <c r="C8" i="3" s="1"/>
  <c r="D8" i="3" a="1"/>
  <c r="D8" i="3" s="1"/>
  <c r="E8" i="3" a="1"/>
  <c r="E8" i="3" s="1"/>
  <c r="A9" i="3" a="1"/>
  <c r="A9" i="3" s="1"/>
  <c r="B9" i="3" a="1"/>
  <c r="B9" i="3" s="1"/>
  <c r="C9" i="3" a="1"/>
  <c r="C9" i="3" s="1"/>
  <c r="D9" i="3" a="1"/>
  <c r="D9" i="3" s="1"/>
  <c r="E9" i="3" a="1"/>
  <c r="E9" i="3" s="1"/>
  <c r="A10" i="3" a="1"/>
  <c r="A10" i="3" s="1"/>
  <c r="B10" i="3" a="1"/>
  <c r="B10" i="3" s="1"/>
  <c r="C10" i="3" a="1"/>
  <c r="C10" i="3" s="1"/>
  <c r="D10" i="3" a="1"/>
  <c r="D10" i="3" s="1"/>
  <c r="E10" i="3" a="1"/>
  <c r="E10" i="3" s="1"/>
  <c r="A11" i="3" a="1"/>
  <c r="A11" i="3" s="1"/>
  <c r="B11" i="3" a="1"/>
  <c r="B11" i="3" s="1"/>
  <c r="C11" i="3" a="1"/>
  <c r="C11" i="3" s="1"/>
  <c r="D11" i="3" a="1"/>
  <c r="D11" i="3" s="1"/>
  <c r="E11" i="3" a="1"/>
  <c r="E11" i="3" s="1"/>
  <c r="A12" i="3" a="1"/>
  <c r="A12" i="3" s="1"/>
  <c r="B12" i="3" a="1"/>
  <c r="B12" i="3" s="1"/>
  <c r="C12" i="3" a="1"/>
  <c r="C12" i="3" s="1"/>
  <c r="D12" i="3" a="1"/>
  <c r="D12" i="3" s="1"/>
  <c r="E12" i="3" a="1"/>
  <c r="E12" i="3" s="1"/>
  <c r="A13" i="3" a="1"/>
  <c r="A13" i="3" s="1"/>
  <c r="B13" i="3" a="1"/>
  <c r="B13" i="3" s="1"/>
  <c r="C13" i="3" a="1"/>
  <c r="C13" i="3" s="1"/>
  <c r="D13" i="3" a="1"/>
  <c r="D13" i="3" s="1"/>
  <c r="E13" i="3" a="1"/>
  <c r="E13" i="3" s="1"/>
  <c r="A14" i="3" a="1"/>
  <c r="A14" i="3" s="1"/>
  <c r="B14" i="3" a="1"/>
  <c r="B14" i="3" s="1"/>
  <c r="C14" i="3" a="1"/>
  <c r="C14" i="3" s="1"/>
  <c r="D14" i="3" a="1"/>
  <c r="D14" i="3" s="1"/>
  <c r="E14" i="3" a="1"/>
  <c r="E14" i="3" s="1"/>
  <c r="A15" i="3" a="1"/>
  <c r="A15" i="3" s="1"/>
  <c r="B15" i="3" a="1"/>
  <c r="B15" i="3" s="1"/>
  <c r="C15" i="3" a="1"/>
  <c r="C15" i="3" s="1"/>
  <c r="D15" i="3" a="1"/>
  <c r="D15" i="3" s="1"/>
  <c r="E15" i="3" a="1"/>
  <c r="E15" i="3" s="1"/>
  <c r="A16" i="3" a="1"/>
  <c r="A16" i="3" s="1"/>
  <c r="B16" i="3" a="1"/>
  <c r="B16" i="3" s="1"/>
  <c r="C16" i="3" a="1"/>
  <c r="C16" i="3" s="1"/>
  <c r="D16" i="3" a="1"/>
  <c r="D16" i="3" s="1"/>
  <c r="E16" i="3" a="1"/>
  <c r="E16" i="3" s="1"/>
  <c r="A17" i="3" a="1"/>
  <c r="A17" i="3" s="1"/>
  <c r="B17" i="3" a="1"/>
  <c r="B17" i="3" s="1"/>
  <c r="C17" i="3" a="1"/>
  <c r="C17" i="3" s="1"/>
  <c r="D17" i="3" a="1"/>
  <c r="D17" i="3" s="1"/>
  <c r="E17" i="3" a="1"/>
  <c r="E17" i="3" s="1"/>
  <c r="A18" i="3" a="1"/>
  <c r="A18" i="3" s="1"/>
  <c r="B18" i="3" a="1"/>
  <c r="B18" i="3" s="1"/>
  <c r="C18" i="3" a="1"/>
  <c r="C18" i="3" s="1"/>
  <c r="D18" i="3" a="1"/>
  <c r="D18" i="3" s="1"/>
  <c r="E18" i="3" a="1"/>
  <c r="E18" i="3" s="1"/>
  <c r="A19" i="3" a="1"/>
  <c r="A19" i="3" s="1"/>
  <c r="B19" i="3" a="1"/>
  <c r="B19" i="3" s="1"/>
  <c r="C19" i="3" a="1"/>
  <c r="C19" i="3" s="1"/>
  <c r="D19" i="3" a="1"/>
  <c r="D19" i="3" s="1"/>
  <c r="E19" i="3" a="1"/>
  <c r="E19" i="3" s="1"/>
  <c r="A20" i="3" a="1"/>
  <c r="A20" i="3" s="1"/>
  <c r="B20" i="3" a="1"/>
  <c r="B20" i="3" s="1"/>
  <c r="C20" i="3" a="1"/>
  <c r="C20" i="3" s="1"/>
  <c r="D20" i="3" a="1"/>
  <c r="D20" i="3" s="1"/>
  <c r="E20" i="3" a="1"/>
  <c r="E20" i="3" s="1"/>
  <c r="A21" i="3" a="1"/>
  <c r="A21" i="3" s="1"/>
  <c r="B21" i="3" a="1"/>
  <c r="B21" i="3" s="1"/>
  <c r="C21" i="3" a="1"/>
  <c r="C21" i="3" s="1"/>
  <c r="D21" i="3" a="1"/>
  <c r="D21" i="3" s="1"/>
  <c r="E21" i="3" a="1"/>
  <c r="E21" i="3" s="1"/>
  <c r="A22" i="3" a="1"/>
  <c r="A22" i="3" s="1"/>
  <c r="B22" i="3" a="1"/>
  <c r="B22" i="3" s="1"/>
  <c r="C22" i="3" a="1"/>
  <c r="C22" i="3" s="1"/>
  <c r="D22" i="3" a="1"/>
  <c r="D22" i="3" s="1"/>
  <c r="E22" i="3" a="1"/>
  <c r="E22" i="3" s="1"/>
  <c r="A23" i="3" a="1"/>
  <c r="A23" i="3" s="1"/>
  <c r="B23" i="3" a="1"/>
  <c r="B23" i="3" s="1"/>
  <c r="C23" i="3" a="1"/>
  <c r="C23" i="3" s="1"/>
  <c r="D23" i="3" a="1"/>
  <c r="D23" i="3" s="1"/>
  <c r="E23" i="3" a="1"/>
  <c r="E23" i="3" s="1"/>
  <c r="A24" i="3" a="1"/>
  <c r="A24" i="3" s="1"/>
  <c r="B24" i="3" a="1"/>
  <c r="B24" i="3" s="1"/>
  <c r="C24" i="3" a="1"/>
  <c r="C24" i="3" s="1"/>
  <c r="D24" i="3" a="1"/>
  <c r="D24" i="3" s="1"/>
  <c r="E24" i="3" a="1"/>
  <c r="E24" i="3" s="1"/>
  <c r="A25" i="3" a="1"/>
  <c r="A25" i="3" s="1"/>
  <c r="B25" i="3" a="1"/>
  <c r="B25" i="3" s="1"/>
  <c r="C25" i="3" a="1"/>
  <c r="C25" i="3" s="1"/>
  <c r="D25" i="3" a="1"/>
  <c r="D25" i="3" s="1"/>
  <c r="E25" i="3" a="1"/>
  <c r="E25" i="3" s="1"/>
  <c r="A26" i="3" a="1"/>
  <c r="A26" i="3" s="1"/>
  <c r="B26" i="3" a="1"/>
  <c r="B26" i="3" s="1"/>
  <c r="C26" i="3" a="1"/>
  <c r="C26" i="3" s="1"/>
  <c r="D26" i="3" a="1"/>
  <c r="D26" i="3" s="1"/>
  <c r="E26" i="3" a="1"/>
  <c r="E26" i="3" s="1"/>
  <c r="A27" i="3" a="1"/>
  <c r="A27" i="3" s="1"/>
  <c r="B27" i="3" a="1"/>
  <c r="B27" i="3" s="1"/>
  <c r="C27" i="3" a="1"/>
  <c r="C27" i="3" s="1"/>
  <c r="D27" i="3" a="1"/>
  <c r="D27" i="3" s="1"/>
  <c r="E27" i="3" a="1"/>
  <c r="E27" i="3" s="1"/>
  <c r="A28" i="3" a="1"/>
  <c r="A28" i="3" s="1"/>
  <c r="B28" i="3" a="1"/>
  <c r="B28" i="3" s="1"/>
  <c r="C28" i="3" a="1"/>
  <c r="C28" i="3" s="1"/>
  <c r="D28" i="3" a="1"/>
  <c r="D28" i="3" s="1"/>
  <c r="E28" i="3" a="1"/>
  <c r="E28" i="3" s="1"/>
  <c r="A29" i="3" a="1"/>
  <c r="A29" i="3" s="1"/>
  <c r="B29" i="3" a="1"/>
  <c r="B29" i="3" s="1"/>
  <c r="C29" i="3" a="1"/>
  <c r="C29" i="3" s="1"/>
  <c r="D29" i="3" a="1"/>
  <c r="D29" i="3" s="1"/>
  <c r="E29" i="3" a="1"/>
  <c r="E29" i="3" s="1"/>
  <c r="A30" i="3" a="1"/>
  <c r="A30" i="3" s="1"/>
  <c r="B30" i="3" a="1"/>
  <c r="B30" i="3" s="1"/>
  <c r="C30" i="3" a="1"/>
  <c r="C30" i="3" s="1"/>
  <c r="D30" i="3" a="1"/>
  <c r="D30" i="3" s="1"/>
  <c r="E30" i="3" a="1"/>
  <c r="E30" i="3" s="1"/>
  <c r="A31" i="3" a="1"/>
  <c r="A31" i="3" s="1"/>
  <c r="B31" i="3" a="1"/>
  <c r="B31" i="3" s="1"/>
  <c r="C31" i="3" a="1"/>
  <c r="C31" i="3" s="1"/>
  <c r="D31" i="3" a="1"/>
  <c r="D31" i="3" s="1"/>
  <c r="E31" i="3" a="1"/>
  <c r="E31" i="3" s="1"/>
  <c r="A32" i="3" a="1"/>
  <c r="A32" i="3" s="1"/>
  <c r="B32" i="3" a="1"/>
  <c r="B32" i="3" s="1"/>
  <c r="C32" i="3" a="1"/>
  <c r="C32" i="3" s="1"/>
  <c r="D32" i="3" a="1"/>
  <c r="D32" i="3" s="1"/>
  <c r="E32" i="3" a="1"/>
  <c r="E32" i="3" s="1"/>
  <c r="A33" i="3" a="1"/>
  <c r="A33" i="3" s="1"/>
  <c r="B33" i="3" a="1"/>
  <c r="B33" i="3" s="1"/>
  <c r="C33" i="3" a="1"/>
  <c r="C33" i="3" s="1"/>
  <c r="D33" i="3" a="1"/>
  <c r="D33" i="3" s="1"/>
  <c r="E33" i="3" a="1"/>
  <c r="E33" i="3" s="1"/>
  <c r="A34" i="3" a="1"/>
  <c r="A34" i="3" s="1"/>
  <c r="B34" i="3" a="1"/>
  <c r="B34" i="3" s="1"/>
  <c r="C34" i="3" a="1"/>
  <c r="C34" i="3" s="1"/>
  <c r="D34" i="3" a="1"/>
  <c r="D34" i="3" s="1"/>
  <c r="E34" i="3" a="1"/>
  <c r="E34" i="3" s="1"/>
  <c r="A35" i="3" a="1"/>
  <c r="A35" i="3" s="1"/>
  <c r="B35" i="3" a="1"/>
  <c r="B35" i="3" s="1"/>
  <c r="C35" i="3" a="1"/>
  <c r="C35" i="3" s="1"/>
  <c r="D35" i="3" a="1"/>
  <c r="D35" i="3" s="1"/>
  <c r="E35" i="3" a="1"/>
  <c r="E35" i="3" s="1"/>
  <c r="A36" i="3" a="1"/>
  <c r="A36" i="3" s="1"/>
  <c r="B36" i="3" a="1"/>
  <c r="B36" i="3" s="1"/>
  <c r="C36" i="3" a="1"/>
  <c r="C36" i="3" s="1"/>
  <c r="D36" i="3" a="1"/>
  <c r="D36" i="3" s="1"/>
  <c r="E36" i="3" a="1"/>
  <c r="E36" i="3" s="1"/>
  <c r="A37" i="3" a="1"/>
  <c r="A37" i="3" s="1"/>
  <c r="B37" i="3" a="1"/>
  <c r="B37" i="3" s="1"/>
  <c r="C37" i="3" a="1"/>
  <c r="C37" i="3" s="1"/>
  <c r="D37" i="3" a="1"/>
  <c r="D37" i="3" s="1"/>
  <c r="E37" i="3" a="1"/>
  <c r="E37" i="3" s="1"/>
  <c r="A38" i="3" a="1"/>
  <c r="A38" i="3" s="1"/>
  <c r="B38" i="3" a="1"/>
  <c r="B38" i="3" s="1"/>
  <c r="C38" i="3" a="1"/>
  <c r="C38" i="3" s="1"/>
  <c r="D38" i="3" a="1"/>
  <c r="D38" i="3" s="1"/>
  <c r="E38" i="3" a="1"/>
  <c r="E38" i="3" s="1"/>
  <c r="A39" i="3" a="1"/>
  <c r="A39" i="3" s="1"/>
  <c r="B39" i="3" a="1"/>
  <c r="B39" i="3" s="1"/>
  <c r="C39" i="3" a="1"/>
  <c r="C39" i="3" s="1"/>
  <c r="D39" i="3" a="1"/>
  <c r="D39" i="3" s="1"/>
  <c r="E39" i="3" a="1"/>
  <c r="E39" i="3" s="1"/>
  <c r="A40" i="3" a="1"/>
  <c r="A40" i="3" s="1"/>
  <c r="B40" i="3" a="1"/>
  <c r="B40" i="3" s="1"/>
  <c r="C40" i="3" a="1"/>
  <c r="C40" i="3" s="1"/>
  <c r="D40" i="3" a="1"/>
  <c r="D40" i="3" s="1"/>
  <c r="E40" i="3" a="1"/>
  <c r="E40" i="3" s="1"/>
  <c r="A41" i="3" a="1"/>
  <c r="A41" i="3" s="1"/>
  <c r="B41" i="3" a="1"/>
  <c r="B41" i="3" s="1"/>
  <c r="C41" i="3" a="1"/>
  <c r="C41" i="3" s="1"/>
  <c r="D41" i="3" a="1"/>
  <c r="D41" i="3" s="1"/>
  <c r="E41" i="3" a="1"/>
  <c r="E41" i="3" s="1"/>
  <c r="A42" i="3" a="1"/>
  <c r="A42" i="3" s="1"/>
  <c r="B42" i="3" a="1"/>
  <c r="B42" i="3" s="1"/>
  <c r="C42" i="3" a="1"/>
  <c r="C42" i="3" s="1"/>
  <c r="D42" i="3" a="1"/>
  <c r="D42" i="3" s="1"/>
  <c r="E42" i="3" a="1"/>
  <c r="E42" i="3" s="1"/>
  <c r="A43" i="3" a="1"/>
  <c r="A43" i="3" s="1"/>
  <c r="B43" i="3" a="1"/>
  <c r="B43" i="3" s="1"/>
  <c r="C43" i="3" a="1"/>
  <c r="C43" i="3" s="1"/>
  <c r="D43" i="3" a="1"/>
  <c r="D43" i="3" s="1"/>
  <c r="E43" i="3" a="1"/>
  <c r="E43" i="3" s="1"/>
  <c r="A44" i="3" a="1"/>
  <c r="A44" i="3" s="1"/>
  <c r="B44" i="3" a="1"/>
  <c r="B44" i="3" s="1"/>
  <c r="C44" i="3" a="1"/>
  <c r="C44" i="3" s="1"/>
  <c r="D44" i="3" a="1"/>
  <c r="D44" i="3" s="1"/>
  <c r="E44" i="3" a="1"/>
  <c r="E44" i="3" s="1"/>
  <c r="A45" i="3" a="1"/>
  <c r="A45" i="3" s="1"/>
  <c r="B45" i="3" a="1"/>
  <c r="B45" i="3" s="1"/>
  <c r="C45" i="3" a="1"/>
  <c r="C45" i="3" s="1"/>
  <c r="D45" i="3" a="1"/>
  <c r="D45" i="3" s="1"/>
  <c r="E45" i="3" a="1"/>
  <c r="E45" i="3" s="1"/>
  <c r="A46" i="3" a="1"/>
  <c r="A46" i="3" s="1"/>
  <c r="B46" i="3" a="1"/>
  <c r="B46" i="3" s="1"/>
  <c r="C46" i="3" a="1"/>
  <c r="C46" i="3" s="1"/>
  <c r="D46" i="3" a="1"/>
  <c r="D46" i="3" s="1"/>
  <c r="E46" i="3" a="1"/>
  <c r="E46" i="3" s="1"/>
  <c r="A47" i="3" a="1"/>
  <c r="A47" i="3" s="1"/>
  <c r="B47" i="3" a="1"/>
  <c r="B47" i="3" s="1"/>
  <c r="C47" i="3" a="1"/>
  <c r="C47" i="3" s="1"/>
  <c r="D47" i="3" a="1"/>
  <c r="D47" i="3" s="1"/>
  <c r="E47" i="3" a="1"/>
  <c r="E47" i="3" s="1"/>
  <c r="A48" i="3" a="1"/>
  <c r="A48" i="3" s="1"/>
  <c r="B48" i="3" a="1"/>
  <c r="B48" i="3" s="1"/>
  <c r="C48" i="3" a="1"/>
  <c r="C48" i="3" s="1"/>
  <c r="D48" i="3" a="1"/>
  <c r="D48" i="3" s="1"/>
  <c r="E48" i="3" a="1"/>
  <c r="E48" i="3" s="1"/>
  <c r="A49" i="3" a="1"/>
  <c r="A49" i="3" s="1"/>
  <c r="B49" i="3" a="1"/>
  <c r="B49" i="3" s="1"/>
  <c r="C49" i="3" a="1"/>
  <c r="C49" i="3" s="1"/>
  <c r="D49" i="3" a="1"/>
  <c r="D49" i="3" s="1"/>
  <c r="E49" i="3" a="1"/>
  <c r="E49" i="3" s="1"/>
  <c r="A50" i="3" a="1"/>
  <c r="A50" i="3" s="1"/>
  <c r="B50" i="3" a="1"/>
  <c r="B50" i="3" s="1"/>
  <c r="C50" i="3" a="1"/>
  <c r="C50" i="3" s="1"/>
  <c r="D50" i="3" a="1"/>
  <c r="D50" i="3" s="1"/>
  <c r="E50" i="3" a="1"/>
  <c r="E50" i="3" s="1"/>
  <c r="A51" i="3" a="1"/>
  <c r="A51" i="3" s="1"/>
  <c r="B51" i="3" a="1"/>
  <c r="B51" i="3" s="1"/>
  <c r="C51" i="3" a="1"/>
  <c r="C51" i="3" s="1"/>
  <c r="D51" i="3" a="1"/>
  <c r="D51" i="3" s="1"/>
  <c r="E51" i="3" a="1"/>
  <c r="E51" i="3" s="1"/>
  <c r="A52" i="3" a="1"/>
  <c r="A52" i="3" s="1"/>
  <c r="B52" i="3" a="1"/>
  <c r="B52" i="3" s="1"/>
  <c r="C52" i="3" a="1"/>
  <c r="C52" i="3" s="1"/>
  <c r="D52" i="3" a="1"/>
  <c r="D52" i="3" s="1"/>
  <c r="E52" i="3" a="1"/>
  <c r="E52" i="3" s="1"/>
  <c r="A53" i="3" a="1"/>
  <c r="A53" i="3" s="1"/>
  <c r="B53" i="3" a="1"/>
  <c r="B53" i="3" s="1"/>
  <c r="C53" i="3" a="1"/>
  <c r="C53" i="3" s="1"/>
  <c r="D53" i="3" a="1"/>
  <c r="D53" i="3" s="1"/>
  <c r="E53" i="3" a="1"/>
  <c r="E53" i="3" s="1"/>
  <c r="A54" i="3" a="1"/>
  <c r="A54" i="3" s="1"/>
  <c r="B54" i="3" a="1"/>
  <c r="B54" i="3" s="1"/>
  <c r="C54" i="3" a="1"/>
  <c r="C54" i="3" s="1"/>
  <c r="D54" i="3" a="1"/>
  <c r="D54" i="3" s="1"/>
  <c r="E54" i="3" a="1"/>
  <c r="E54" i="3" s="1"/>
  <c r="A55" i="3" a="1"/>
  <c r="A55" i="3" s="1"/>
  <c r="B55" i="3" a="1"/>
  <c r="B55" i="3" s="1"/>
  <c r="C55" i="3" a="1"/>
  <c r="C55" i="3" s="1"/>
  <c r="D55" i="3" a="1"/>
  <c r="D55" i="3" s="1"/>
  <c r="E55" i="3" a="1"/>
  <c r="E55" i="3" s="1"/>
  <c r="A56" i="3" a="1"/>
  <c r="A56" i="3" s="1"/>
  <c r="B56" i="3" a="1"/>
  <c r="B56" i="3" s="1"/>
  <c r="C56" i="3" a="1"/>
  <c r="C56" i="3" s="1"/>
  <c r="D56" i="3" a="1"/>
  <c r="D56" i="3" s="1"/>
  <c r="E56" i="3" a="1"/>
  <c r="E56" i="3" s="1"/>
  <c r="A57" i="3" a="1"/>
  <c r="A57" i="3" s="1"/>
  <c r="B57" i="3" a="1"/>
  <c r="B57" i="3" s="1"/>
  <c r="C57" i="3" a="1"/>
  <c r="C57" i="3" s="1"/>
  <c r="D57" i="3" a="1"/>
  <c r="D57" i="3" s="1"/>
  <c r="E57" i="3" a="1"/>
  <c r="E57" i="3" s="1"/>
  <c r="A58" i="3" a="1"/>
  <c r="A58" i="3" s="1"/>
  <c r="B58" i="3" a="1"/>
  <c r="B58" i="3" s="1"/>
  <c r="C58" i="3" a="1"/>
  <c r="C58" i="3" s="1"/>
  <c r="D58" i="3" a="1"/>
  <c r="D58" i="3" s="1"/>
  <c r="E58" i="3" a="1"/>
  <c r="E58" i="3" s="1"/>
  <c r="A59" i="3" a="1"/>
  <c r="A59" i="3" s="1"/>
  <c r="B59" i="3" a="1"/>
  <c r="B59" i="3" s="1"/>
  <c r="C59" i="3" a="1"/>
  <c r="C59" i="3" s="1"/>
  <c r="D59" i="3" a="1"/>
  <c r="D59" i="3" s="1"/>
  <c r="E59" i="3" a="1"/>
  <c r="E59" i="3" s="1"/>
  <c r="A60" i="3" a="1"/>
  <c r="A60" i="3" s="1"/>
  <c r="B60" i="3" a="1"/>
  <c r="B60" i="3" s="1"/>
  <c r="C60" i="3" a="1"/>
  <c r="C60" i="3" s="1"/>
  <c r="D60" i="3" a="1"/>
  <c r="D60" i="3" s="1"/>
  <c r="E60" i="3" a="1"/>
  <c r="E60" i="3" s="1"/>
  <c r="A61" i="3" a="1"/>
  <c r="A61" i="3" s="1"/>
  <c r="B61" i="3" a="1"/>
  <c r="B61" i="3" s="1"/>
  <c r="C61" i="3" a="1"/>
  <c r="C61" i="3" s="1"/>
  <c r="D61" i="3" a="1"/>
  <c r="D61" i="3" s="1"/>
  <c r="E61" i="3" a="1"/>
  <c r="E61" i="3" s="1"/>
  <c r="A62" i="3" a="1"/>
  <c r="A62" i="3" s="1"/>
  <c r="B62" i="3" a="1"/>
  <c r="B62" i="3" s="1"/>
  <c r="C62" i="3" a="1"/>
  <c r="C62" i="3" s="1"/>
  <c r="D62" i="3" a="1"/>
  <c r="D62" i="3" s="1"/>
  <c r="E62" i="3" a="1"/>
  <c r="E62" i="3" s="1"/>
  <c r="A63" i="3" a="1"/>
  <c r="A63" i="3" s="1"/>
  <c r="B63" i="3" a="1"/>
  <c r="B63" i="3" s="1"/>
  <c r="C63" i="3" a="1"/>
  <c r="C63" i="3" s="1"/>
  <c r="D63" i="3" a="1"/>
  <c r="D63" i="3" s="1"/>
  <c r="E63" i="3" a="1"/>
  <c r="E63" i="3" s="1"/>
  <c r="A64" i="3" a="1"/>
  <c r="A64" i="3" s="1"/>
  <c r="B64" i="3" a="1"/>
  <c r="B64" i="3" s="1"/>
  <c r="C64" i="3" a="1"/>
  <c r="C64" i="3" s="1"/>
  <c r="D64" i="3" a="1"/>
  <c r="D64" i="3" s="1"/>
  <c r="E64" i="3" a="1"/>
  <c r="E64" i="3" s="1"/>
  <c r="A65" i="3" a="1"/>
  <c r="A65" i="3" s="1"/>
  <c r="B65" i="3" a="1"/>
  <c r="B65" i="3" s="1"/>
  <c r="C65" i="3" a="1"/>
  <c r="C65" i="3" s="1"/>
  <c r="D65" i="3" a="1"/>
  <c r="D65" i="3" s="1"/>
  <c r="E65" i="3" a="1"/>
  <c r="E65" i="3" s="1"/>
  <c r="A66" i="3" a="1"/>
  <c r="A66" i="3" s="1"/>
  <c r="B66" i="3" a="1"/>
  <c r="B66" i="3" s="1"/>
  <c r="C66" i="3" a="1"/>
  <c r="C66" i="3" s="1"/>
  <c r="D66" i="3" a="1"/>
  <c r="D66" i="3" s="1"/>
  <c r="E66" i="3" a="1"/>
  <c r="E66" i="3" s="1"/>
  <c r="A67" i="3" a="1"/>
  <c r="A67" i="3" s="1"/>
  <c r="B67" i="3" a="1"/>
  <c r="B67" i="3" s="1"/>
  <c r="C67" i="3" a="1"/>
  <c r="C67" i="3" s="1"/>
  <c r="D67" i="3" a="1"/>
  <c r="D67" i="3" s="1"/>
  <c r="E67" i="3" a="1"/>
  <c r="E67" i="3" s="1"/>
  <c r="A68" i="3" a="1"/>
  <c r="A68" i="3" s="1"/>
  <c r="B68" i="3" a="1"/>
  <c r="B68" i="3" s="1"/>
  <c r="C68" i="3" a="1"/>
  <c r="C68" i="3" s="1"/>
  <c r="D68" i="3" a="1"/>
  <c r="D68" i="3" s="1"/>
  <c r="E68" i="3" a="1"/>
  <c r="E68" i="3" s="1"/>
  <c r="A69" i="3" a="1"/>
  <c r="A69" i="3" s="1"/>
  <c r="B69" i="3" a="1"/>
  <c r="B69" i="3" s="1"/>
  <c r="C69" i="3" a="1"/>
  <c r="C69" i="3" s="1"/>
  <c r="D69" i="3" a="1"/>
  <c r="D69" i="3" s="1"/>
  <c r="E69" i="3" a="1"/>
  <c r="E69" i="3" s="1"/>
  <c r="A70" i="3" a="1"/>
  <c r="A70" i="3" s="1"/>
  <c r="B70" i="3" a="1"/>
  <c r="B70" i="3" s="1"/>
  <c r="C70" i="3" a="1"/>
  <c r="C70" i="3" s="1"/>
  <c r="D70" i="3" a="1"/>
  <c r="D70" i="3" s="1"/>
  <c r="E70" i="3" a="1"/>
  <c r="E70" i="3" s="1"/>
  <c r="A71" i="3" a="1"/>
  <c r="A71" i="3" s="1"/>
  <c r="B71" i="3" a="1"/>
  <c r="B71" i="3" s="1"/>
  <c r="C71" i="3" a="1"/>
  <c r="C71" i="3" s="1"/>
  <c r="D71" i="3" a="1"/>
  <c r="D71" i="3" s="1"/>
  <c r="E71" i="3" a="1"/>
  <c r="E71" i="3" s="1"/>
  <c r="A72" i="3" a="1"/>
  <c r="A72" i="3" s="1"/>
  <c r="B72" i="3" a="1"/>
  <c r="B72" i="3" s="1"/>
  <c r="C72" i="3" a="1"/>
  <c r="C72" i="3" s="1"/>
  <c r="D72" i="3" a="1"/>
  <c r="D72" i="3" s="1"/>
  <c r="E72" i="3" a="1"/>
  <c r="E72" i="3" s="1"/>
  <c r="A73" i="3" a="1"/>
  <c r="A73" i="3" s="1"/>
  <c r="B73" i="3" a="1"/>
  <c r="B73" i="3" s="1"/>
  <c r="C73" i="3" a="1"/>
  <c r="C73" i="3" s="1"/>
  <c r="D73" i="3" a="1"/>
  <c r="D73" i="3" s="1"/>
  <c r="E73" i="3" a="1"/>
  <c r="E73" i="3" s="1"/>
  <c r="A74" i="3" a="1"/>
  <c r="A74" i="3" s="1"/>
  <c r="B74" i="3" a="1"/>
  <c r="B74" i="3" s="1"/>
  <c r="C74" i="3" a="1"/>
  <c r="C74" i="3" s="1"/>
  <c r="D74" i="3" a="1"/>
  <c r="D74" i="3" s="1"/>
  <c r="E74" i="3" a="1"/>
  <c r="E74" i="3" s="1"/>
  <c r="A75" i="3" a="1"/>
  <c r="A75" i="3" s="1"/>
  <c r="B75" i="3" a="1"/>
  <c r="B75" i="3" s="1"/>
  <c r="C75" i="3" a="1"/>
  <c r="C75" i="3" s="1"/>
  <c r="D75" i="3" a="1"/>
  <c r="D75" i="3" s="1"/>
  <c r="E75" i="3" a="1"/>
  <c r="E75" i="3" s="1"/>
  <c r="A76" i="3" a="1"/>
  <c r="A76" i="3" s="1"/>
  <c r="B76" i="3" a="1"/>
  <c r="B76" i="3" s="1"/>
  <c r="C76" i="3" a="1"/>
  <c r="C76" i="3" s="1"/>
  <c r="D76" i="3" a="1"/>
  <c r="D76" i="3" s="1"/>
  <c r="E76" i="3" a="1"/>
  <c r="E76" i="3" s="1"/>
  <c r="A77" i="3" a="1"/>
  <c r="A77" i="3" s="1"/>
  <c r="B77" i="3" a="1"/>
  <c r="B77" i="3" s="1"/>
  <c r="C77" i="3" a="1"/>
  <c r="C77" i="3" s="1"/>
  <c r="D77" i="3" a="1"/>
  <c r="D77" i="3" s="1"/>
  <c r="E77" i="3" a="1"/>
  <c r="E77" i="3" s="1"/>
  <c r="A78" i="3" a="1"/>
  <c r="A78" i="3" s="1"/>
  <c r="B78" i="3" a="1"/>
  <c r="B78" i="3" s="1"/>
  <c r="C78" i="3" a="1"/>
  <c r="C78" i="3" s="1"/>
  <c r="D78" i="3" a="1"/>
  <c r="D78" i="3" s="1"/>
  <c r="E78" i="3" a="1"/>
  <c r="E78" i="3" s="1"/>
  <c r="A79" i="3" a="1"/>
  <c r="A79" i="3" s="1"/>
  <c r="B79" i="3" a="1"/>
  <c r="B79" i="3" s="1"/>
  <c r="C79" i="3" a="1"/>
  <c r="C79" i="3" s="1"/>
  <c r="D79" i="3" a="1"/>
  <c r="D79" i="3" s="1"/>
  <c r="E79" i="3" a="1"/>
  <c r="E79" i="3" s="1"/>
  <c r="A80" i="3" a="1"/>
  <c r="A80" i="3" s="1"/>
  <c r="B80" i="3" a="1"/>
  <c r="B80" i="3" s="1"/>
  <c r="C80" i="3" a="1"/>
  <c r="C80" i="3" s="1"/>
  <c r="D80" i="3" a="1"/>
  <c r="D80" i="3" s="1"/>
  <c r="E80" i="3" a="1"/>
  <c r="E80" i="3" s="1"/>
  <c r="A81" i="3" a="1"/>
  <c r="A81" i="3" s="1"/>
  <c r="B81" i="3" a="1"/>
  <c r="B81" i="3" s="1"/>
  <c r="C81" i="3" a="1"/>
  <c r="C81" i="3" s="1"/>
  <c r="D81" i="3" a="1"/>
  <c r="D81" i="3" s="1"/>
  <c r="E81" i="3" a="1"/>
  <c r="E81" i="3" s="1"/>
  <c r="A82" i="3" a="1"/>
  <c r="A82" i="3" s="1"/>
  <c r="B82" i="3" a="1"/>
  <c r="B82" i="3" s="1"/>
  <c r="C82" i="3" a="1"/>
  <c r="C82" i="3" s="1"/>
  <c r="D82" i="3" a="1"/>
  <c r="D82" i="3" s="1"/>
  <c r="E82" i="3" a="1"/>
  <c r="E82" i="3" s="1"/>
  <c r="A83" i="3" a="1"/>
  <c r="A83" i="3" s="1"/>
  <c r="B83" i="3" a="1"/>
  <c r="B83" i="3" s="1"/>
  <c r="C83" i="3" a="1"/>
  <c r="C83" i="3" s="1"/>
  <c r="D83" i="3" a="1"/>
  <c r="D83" i="3" s="1"/>
  <c r="E83" i="3" a="1"/>
  <c r="E83" i="3" s="1"/>
  <c r="A84" i="3" a="1"/>
  <c r="A84" i="3" s="1"/>
  <c r="B84" i="3" a="1"/>
  <c r="B84" i="3" s="1"/>
  <c r="C84" i="3" a="1"/>
  <c r="C84" i="3" s="1"/>
  <c r="D84" i="3" a="1"/>
  <c r="D84" i="3" s="1"/>
  <c r="E84" i="3" a="1"/>
  <c r="E84" i="3" s="1"/>
  <c r="A85" i="3" a="1"/>
  <c r="A85" i="3" s="1"/>
  <c r="B85" i="3" a="1"/>
  <c r="B85" i="3" s="1"/>
  <c r="C85" i="3" a="1"/>
  <c r="C85" i="3" s="1"/>
  <c r="D85" i="3" a="1"/>
  <c r="D85" i="3" s="1"/>
  <c r="E85" i="3" a="1"/>
  <c r="E85" i="3" s="1"/>
  <c r="A86" i="3" a="1"/>
  <c r="A86" i="3" s="1"/>
  <c r="B86" i="3" a="1"/>
  <c r="B86" i="3" s="1"/>
  <c r="C86" i="3" a="1"/>
  <c r="C86" i="3" s="1"/>
  <c r="D86" i="3" a="1"/>
  <c r="D86" i="3" s="1"/>
  <c r="E86" i="3" a="1"/>
  <c r="E86" i="3" s="1"/>
  <c r="A87" i="3" a="1"/>
  <c r="A87" i="3" s="1"/>
  <c r="B87" i="3" a="1"/>
  <c r="B87" i="3" s="1"/>
  <c r="C87" i="3" a="1"/>
  <c r="C87" i="3" s="1"/>
  <c r="D87" i="3" a="1"/>
  <c r="D87" i="3" s="1"/>
  <c r="E87" i="3" a="1"/>
  <c r="E87" i="3" s="1"/>
  <c r="A88" i="3" a="1"/>
  <c r="A88" i="3" s="1"/>
  <c r="B88" i="3" a="1"/>
  <c r="B88" i="3" s="1"/>
  <c r="C88" i="3" a="1"/>
  <c r="C88" i="3" s="1"/>
  <c r="D88" i="3" a="1"/>
  <c r="D88" i="3" s="1"/>
  <c r="E88" i="3" a="1"/>
  <c r="E88" i="3" s="1"/>
  <c r="A89" i="3" a="1"/>
  <c r="A89" i="3" s="1"/>
  <c r="B89" i="3" a="1"/>
  <c r="B89" i="3" s="1"/>
  <c r="C89" i="3" a="1"/>
  <c r="C89" i="3" s="1"/>
  <c r="D89" i="3" a="1"/>
  <c r="D89" i="3" s="1"/>
  <c r="E89" i="3" a="1"/>
  <c r="E89" i="3" s="1"/>
  <c r="A90" i="3" a="1"/>
  <c r="A90" i="3" s="1"/>
  <c r="B90" i="3" a="1"/>
  <c r="B90" i="3" s="1"/>
  <c r="C90" i="3" a="1"/>
  <c r="C90" i="3" s="1"/>
  <c r="D90" i="3" a="1"/>
  <c r="D90" i="3" s="1"/>
  <c r="E90" i="3" a="1"/>
  <c r="E90" i="3" s="1"/>
  <c r="A91" i="3" a="1"/>
  <c r="A91" i="3" s="1"/>
  <c r="B91" i="3" a="1"/>
  <c r="B91" i="3" s="1"/>
  <c r="C91" i="3" a="1"/>
  <c r="C91" i="3" s="1"/>
  <c r="D91" i="3" a="1"/>
  <c r="D91" i="3" s="1"/>
  <c r="E91" i="3" a="1"/>
  <c r="E91" i="3" s="1"/>
  <c r="A92" i="3" a="1"/>
  <c r="A92" i="3" s="1"/>
  <c r="B92" i="3" a="1"/>
  <c r="B92" i="3" s="1"/>
  <c r="C92" i="3" a="1"/>
  <c r="C92" i="3" s="1"/>
  <c r="D92" i="3" a="1"/>
  <c r="D92" i="3" s="1"/>
  <c r="E92" i="3" a="1"/>
  <c r="E92" i="3" s="1"/>
  <c r="A93" i="3" a="1"/>
  <c r="A93" i="3" s="1"/>
  <c r="B93" i="3" a="1"/>
  <c r="B93" i="3" s="1"/>
  <c r="C93" i="3" a="1"/>
  <c r="C93" i="3" s="1"/>
  <c r="D93" i="3" a="1"/>
  <c r="D93" i="3" s="1"/>
  <c r="E93" i="3" a="1"/>
  <c r="E93" i="3" s="1"/>
  <c r="A94" i="3" a="1"/>
  <c r="A94" i="3" s="1"/>
  <c r="B94" i="3" a="1"/>
  <c r="B94" i="3" s="1"/>
  <c r="C94" i="3" a="1"/>
  <c r="C94" i="3" s="1"/>
  <c r="D94" i="3" a="1"/>
  <c r="D94" i="3" s="1"/>
  <c r="E94" i="3" a="1"/>
  <c r="E94" i="3" s="1"/>
  <c r="A95" i="3" a="1"/>
  <c r="A95" i="3" s="1"/>
  <c r="B95" i="3" a="1"/>
  <c r="B95" i="3" s="1"/>
  <c r="C95" i="3" a="1"/>
  <c r="C95" i="3" s="1"/>
  <c r="D95" i="3" a="1"/>
  <c r="D95" i="3" s="1"/>
  <c r="E95" i="3" a="1"/>
  <c r="E95" i="3" s="1"/>
  <c r="A96" i="3" a="1"/>
  <c r="A96" i="3" s="1"/>
  <c r="B96" i="3" a="1"/>
  <c r="B96" i="3" s="1"/>
  <c r="C96" i="3" a="1"/>
  <c r="C96" i="3" s="1"/>
  <c r="D96" i="3" a="1"/>
  <c r="D96" i="3" s="1"/>
  <c r="E96" i="3" a="1"/>
  <c r="E96" i="3" s="1"/>
  <c r="A97" i="3" a="1"/>
  <c r="A97" i="3" s="1"/>
  <c r="B97" i="3" a="1"/>
  <c r="B97" i="3" s="1"/>
  <c r="C97" i="3" a="1"/>
  <c r="C97" i="3" s="1"/>
  <c r="D97" i="3" a="1"/>
  <c r="D97" i="3" s="1"/>
  <c r="E97" i="3" a="1"/>
  <c r="E97" i="3" s="1"/>
  <c r="A98" i="3" a="1"/>
  <c r="A98" i="3" s="1"/>
  <c r="B98" i="3" a="1"/>
  <c r="B98" i="3" s="1"/>
  <c r="C98" i="3" a="1"/>
  <c r="C98" i="3" s="1"/>
  <c r="D98" i="3" a="1"/>
  <c r="D98" i="3" s="1"/>
  <c r="E98" i="3" a="1"/>
  <c r="E98" i="3" s="1"/>
  <c r="B1" i="2"/>
  <c r="C1" i="2"/>
  <c r="D1" i="2"/>
  <c r="E1" i="2"/>
  <c r="F1" i="2"/>
  <c r="G1" i="2"/>
  <c r="H1" i="2"/>
  <c r="I1" i="2"/>
  <c r="J1" i="2"/>
  <c r="K1" i="2"/>
  <c r="L1" i="2"/>
  <c r="M1" i="2"/>
  <c r="N1" i="2"/>
  <c r="O1" i="2"/>
  <c r="P1" i="2"/>
  <c r="Q1" i="2"/>
  <c r="R1" i="2"/>
  <c r="S1" i="2"/>
  <c r="T1" i="2"/>
  <c r="U1" i="2"/>
  <c r="V1" i="2"/>
  <c r="W1" i="2"/>
  <c r="X1" i="2"/>
  <c r="Y1" i="2"/>
  <c r="Z1" i="2"/>
  <c r="AA1" i="2"/>
  <c r="AB1" i="2"/>
  <c r="AC1" i="2"/>
  <c r="AD1" i="2"/>
  <c r="AE1" i="2"/>
  <c r="AF1" i="2"/>
  <c r="AG1" i="2"/>
  <c r="AH1" i="2"/>
  <c r="AI1" i="2"/>
  <c r="AJ1" i="2"/>
  <c r="AK1" i="2"/>
  <c r="AL1" i="2"/>
  <c r="AM1" i="2"/>
  <c r="AN1" i="2"/>
  <c r="AO1" i="2"/>
  <c r="AP1" i="2"/>
  <c r="AQ1" i="2"/>
  <c r="AR1" i="2"/>
  <c r="AS1" i="2"/>
  <c r="AT1" i="2"/>
  <c r="AU1" i="2"/>
  <c r="AV1" i="2"/>
  <c r="AW1" i="2"/>
  <c r="AX1" i="2"/>
  <c r="AY1" i="2"/>
  <c r="AZ1" i="2"/>
  <c r="BA1" i="2"/>
  <c r="BB1" i="2"/>
  <c r="BC1" i="2"/>
  <c r="BD1" i="2"/>
  <c r="BE1" i="2"/>
  <c r="BF1" i="2"/>
  <c r="BG1" i="2"/>
  <c r="BH1" i="2"/>
  <c r="BI1" i="2"/>
  <c r="BJ1" i="2"/>
  <c r="BK1" i="2"/>
  <c r="BL1" i="2"/>
  <c r="BM1" i="2"/>
  <c r="BN1" i="2"/>
  <c r="BO1" i="2"/>
  <c r="BP1" i="2"/>
  <c r="BQ1" i="2"/>
  <c r="BR1" i="2"/>
  <c r="BS1" i="2"/>
  <c r="BT1" i="2"/>
  <c r="BU1" i="2"/>
  <c r="BV1" i="2"/>
  <c r="BW1" i="2"/>
  <c r="BX1" i="2"/>
  <c r="BY1" i="2"/>
  <c r="BZ1" i="2"/>
  <c r="CA1" i="2"/>
  <c r="CB1" i="2"/>
  <c r="CC1" i="2"/>
  <c r="CD1" i="2"/>
  <c r="CE1" i="2"/>
  <c r="CF1" i="2"/>
  <c r="CG1" i="2"/>
  <c r="CH1" i="2"/>
  <c r="CI1" i="2"/>
  <c r="CJ1" i="2"/>
  <c r="CK1" i="2"/>
  <c r="CL1" i="2"/>
  <c r="CM1" i="2"/>
  <c r="CN1" i="2"/>
  <c r="CO1" i="2"/>
  <c r="CP1" i="2"/>
  <c r="CQ1" i="2"/>
  <c r="CR1" i="2"/>
  <c r="CS1" i="2"/>
  <c r="B2" i="2"/>
  <c r="C2" i="2"/>
  <c r="D2" i="2"/>
  <c r="E2" i="2"/>
  <c r="F2" i="2"/>
  <c r="G2" i="2"/>
  <c r="H2" i="2"/>
  <c r="I2" i="2"/>
  <c r="J2" i="2"/>
  <c r="K2" i="2"/>
  <c r="L2" i="2"/>
  <c r="M2" i="2"/>
  <c r="N2" i="2"/>
  <c r="O2" i="2"/>
  <c r="P2" i="2"/>
  <c r="Q2" i="2"/>
  <c r="R2" i="2"/>
  <c r="S2" i="2"/>
  <c r="T2" i="2"/>
  <c r="U2" i="2"/>
  <c r="V2" i="2"/>
  <c r="W2" i="2"/>
  <c r="X2" i="2"/>
  <c r="Y2" i="2"/>
  <c r="Z2" i="2"/>
  <c r="AA2" i="2"/>
  <c r="AB2" i="2"/>
  <c r="AC2" i="2"/>
  <c r="AD2" i="2"/>
  <c r="AE2" i="2"/>
  <c r="AF2" i="2"/>
  <c r="AG2" i="2"/>
  <c r="AH2" i="2"/>
  <c r="AI2" i="2"/>
  <c r="AJ2" i="2"/>
  <c r="AK2" i="2"/>
  <c r="AL2" i="2"/>
  <c r="AM2" i="2"/>
  <c r="AN2" i="2"/>
  <c r="AO2" i="2"/>
  <c r="AP2" i="2"/>
  <c r="AQ2" i="2"/>
  <c r="AR2" i="2"/>
  <c r="AS2" i="2"/>
  <c r="AT2" i="2"/>
  <c r="AU2" i="2"/>
  <c r="AV2" i="2"/>
  <c r="AW2" i="2"/>
  <c r="AX2" i="2"/>
  <c r="AY2" i="2"/>
  <c r="AZ2" i="2"/>
  <c r="BA2" i="2"/>
  <c r="BB2" i="2"/>
  <c r="BC2" i="2"/>
  <c r="BD2" i="2"/>
  <c r="BE2" i="2"/>
  <c r="BF2" i="2"/>
  <c r="BG2" i="2"/>
  <c r="BH2" i="2"/>
  <c r="BI2" i="2"/>
  <c r="BJ2" i="2"/>
  <c r="BK2" i="2"/>
  <c r="BL2" i="2"/>
  <c r="BM2" i="2"/>
  <c r="BN2" i="2"/>
  <c r="BO2" i="2"/>
  <c r="BP2" i="2"/>
  <c r="BQ2" i="2"/>
  <c r="BR2" i="2"/>
  <c r="BS2" i="2"/>
  <c r="BT2" i="2"/>
  <c r="BU2" i="2"/>
  <c r="BV2" i="2"/>
  <c r="BW2" i="2"/>
  <c r="BX2" i="2"/>
  <c r="BY2" i="2"/>
  <c r="BZ2" i="2"/>
  <c r="CA2" i="2"/>
  <c r="CB2" i="2"/>
  <c r="CC2" i="2"/>
  <c r="CD2" i="2"/>
  <c r="CE2" i="2"/>
  <c r="CF2" i="2"/>
  <c r="CG2" i="2"/>
  <c r="CH2" i="2"/>
  <c r="CI2" i="2"/>
  <c r="CJ2" i="2"/>
  <c r="CK2" i="2"/>
  <c r="CL2" i="2"/>
  <c r="CM2" i="2"/>
  <c r="CN2" i="2"/>
  <c r="CO2" i="2"/>
  <c r="CP2" i="2"/>
  <c r="CQ2" i="2"/>
  <c r="CR2" i="2"/>
  <c r="CS2" i="2"/>
  <c r="B3" i="2"/>
  <c r="C3" i="2"/>
  <c r="D3" i="2"/>
  <c r="E3" i="2"/>
  <c r="F3" i="2"/>
  <c r="G3" i="2"/>
  <c r="H3" i="2"/>
  <c r="I3" i="2"/>
  <c r="J3" i="2"/>
  <c r="K3" i="2"/>
  <c r="L3" i="2"/>
  <c r="M3" i="2"/>
  <c r="N3" i="2"/>
  <c r="O3" i="2"/>
  <c r="P3" i="2"/>
  <c r="Q3" i="2"/>
  <c r="R3" i="2"/>
  <c r="S3" i="2"/>
  <c r="T3" i="2"/>
  <c r="U3" i="2"/>
  <c r="V3" i="2"/>
  <c r="W3" i="2"/>
  <c r="X3" i="2"/>
  <c r="Y3" i="2"/>
  <c r="Z3" i="2"/>
  <c r="AA3" i="2"/>
  <c r="AB3" i="2"/>
  <c r="AC3" i="2"/>
  <c r="AD3" i="2"/>
  <c r="AE3" i="2"/>
  <c r="AF3" i="2"/>
  <c r="AG3" i="2"/>
  <c r="AH3" i="2"/>
  <c r="AI3" i="2"/>
  <c r="AJ3" i="2"/>
  <c r="AK3" i="2"/>
  <c r="AL3" i="2"/>
  <c r="AM3" i="2"/>
  <c r="AN3" i="2"/>
  <c r="AO3" i="2"/>
  <c r="AP3" i="2"/>
  <c r="AQ3" i="2"/>
  <c r="AR3" i="2"/>
  <c r="AS3" i="2"/>
  <c r="AT3" i="2"/>
  <c r="AU3" i="2"/>
  <c r="AV3" i="2"/>
  <c r="AW3" i="2"/>
  <c r="AX3" i="2"/>
  <c r="AY3" i="2"/>
  <c r="AZ3" i="2"/>
  <c r="BA3" i="2"/>
  <c r="BB3" i="2"/>
  <c r="BC3" i="2"/>
  <c r="BD3" i="2"/>
  <c r="BE3" i="2"/>
  <c r="BF3" i="2"/>
  <c r="BG3" i="2"/>
  <c r="BH3" i="2"/>
  <c r="BI3" i="2"/>
  <c r="BJ3" i="2"/>
  <c r="BK3" i="2"/>
  <c r="BL3" i="2"/>
  <c r="BM3" i="2"/>
  <c r="BN3" i="2"/>
  <c r="BO3" i="2"/>
  <c r="BP3" i="2"/>
  <c r="BQ3" i="2"/>
  <c r="BR3" i="2"/>
  <c r="BS3" i="2"/>
  <c r="BT3" i="2"/>
  <c r="BU3" i="2"/>
  <c r="BV3" i="2"/>
  <c r="BW3" i="2"/>
  <c r="BX3" i="2"/>
  <c r="BY3" i="2"/>
  <c r="BZ3" i="2"/>
  <c r="CA3" i="2"/>
  <c r="CB3" i="2"/>
  <c r="CC3" i="2"/>
  <c r="CD3" i="2"/>
  <c r="CE3" i="2"/>
  <c r="CF3" i="2"/>
  <c r="CG3" i="2"/>
  <c r="CH3" i="2"/>
  <c r="CI3" i="2"/>
  <c r="CJ3" i="2"/>
  <c r="CK3" i="2"/>
  <c r="CL3" i="2"/>
  <c r="CM3" i="2"/>
  <c r="CN3" i="2"/>
  <c r="CO3" i="2"/>
  <c r="CP3" i="2"/>
  <c r="CQ3" i="2"/>
  <c r="CR3" i="2"/>
  <c r="CS3" i="2"/>
  <c r="B4" i="2"/>
  <c r="C4" i="2"/>
  <c r="D4" i="2"/>
  <c r="E4" i="2"/>
  <c r="F4" i="2"/>
  <c r="G4" i="2"/>
  <c r="H4" i="2"/>
  <c r="I4" i="2"/>
  <c r="J4" i="2"/>
  <c r="K4" i="2"/>
  <c r="L4" i="2"/>
  <c r="M4" i="2"/>
  <c r="N4" i="2"/>
  <c r="O4" i="2"/>
  <c r="P4" i="2"/>
  <c r="Q4" i="2"/>
  <c r="R4" i="2"/>
  <c r="S4" i="2"/>
  <c r="T4" i="2"/>
  <c r="U4" i="2"/>
  <c r="V4" i="2"/>
  <c r="W4" i="2"/>
  <c r="X4" i="2"/>
  <c r="Y4" i="2"/>
  <c r="Z4" i="2"/>
  <c r="AA4" i="2"/>
  <c r="AB4" i="2"/>
  <c r="AC4" i="2"/>
  <c r="AD4" i="2"/>
  <c r="AE4" i="2"/>
  <c r="AF4" i="2"/>
  <c r="AG4" i="2"/>
  <c r="AH4" i="2"/>
  <c r="AI4" i="2"/>
  <c r="AJ4" i="2"/>
  <c r="AK4" i="2"/>
  <c r="AL4" i="2"/>
  <c r="AM4" i="2"/>
  <c r="AN4" i="2"/>
  <c r="AO4" i="2"/>
  <c r="AP4" i="2"/>
  <c r="AQ4" i="2"/>
  <c r="AR4" i="2"/>
  <c r="AS4" i="2"/>
  <c r="AT4" i="2"/>
  <c r="AU4" i="2"/>
  <c r="AV4" i="2"/>
  <c r="AW4" i="2"/>
  <c r="AX4" i="2"/>
  <c r="AY4" i="2"/>
  <c r="AZ4" i="2"/>
  <c r="BA4" i="2"/>
  <c r="BB4" i="2"/>
  <c r="BC4" i="2"/>
  <c r="BD4" i="2"/>
  <c r="BE4" i="2"/>
  <c r="BF4" i="2"/>
  <c r="BG4" i="2"/>
  <c r="BH4" i="2"/>
  <c r="BI4" i="2"/>
  <c r="BJ4" i="2"/>
  <c r="BK4" i="2"/>
  <c r="BL4" i="2"/>
  <c r="BM4" i="2"/>
  <c r="BN4" i="2"/>
  <c r="BO4" i="2"/>
  <c r="BP4" i="2"/>
  <c r="BQ4" i="2"/>
  <c r="BR4" i="2"/>
  <c r="BS4" i="2"/>
  <c r="BT4" i="2"/>
  <c r="BU4" i="2"/>
  <c r="BV4" i="2"/>
  <c r="BW4" i="2"/>
  <c r="BX4" i="2"/>
  <c r="BY4" i="2"/>
  <c r="BZ4" i="2"/>
  <c r="CA4" i="2"/>
  <c r="CB4" i="2"/>
  <c r="CC4" i="2"/>
  <c r="CD4" i="2"/>
  <c r="CE4" i="2"/>
  <c r="CF4" i="2"/>
  <c r="CG4" i="2"/>
  <c r="CH4" i="2"/>
  <c r="CI4" i="2"/>
  <c r="CJ4" i="2"/>
  <c r="CK4" i="2"/>
  <c r="CL4" i="2"/>
  <c r="CM4" i="2"/>
  <c r="CN4" i="2"/>
  <c r="CO4" i="2"/>
  <c r="CP4" i="2"/>
  <c r="CQ4" i="2"/>
  <c r="CR4" i="2"/>
  <c r="CS4" i="2"/>
  <c r="A4" i="2"/>
  <c r="A3" i="2"/>
  <c r="A2" i="2"/>
  <c r="A1" i="2"/>
  <c r="B1" i="1"/>
  <c r="C1" i="1"/>
  <c r="D1" i="1"/>
  <c r="E1" i="1"/>
  <c r="F1" i="1"/>
  <c r="G1" i="1"/>
  <c r="H1" i="1"/>
  <c r="I1" i="1"/>
  <c r="J1" i="1"/>
  <c r="K1" i="1"/>
  <c r="L1" i="1"/>
  <c r="M1" i="1"/>
  <c r="N1" i="1"/>
  <c r="O1" i="1"/>
  <c r="P1" i="1"/>
  <c r="Q1" i="1"/>
  <c r="R1" i="1"/>
  <c r="S1" i="1"/>
  <c r="T1" i="1"/>
  <c r="U1" i="1"/>
  <c r="V1" i="1"/>
  <c r="W1" i="1"/>
  <c r="X1" i="1"/>
  <c r="Y1" i="1"/>
  <c r="Z1" i="1"/>
  <c r="AA1" i="1"/>
  <c r="AB1" i="1"/>
  <c r="AC1" i="1"/>
  <c r="AD1" i="1"/>
  <c r="AE1" i="1"/>
  <c r="AF1" i="1"/>
  <c r="AG1" i="1"/>
  <c r="AH1" i="1"/>
  <c r="AI1" i="1"/>
  <c r="AJ1" i="1"/>
  <c r="AK1" i="1"/>
  <c r="AL1" i="1"/>
  <c r="AM1" i="1"/>
  <c r="AN1" i="1"/>
  <c r="AO1" i="1"/>
  <c r="AP1" i="1"/>
  <c r="AQ1" i="1"/>
  <c r="AR1" i="1"/>
  <c r="AS1" i="1"/>
  <c r="AT1" i="1"/>
  <c r="AU1" i="1"/>
  <c r="AV1" i="1"/>
  <c r="AW1" i="1"/>
  <c r="AX1" i="1"/>
  <c r="AY1" i="1"/>
  <c r="AZ1" i="1"/>
  <c r="BA1" i="1"/>
  <c r="BB1" i="1"/>
  <c r="BC1" i="1"/>
  <c r="BD1" i="1"/>
  <c r="BE1" i="1"/>
  <c r="BF1" i="1"/>
  <c r="BG1" i="1"/>
  <c r="BH1" i="1"/>
  <c r="BI1" i="1"/>
  <c r="BJ1" i="1"/>
  <c r="BK1" i="1"/>
  <c r="BL1" i="1"/>
  <c r="BM1" i="1"/>
  <c r="BN1" i="1"/>
  <c r="BO1" i="1"/>
  <c r="BP1" i="1"/>
  <c r="BQ1" i="1"/>
  <c r="BR1" i="1"/>
  <c r="BS1" i="1"/>
  <c r="BT1" i="1"/>
  <c r="BU1" i="1"/>
  <c r="BV1" i="1"/>
  <c r="BW1" i="1"/>
  <c r="BX1" i="1"/>
  <c r="BY1" i="1"/>
  <c r="BZ1" i="1"/>
  <c r="CA1" i="1"/>
  <c r="CB1" i="1"/>
  <c r="CC1" i="1"/>
  <c r="CD1" i="1"/>
  <c r="CE1" i="1"/>
  <c r="CF1" i="1"/>
  <c r="CG1" i="1"/>
  <c r="CH1" i="1"/>
  <c r="CI1" i="1"/>
  <c r="CJ1" i="1"/>
  <c r="CK1" i="1"/>
  <c r="CL1" i="1"/>
  <c r="CM1" i="1"/>
  <c r="CN1" i="1"/>
  <c r="CO1" i="1"/>
  <c r="CP1" i="1"/>
  <c r="CQ1" i="1"/>
  <c r="CR1" i="1"/>
  <c r="CS1" i="1"/>
  <c r="B2" i="1"/>
  <c r="C2" i="1"/>
  <c r="D2" i="1"/>
  <c r="E2" i="1"/>
  <c r="F2" i="1"/>
  <c r="G2" i="1"/>
  <c r="H2" i="1"/>
  <c r="I2" i="1"/>
  <c r="J2" i="1"/>
  <c r="K2" i="1"/>
  <c r="L2" i="1"/>
  <c r="M2" i="1"/>
  <c r="N2" i="1"/>
  <c r="O2" i="1"/>
  <c r="P2" i="1"/>
  <c r="Q2" i="1"/>
  <c r="R2" i="1"/>
  <c r="S2" i="1"/>
  <c r="T2" i="1"/>
  <c r="U2" i="1"/>
  <c r="V2" i="1"/>
  <c r="W2" i="1"/>
  <c r="X2" i="1"/>
  <c r="Y2" i="1"/>
  <c r="Z2" i="1"/>
  <c r="AA2" i="1"/>
  <c r="AB2" i="1"/>
  <c r="AC2" i="1"/>
  <c r="AD2" i="1"/>
  <c r="AE2" i="1"/>
  <c r="AF2" i="1"/>
  <c r="AG2" i="1"/>
  <c r="AH2" i="1"/>
  <c r="AI2" i="1"/>
  <c r="AJ2" i="1"/>
  <c r="AK2" i="1"/>
  <c r="AL2" i="1"/>
  <c r="AM2" i="1"/>
  <c r="AN2" i="1"/>
  <c r="AO2" i="1"/>
  <c r="AP2" i="1"/>
  <c r="AQ2" i="1"/>
  <c r="AR2" i="1"/>
  <c r="AS2" i="1"/>
  <c r="AT2" i="1"/>
  <c r="AU2" i="1"/>
  <c r="AV2" i="1"/>
  <c r="AW2" i="1"/>
  <c r="AX2" i="1"/>
  <c r="AY2" i="1"/>
  <c r="AZ2" i="1"/>
  <c r="BA2" i="1"/>
  <c r="BB2" i="1"/>
  <c r="BC2" i="1"/>
  <c r="BD2" i="1"/>
  <c r="BE2" i="1"/>
  <c r="BF2" i="1"/>
  <c r="BG2" i="1"/>
  <c r="BH2" i="1"/>
  <c r="BI2" i="1"/>
  <c r="BJ2" i="1"/>
  <c r="BK2" i="1"/>
  <c r="BL2" i="1"/>
  <c r="BM2" i="1"/>
  <c r="BN2" i="1"/>
  <c r="BO2" i="1"/>
  <c r="BP2" i="1"/>
  <c r="BQ2" i="1"/>
  <c r="BR2" i="1"/>
  <c r="BS2" i="1"/>
  <c r="BT2" i="1"/>
  <c r="BU2" i="1"/>
  <c r="BV2" i="1"/>
  <c r="BW2" i="1"/>
  <c r="BX2" i="1"/>
  <c r="BY2" i="1"/>
  <c r="BZ2" i="1"/>
  <c r="CA2" i="1"/>
  <c r="CB2" i="1"/>
  <c r="CC2" i="1"/>
  <c r="CD2" i="1"/>
  <c r="CE2" i="1"/>
  <c r="CF2" i="1"/>
  <c r="CG2" i="1"/>
  <c r="CH2" i="1"/>
  <c r="CI2" i="1"/>
  <c r="CJ2" i="1"/>
  <c r="CK2" i="1"/>
  <c r="CL2" i="1"/>
  <c r="CM2" i="1"/>
  <c r="CN2" i="1"/>
  <c r="CO2" i="1"/>
  <c r="CP2" i="1"/>
  <c r="CQ2" i="1"/>
  <c r="CR2" i="1"/>
  <c r="CS2" i="1"/>
  <c r="B3" i="1"/>
  <c r="C3" i="1"/>
  <c r="D3" i="1"/>
  <c r="E3" i="1"/>
  <c r="F3" i="1"/>
  <c r="G3" i="1"/>
  <c r="H3" i="1"/>
  <c r="I3" i="1"/>
  <c r="J3" i="1"/>
  <c r="K3" i="1"/>
  <c r="L3" i="1"/>
  <c r="M3" i="1"/>
  <c r="N3" i="1"/>
  <c r="O3" i="1"/>
  <c r="P3" i="1"/>
  <c r="Q3" i="1"/>
  <c r="R3" i="1"/>
  <c r="S3" i="1"/>
  <c r="T3" i="1"/>
  <c r="U3" i="1"/>
  <c r="V3" i="1"/>
  <c r="W3" i="1"/>
  <c r="X3" i="1"/>
  <c r="Y3" i="1"/>
  <c r="Z3" i="1"/>
  <c r="AA3" i="1"/>
  <c r="AB3" i="1"/>
  <c r="AC3" i="1"/>
  <c r="AD3" i="1"/>
  <c r="AE3" i="1"/>
  <c r="AF3" i="1"/>
  <c r="AG3" i="1"/>
  <c r="AH3" i="1"/>
  <c r="AI3" i="1"/>
  <c r="AJ3" i="1"/>
  <c r="AK3" i="1"/>
  <c r="AL3" i="1"/>
  <c r="AM3" i="1"/>
  <c r="AN3" i="1"/>
  <c r="AO3" i="1"/>
  <c r="AP3" i="1"/>
  <c r="AQ3" i="1"/>
  <c r="AR3" i="1"/>
  <c r="AS3" i="1"/>
  <c r="AT3" i="1"/>
  <c r="AU3" i="1"/>
  <c r="AV3" i="1"/>
  <c r="AW3" i="1"/>
  <c r="AX3" i="1"/>
  <c r="AY3" i="1"/>
  <c r="AZ3" i="1"/>
  <c r="BA3" i="1"/>
  <c r="BB3" i="1"/>
  <c r="BC3" i="1"/>
  <c r="BD3" i="1"/>
  <c r="BE3" i="1"/>
  <c r="BF3" i="1"/>
  <c r="BG3" i="1"/>
  <c r="BH3" i="1"/>
  <c r="BI3" i="1"/>
  <c r="BJ3" i="1"/>
  <c r="BK3" i="1"/>
  <c r="BL3" i="1"/>
  <c r="BM3" i="1"/>
  <c r="BN3" i="1"/>
  <c r="BO3" i="1"/>
  <c r="BP3" i="1"/>
  <c r="BQ3" i="1"/>
  <c r="BR3" i="1"/>
  <c r="BS3" i="1"/>
  <c r="BT3" i="1"/>
  <c r="BU3" i="1"/>
  <c r="BV3" i="1"/>
  <c r="BW3" i="1"/>
  <c r="BX3" i="1"/>
  <c r="BY3" i="1"/>
  <c r="BZ3" i="1"/>
  <c r="CA3" i="1"/>
  <c r="CB3" i="1"/>
  <c r="CC3" i="1"/>
  <c r="CD3" i="1"/>
  <c r="CE3" i="1"/>
  <c r="CF3" i="1"/>
  <c r="CG3" i="1"/>
  <c r="CH3" i="1"/>
  <c r="CI3" i="1"/>
  <c r="CJ3" i="1"/>
  <c r="CK3" i="1"/>
  <c r="CL3" i="1"/>
  <c r="CM3" i="1"/>
  <c r="CN3" i="1"/>
  <c r="CO3" i="1"/>
  <c r="CP3" i="1"/>
  <c r="CQ3" i="1"/>
  <c r="CR3" i="1"/>
  <c r="CS3" i="1"/>
  <c r="B4" i="1"/>
  <c r="C4" i="1"/>
  <c r="D4" i="1"/>
  <c r="E4" i="1"/>
  <c r="F4" i="1"/>
  <c r="G4" i="1"/>
  <c r="H4" i="1"/>
  <c r="I4" i="1"/>
  <c r="J4" i="1"/>
  <c r="K4" i="1"/>
  <c r="L4" i="1"/>
  <c r="M4" i="1"/>
  <c r="N4" i="1"/>
  <c r="O4" i="1"/>
  <c r="P4" i="1"/>
  <c r="Q4" i="1"/>
  <c r="R4" i="1"/>
  <c r="S4" i="1"/>
  <c r="T4" i="1"/>
  <c r="U4" i="1"/>
  <c r="V4" i="1"/>
  <c r="W4" i="1"/>
  <c r="X4" i="1"/>
  <c r="Y4" i="1"/>
  <c r="Z4" i="1"/>
  <c r="AA4" i="1"/>
  <c r="AB4" i="1"/>
  <c r="AC4" i="1"/>
  <c r="AD4" i="1"/>
  <c r="AE4" i="1"/>
  <c r="AF4" i="1"/>
  <c r="AG4" i="1"/>
  <c r="AH4" i="1"/>
  <c r="AI4" i="1"/>
  <c r="AJ4" i="1"/>
  <c r="AK4" i="1"/>
  <c r="AL4" i="1"/>
  <c r="AM4" i="1"/>
  <c r="AN4" i="1"/>
  <c r="AO4" i="1"/>
  <c r="AP4" i="1"/>
  <c r="AQ4" i="1"/>
  <c r="AR4" i="1"/>
  <c r="AS4" i="1"/>
  <c r="AT4" i="1"/>
  <c r="AU4" i="1"/>
  <c r="AV4" i="1"/>
  <c r="AW4" i="1"/>
  <c r="AX4" i="1"/>
  <c r="AY4" i="1"/>
  <c r="AZ4" i="1"/>
  <c r="BA4" i="1"/>
  <c r="BB4" i="1"/>
  <c r="BC4" i="1"/>
  <c r="BD4" i="1"/>
  <c r="BE4" i="1"/>
  <c r="BF4" i="1"/>
  <c r="BG4" i="1"/>
  <c r="BH4" i="1"/>
  <c r="BI4" i="1"/>
  <c r="BJ4" i="1"/>
  <c r="BK4" i="1"/>
  <c r="BL4" i="1"/>
  <c r="BM4" i="1"/>
  <c r="BN4" i="1"/>
  <c r="BO4" i="1"/>
  <c r="BP4" i="1"/>
  <c r="BQ4" i="1"/>
  <c r="BR4" i="1"/>
  <c r="BS4" i="1"/>
  <c r="BT4" i="1"/>
  <c r="BU4" i="1"/>
  <c r="BV4" i="1"/>
  <c r="BW4" i="1"/>
  <c r="BX4" i="1"/>
  <c r="BY4" i="1"/>
  <c r="BZ4" i="1"/>
  <c r="CA4" i="1"/>
  <c r="CB4" i="1"/>
  <c r="CC4" i="1"/>
  <c r="CD4" i="1"/>
  <c r="CE4" i="1"/>
  <c r="CF4" i="1"/>
  <c r="CG4" i="1"/>
  <c r="CH4" i="1"/>
  <c r="CI4" i="1"/>
  <c r="CJ4" i="1"/>
  <c r="CK4" i="1"/>
  <c r="CL4" i="1"/>
  <c r="CM4" i="1"/>
  <c r="CN4" i="1"/>
  <c r="CO4" i="1"/>
  <c r="CP4" i="1"/>
  <c r="CQ4" i="1"/>
  <c r="CR4" i="1"/>
  <c r="CS4" i="1"/>
  <c r="A4" i="1"/>
  <c r="A1" i="1"/>
  <c r="A3" i="1"/>
  <c r="A2" i="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<sst xmlns="http://schemas.openxmlformats.org/spreadsheetml/2006/main" count="289" uniqueCount="154">
  <si>
    <t>ID</t>
  </si>
  <si>
    <t>Heure de début</t>
  </si>
  <si>
    <t>Heure de fin</t>
  </si>
  <si>
    <t>Adresse de messagerie</t>
  </si>
  <si>
    <t>Nom</t>
  </si>
  <si>
    <t>Total points</t>
  </si>
  <si>
    <t>Quiz feedback</t>
  </si>
  <si>
    <t>CLARTE : J'ai une vision claire de l’objectif final du programme</t>
  </si>
  <si>
    <t>Points - CLARTE : J'ai une vision claire de l’objectif final du programme</t>
  </si>
  <si>
    <t>Feedback - CLARTE : J'ai une vision claire de l’objectif final du programme</t>
  </si>
  <si>
    <t>Si la réponse comporte moins de 2 étoiles OUI, merci de préciser votre réponse dans le champs ci-dessous :</t>
  </si>
  <si>
    <t>Points - Si la réponse comporte moins de 2 étoiles OUI, merci de préciser votre réponse dans le champs ci-dessous :</t>
  </si>
  <si>
    <t>Feedback - Si la réponse comporte moins de 2 étoiles OUI, merci de préciser votre réponse dans le champs ci-dessous :</t>
  </si>
  <si>
    <t>ALIGNEMENT : Je suis aligné sur l’objectif final du programme</t>
  </si>
  <si>
    <t>Points - ALIGNEMENT : Je suis aligné sur l’objectif final du programme</t>
  </si>
  <si>
    <t>Feedback - ALIGNEMENT : Je suis aligné sur l’objectif final du programme</t>
  </si>
  <si>
    <t>Si la réponse comporte moins de 2 étoiles OUI, merci de préciser votre réponse dans le champs ci-dessous :2</t>
  </si>
  <si>
    <t>Points - Si la réponse comporte moins de 2 étoiles OUI, merci de préciser votre réponse dans le champs ci-dessous :2</t>
  </si>
  <si>
    <t>Feedback - Si la réponse comporte moins de 2 étoiles OUI, merci de préciser votre réponse dans le champs ci-dessous :2</t>
  </si>
  <si>
    <t>ENGAGEMENT  : Je supporte l’objectif du programme</t>
  </si>
  <si>
    <t>Points - ENGAGEMENT  : Je supporte l’objectif du programme</t>
  </si>
  <si>
    <t>Feedback - ENGAGEMENT  : Je supporte l’objectif du programme</t>
  </si>
  <si>
    <t>Si la réponse comporte moins de 2 étoiles OUI, merci de préciser votre réponse dans le champs ci-dessous :3</t>
  </si>
  <si>
    <t>Points - Si la réponse comporte moins de 2 étoiles OUI, merci de préciser votre réponse dans le champs ci-dessous :3</t>
  </si>
  <si>
    <t>Feedback - Si la réponse comporte moins de 2 étoiles OUI, merci de préciser votre réponse dans le champs ci-dessous :3</t>
  </si>
  <si>
    <t>SOLUTION  : L’approche pour atteindre l’objectif du programme est solide</t>
  </si>
  <si>
    <t>Points - SOLUTION  : L’approche pour atteindre l’objectif du programme est solide</t>
  </si>
  <si>
    <t>Feedback - SOLUTION  : L’approche pour atteindre l’objectif du programme est solide</t>
  </si>
  <si>
    <t>Si la réponse comporte moins de 2 étoiles OUI, merci de préciser votre réponse dans le champs ci-dessous :4</t>
  </si>
  <si>
    <t>Points - Si la réponse comporte moins de 2 étoiles OUI, merci de préciser votre réponse dans le champs ci-dessous :4</t>
  </si>
  <si>
    <t>Feedback - Si la réponse comporte moins de 2 étoiles OUI, merci de préciser votre réponse dans le champs ci-dessous :4</t>
  </si>
  <si>
    <t>INTEGRITE : Les objectifs initiaux du programme restent les mêmes</t>
  </si>
  <si>
    <t>Points - INTEGRITE : Les objectifs initiaux du programme restent les mêmes</t>
  </si>
  <si>
    <t>Feedback - INTEGRITE : Les objectifs initiaux du programme restent les mêmes</t>
  </si>
  <si>
    <t>Si la réponse comporte moins de 2 étoiles OUI, merci de préciser votre réponse dans le champs ci-dessous :5</t>
  </si>
  <si>
    <t>Points - Si la réponse comporte moins de 2 étoiles OUI, merci de préciser votre réponse dans le champs ci-dessous :5</t>
  </si>
  <si>
    <t>Feedback - Si la réponse comporte moins de 2 étoiles OUI, merci de préciser votre réponse dans le champs ci-dessous :5</t>
  </si>
  <si>
    <t>SPONSORSHIP  : Les leaders fournissent le niveau de sponsorship suffisant pour supporter le programme</t>
  </si>
  <si>
    <t>Points - SPONSORSHIP  : Les leaders fournissent le niveau de sponsorship suffisant pour supporter le programme</t>
  </si>
  <si>
    <t>Feedback - SPONSORSHIP  : Les leaders fournissent le niveau de sponsorship suffisant pour supporter le programme</t>
  </si>
  <si>
    <t>Si la réponse comporte moins de 2 étoiles OUI, merci de préciser votre réponse dans le champs ci-dessous :6</t>
  </si>
  <si>
    <t>Points - Si la réponse comporte moins de 2 étoiles OUI, merci de préciser votre réponse dans le champs ci-dessous :6</t>
  </si>
  <si>
    <t>Feedback - Si la réponse comporte moins de 2 étoiles OUI, merci de préciser votre réponse dans le champs ci-dessous :6</t>
  </si>
  <si>
    <t>CAPACITE : Ce changement entraine une charge de travail que nous pouvons absorber sur le site</t>
  </si>
  <si>
    <t>Points - CAPACITE : Ce changement entraine une charge de travail que nous pouvons absorber sur le site</t>
  </si>
  <si>
    <t>Feedback - CAPACITE : Ce changement entraine une charge de travail que nous pouvons absorber sur le site</t>
  </si>
  <si>
    <t>Si la réponse comporte moins de 2 étoiles OUI, merci de préciser votre réponse dans le champs ci-dessous :7</t>
  </si>
  <si>
    <t>Points - Si la réponse comporte moins de 2 étoiles OUI, merci de préciser votre réponse dans le champs ci-dessous :7</t>
  </si>
  <si>
    <t>Feedback - Si la réponse comporte moins de 2 étoiles OUI, merci de préciser votre réponse dans le champs ci-dessous :7</t>
  </si>
  <si>
    <t>CULTURE  : Nous avons la culture appropriée pour absorber ce changement</t>
  </si>
  <si>
    <t>Points - CULTURE  : Nous avons la culture appropriée pour absorber ce changement</t>
  </si>
  <si>
    <t>Feedback - CULTURE  : Nous avons la culture appropriée pour absorber ce changement</t>
  </si>
  <si>
    <t>Si la réponse comporte moins de 2 étoiles OUI, merci de préciser votre réponse dans le champs ci-dessous :8</t>
  </si>
  <si>
    <t>Feedback - Si la réponse comporte moins de 2 étoiles OUI, merci de préciser votre réponse dans le champs ci-dessous :8</t>
  </si>
  <si>
    <t>Points - Si la réponse comporte moins de 2 étoiles OUI, merci de préciser votre réponse dans le champs ci-dessous :8</t>
  </si>
  <si>
    <t>RESISTANCE  : Les personnes impactées par ce changement démontrent l'engagement nécessaire pour réussir sa mise en place</t>
  </si>
  <si>
    <t>Feedback - RESISTANCE  : Les personnes impactées par ce changement démontrent l'engagement nécessaire pour réussir sa mise en place</t>
  </si>
  <si>
    <t>Points - RESISTANCE  : Les personnes impactées par ce changement démontrent l'engagement nécessaire pour réussir sa mise en place</t>
  </si>
  <si>
    <t>Si la réponse comporte moins de 2 étoiles OUI, merci de préciser votre réponse dans le champs ci-dessous :9</t>
  </si>
  <si>
    <t>Feedback - Si la réponse comporte moins de 2 étoiles OUI, merci de préciser votre réponse dans le champs ci-dessous :9</t>
  </si>
  <si>
    <t>Points - Si la réponse comporte moins de 2 étoiles OUI, merci de préciser votre réponse dans le champs ci-dessous :9</t>
  </si>
  <si>
    <t>SYNERGIE : Nos efforts de collaboration pour ce projet nous font gagner du temps plus qu’il n’en coute</t>
  </si>
  <si>
    <t>Feedback - SYNERGIE : Nos efforts de collaboration pour ce projet nous font gagner du temps plus qu’il n’en coute</t>
  </si>
  <si>
    <t>Points - SYNERGIE : Nos efforts de collaboration pour ce projet nous font gagner du temps plus qu’il n’en coute</t>
  </si>
  <si>
    <t>Si la réponse comporte moins de 2 étoiles OUI, merci de préciser votre réponse dans le champs ci-dessous :10</t>
  </si>
  <si>
    <t>Feedback - Si la réponse comporte moins de 2 étoiles OUI, merci de préciser votre réponse dans le champs ci-dessous :10</t>
  </si>
  <si>
    <t>Points - Si la réponse comporte moins de 2 étoiles OUI, merci de préciser votre réponse dans le champs ci-dessous :10</t>
  </si>
  <si>
    <t>PARTENARIAT : Nos interactions avec des partenaires externes sont suffisantes pour supporter ce changement</t>
  </si>
  <si>
    <t>Feedback - PARTENARIAT : Nos interactions avec des partenaires externes sont suffisantes pour supporter ce changement</t>
  </si>
  <si>
    <t>Points - PARTENARIAT : Nos interactions avec des partenaires externes sont suffisantes pour supporter ce changement</t>
  </si>
  <si>
    <t>Si la réponse comporte moins de 2 étoiles OUI, merci de préciser votre réponse dans le champs ci-dessous :11</t>
  </si>
  <si>
    <t>Feedback - Si la réponse comporte moins de 2 étoiles OUI, merci de préciser votre réponse dans le champs ci-dessous :11</t>
  </si>
  <si>
    <t>Points - Si la réponse comporte moins de 2 étoiles OUI, merci de préciser votre réponse dans le champs ci-dessous :11</t>
  </si>
  <si>
    <t>SUPERVISION : Les instances de pilotage permettent de prendre des décisions rapides et efficaces</t>
  </si>
  <si>
    <t>Points - SUPERVISION : Les instances de pilotage permettent de prendre des décisions rapides et efficaces</t>
  </si>
  <si>
    <t>Feedback - SUPERVISION : Les instances de pilotage permettent de prendre des décisions rapides et efficaces</t>
  </si>
  <si>
    <t>Si la réponse comporte moins de 2 étoiles OUI, merci de préciser votre réponse dans le champs ci-dessous :12</t>
  </si>
  <si>
    <t>Points - Si la réponse comporte moins de 2 étoiles OUI, merci de préciser votre réponse dans le champs ci-dessous :12</t>
  </si>
  <si>
    <t>Feedback - Si la réponse comporte moins de 2 étoiles OUI, merci de préciser votre réponse dans le champs ci-dessous :12</t>
  </si>
  <si>
    <t>RESSOURCES : Les ressources sont suffisantes pour absorber ce changement</t>
  </si>
  <si>
    <t>Points - RESSOURCES : Les ressources sont suffisantes pour absorber ce changement</t>
  </si>
  <si>
    <t>Feedback - RESSOURCES : Les ressources sont suffisantes pour absorber ce changement</t>
  </si>
  <si>
    <t>Si la réponse comporte moins de 2 étoiles OUI, merci de préciser votre réponse dans le champs ci-dessous :13</t>
  </si>
  <si>
    <t>Points - Si la réponse comporte moins de 2 étoiles OUI, merci de préciser votre réponse dans le champs ci-dessous :13</t>
  </si>
  <si>
    <t>Feedback - Si la réponse comporte moins de 2 étoiles OUI, merci de préciser votre réponse dans le champs ci-dessous :13</t>
  </si>
  <si>
    <t>PORTFOLIO : Les interactions de ce projet avec les autres initiatives sont gérées correctement</t>
  </si>
  <si>
    <t>Points - PORTFOLIO : Les interactions de ce projet avec les autres initiatives sont gérées correctement</t>
  </si>
  <si>
    <t>Feedback - PORTFOLIO : Les interactions de ce projet avec les autres initiatives sont gérées correctement</t>
  </si>
  <si>
    <t>Si la réponse comporte moins de 2 étoiles OUI, merci de préciser votre réponse dans le champs ci-dessous :14</t>
  </si>
  <si>
    <t>Points - Si la réponse comporte moins de 2 étoiles OUI, merci de préciser votre réponse dans le champs ci-dessous :14</t>
  </si>
  <si>
    <t>Feedback - Si la réponse comporte moins de 2 étoiles OUI, merci de préciser votre réponse dans le champs ci-dessous :14</t>
  </si>
  <si>
    <t>CHEMIN CRITIQUE : Les délais et ressources à travers de ce projet sont gérés efficacement</t>
  </si>
  <si>
    <t>Points - CHEMIN CRITIQUE : Les délais et ressources à travers de ce projet sont gérés efficacement</t>
  </si>
  <si>
    <t>Feedback - CHEMIN CRITIQUE : Les délais et ressources à travers de ce projet sont gérés efficacement</t>
  </si>
  <si>
    <t>Si la réponse comporte moins de 2 étoiles OUI, merci de préciser votre réponse dans le champs ci-dessous :15</t>
  </si>
  <si>
    <t>Points - Si la réponse comporte moins de 2 étoiles OUI, merci de préciser votre réponse dans le champs ci-dessous :15</t>
  </si>
  <si>
    <t>Feedback - Si la réponse comporte moins de 2 étoiles OUI, merci de préciser votre réponse dans le champs ci-dessous :15</t>
  </si>
  <si>
    <t>anonymous</t>
  </si>
  <si>
    <t>beaucoup de modifications de périmètre, des activités s'ajoutent qui n'étaient pas prévues au départ et augmentent la charge de travail</t>
  </si>
  <si>
    <t>la charge de travail liée à l'apprentissage des nouveaux outils a été sous-évaluée</t>
  </si>
  <si>
    <t>manque de visibilité sur les activités hors programme et d'évaluation des interactions entre le programme et ces activités, notamment en ce qui concerne le partage des ressources</t>
  </si>
  <si>
    <t>Je ne suis pas inquiète sur la rapidité des prises de décision mais sur le temps nécessaires à regrouper les informations pour que Fareva puisse décider. SOA doit fournir plus de visibilité quand on capacité de l'outil SAP.</t>
  </si>
  <si>
    <t>Attention aux périodes de formations et aux périodes de congés. Les congés n'ont pas été pris en compte dans le planning et les formations seront à faire à des périodes adéquates, c'est-à-dire juste avant la mise en production.</t>
  </si>
  <si>
    <t>Quelques réticences par rapport à l'avancement de SOA</t>
  </si>
  <si>
    <t>Réalisation en 2 phases (été 2022 + été 2023) au lieu d'une seule (été 2022)</t>
  </si>
  <si>
    <t>Manque de visibilité des projets hors PASSADOR</t>
  </si>
  <si>
    <t>Certains projets sont pilotés avec le Corporate et cela peut entrainer des retards sur des projets du au temps de réponse de ces derniers.</t>
  </si>
  <si>
    <t>Certains processus tel que les stabilités restent à définir en tant que pilotage par différents systèmes (SAP/LIMS)</t>
  </si>
  <si>
    <t>Peu d'échange avec l'équipe de direction et les managers des secteurs sur le projet Passador</t>
  </si>
  <si>
    <t>La charge d'activité du projet Passador n'est pas corrélée/analysée avec celle existante sur les autres projets du site (ex : OFM, changes clients)</t>
  </si>
  <si>
    <t>L'absence de la mise en place d'une phase d'engagement des collaborateurs du site est un risque majeur pour le projet</t>
  </si>
  <si>
    <t>A ce stade, pas d'échange avec les personnes impactées par ce changement (processus toujours en cours de définition)</t>
  </si>
  <si>
    <t>Manque de visibilité sur la stratégie de test, les formations à réaliser et la liste des documents BPF à réviser afin d'avoir une vision claire de l'adéquation des ressources aux besoins.
Beaucoup de chevauchement d'activités sur début 2023.</t>
  </si>
  <si>
    <t>Manque d'une visibilité claire sur ces interactions et absence d'un planning global site</t>
  </si>
  <si>
    <t>Nouvelle stratégie concernant la gestion des données dynamiques.</t>
  </si>
  <si>
    <t xml:space="preserve">La mise en place du système LIMS implique une prise en charge totale à Mirabel sans support MSD ainsi qu'une réorganisation des activités des SME. Cette charge de travail et cette réorganisation sont en grande partie connues mais à ce jour la mise à disposition des ressources n'a pas été clairement validée par le management. </t>
  </si>
  <si>
    <t>Voir commentaire ci-dessus</t>
  </si>
  <si>
    <t xml:space="preserve">Manque de temps aux experts pour participer pleinement aux étapes du projet. Les SME ne peuvent pas s'imprégner des sujets à traiter et donc n'ont pas la possibilité d'évaluer et d'approfondir leur approche. </t>
  </si>
  <si>
    <t>Le détachement des experts métiers nécessite des remplacements qui doivent se faire avec des moyens (recrutement) et de la formation au poste parfois même impossible à mettre en œuvre. Cette formation nécessite de prendre des recrues de manière anticipée et les besoins du projet ne sont pas toujours suffisamment anticipés.</t>
  </si>
  <si>
    <t>Pour l'instant il est impossible de mesurer un gain de temps</t>
  </si>
  <si>
    <t>Pas d'avis car pas en prise avec des partenaires externes !</t>
  </si>
  <si>
    <t xml:space="preserve">Pas d'avis sur le sujet car pas impliqué au sein du projet </t>
  </si>
  <si>
    <t>Sollicitation très importante des Process Stewards et SME qui doivent absorber la charge de routine ainsi que la charge liée à l'introduction des nouveaux produits =&gt; risque pour le projet Passador mais aussi pour les autres produits du site</t>
  </si>
  <si>
    <t>Pas d'avis sur cette question</t>
  </si>
  <si>
    <t>Voir point 13 par rapport aux ressources Process Stewards et SME</t>
  </si>
  <si>
    <t>Voir point 13 par rapport aux ressources Process Stewards et SME: mode dégradé mis en place pour les nouveaux produits du fait du manque de ressources SAP / LIMS</t>
  </si>
  <si>
    <t>Parfois à défaut d'une charge de travail conséquente à cause d'un planning serré et d'un manque de ressource pour répartir la charge</t>
  </si>
  <si>
    <t>Oui sauf travail sur nouveaux produits pas possible à enclencher avec les consultants car planning trop serré.</t>
  </si>
  <si>
    <t>Aucune coordination entre les projets sites, , peu ou pas d'info des "sponsors" hors chef de projet, pas de recherche d'info de leur part.</t>
  </si>
  <si>
    <t>Aucune coordination entre les projets sites, aucune prise en compte de la charge de travail des membres travaillant sur le projet, rechallenge permanent pour ajouter des activités au fur et à mesure que d'autres projets avancent. Les objectifs du CODIR  semblent minimiser que sans SAP il ne se passera rien.</t>
  </si>
  <si>
    <t>L'engagement de tout le site doit être travaillé pour que SAP ne soit pas l'outil de quelques experts, mais l'outil de gestion au quotidien de presque tous (objectif : chaque personne doit être autonome au minimum pour la consultation des informations et génération des rapports dont elle peut avoir besoin)</t>
  </si>
  <si>
    <t>Les membres impliqués dans le projet : oui
Pour les autres je ne sais pas dire, mais en tant que membre du projet on entend souvent dire "Alors, ça avance VOTRE SAP?"</t>
  </si>
  <si>
    <t>Pour l'instant oui, à voir comment les interactions se passeront quand nous aurons besoin d'aide, de clarification , ou qu'on nous réexplique au moment de l'écriture des SOP et formations.
A voir aussi au moment des UAT.</t>
  </si>
  <si>
    <t>Aucune idée</t>
  </si>
  <si>
    <t>Le planning n'est pas réaliste pour des personnes non-dédiées au projet PASSADOR.</t>
  </si>
  <si>
    <t>Chaque chef de projet site nouveau produit prend ses décisions de planning individuellement, il n'y a aucune revue au niveau CODIR des impacts sur les autres projets et sur les charges d'activités des membres du projet Passador.
Mauvaise évaluation par le CODIR et donc mauvaise communication aux chefs de projets nouveaux produits des impacts autours du cutover (freeze, remédiation manuelle,  démarrage, hypercare). Ma perception est que pour le CODIR c'est 6 semaines d'arrêt et avant/après tout se passe normalement.</t>
  </si>
  <si>
    <t>Dans le planning purement S4, de nombreuses activités doivent être gérées en parallèles par les mêmes personnes (non-dédiées), je pense que l'on est vraiment à risque. Ecrire les SOP et formations en même temps que l'on fait les UAT... Pas de prise en compte des congés dans le planning.</t>
  </si>
  <si>
    <t>pas tout à fait aligné</t>
  </si>
  <si>
    <t xml:space="preserve">souvent oui souvent non. On a pas toujours une visibilité globale de l'objectif. </t>
  </si>
  <si>
    <t>Pas toujours.</t>
  </si>
  <si>
    <t>Mitiger</t>
  </si>
  <si>
    <t>Pas toujour</t>
  </si>
  <si>
    <t>Non</t>
  </si>
  <si>
    <t>Attention à la charge pour les phases de test _ Prévoir des testeurs qui pourront ensuite devenir des supers utilisateurs pour augmenter le nombre de formateur.</t>
  </si>
  <si>
    <t>Equipes pilotages doivent gagner en proactivité</t>
  </si>
  <si>
    <t>Organisation pour maintenir la solution SAP
Architecture SAP sécurisée</t>
  </si>
  <si>
    <t>Vigilance avec les SME</t>
  </si>
  <si>
    <t>Pas de plan de charge commun avec les autres projets site.</t>
  </si>
  <si>
    <t>Fortes exigences de la VSI pourraient entrainer des ralentissements projet.</t>
  </si>
  <si>
    <t>moyenne</t>
  </si>
  <si>
    <t>min</t>
  </si>
  <si>
    <t>max</t>
  </si>
  <si>
    <t>nombre</t>
  </si>
  <si>
    <t>quoi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</si>
</sst>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m/d/yy\ h:mm:ss"/>
  </numFmts>
  <fonts count="1" x14ac:knownFonts="1">
    <font>
      <sz val="11"/>
      <color theme="1"/>
      <name val="Calibri"/>
      <family val="2"/>
      <scheme val="minor"/>
    </font>
  </fonts>
  <fills count="2">
    <fill>
      <patternFill patternType="none"/>
    </fill>
    <fill>
      <patternFill patternType="gray125"/>
    </fill>
  </fills>
  <borders count="2">
    <border>
      <left/>
      <right/>
      <top/>
      <bottom/>
      <diagonal/>
    </border>
    <border>
      <left/>
      <right style="thick">
        <color auto="1"/>
      </right>
      <top/>
      <bottom/>
      <diagonal/>
    </border>
  </borders>
  <cellStyleXfs count="1">
    <xf numFmtId="0" fontId="0" fillId="0" borderId="0"/>
  </cellStyleXfs>
  <cellXfs count="3">
    <xf numFmtId="0" fontId="0" fillId="0" borderId="0" xfId="0"/>
    <xf numFmtId="164" fontId="0" fillId="0" borderId="0" xfId="0" applyNumberFormat="1"/>
    <xf numFmtId="0" fontId="0" fillId="0" borderId="1" xfId="0" applyBorder="1"/>
  </cellXfs>
  <cellStyles count="1">
    <cellStyle name="Standaard" xfId="0" builtinId="0"/>
  </cellStyles>
  <dxfs count="195">
    <dxf>
      <fill>
        <patternFill>
          <bgColor rgb="FFFFC000"/>
        </patternFill>
      </fil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164" formatCode="m/d/yy\ h:mm:ss"/>
    </dxf>
    <dxf>
      <numFmt numFmtId="164" formatCode="m/d/yy\ h:mm:ss"/>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164" formatCode="m/d/yy\ h:mm:ss"/>
    </dxf>
    <dxf>
      <numFmt numFmtId="164" formatCode="m/d/yy\ h:mm:ss"/>
    </dxf>
    <dxf>
      <numFmt numFmtId="0" formatCode="Genera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eetMetadata" Target="metadata.xml"/><Relationship Id="rId3" Type="http://schemas.openxmlformats.org/officeDocument/2006/relationships/chartsheet" Target="chartsheets/sheet1.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3.xml"/><Relationship Id="rId9" Type="http://schemas.openxmlformats.org/officeDocument/2006/relationships/calcChain" Target="calcChain.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nl-NL"/>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ser>
          <c:idx val="0"/>
          <c:order val="0"/>
          <c:tx>
            <c:v>Evolution 1</c:v>
          </c:tx>
          <c:spPr>
            <a:solidFill>
              <a:schemeClr val="accent1"/>
            </a:solidFill>
            <a:ln>
              <a:noFill/>
            </a:ln>
            <a:effectLst/>
          </c:spPr>
          <c:invertIfNegative val="0"/>
          <c:cat>
            <c:strRef>
              <c:f>compaire!$E$2:$E$98</c:f>
              <c:strCache>
                <c:ptCount val="15"/>
                <c:pt idx="0">
                  <c:v>CLARTE : J'ai une vision claire de l’objectif final du programme</c:v>
                </c:pt>
                <c:pt idx="1">
                  <c:v>ALIGNEMENT : Je suis aligné sur l’objectif final du programme</c:v>
                </c:pt>
                <c:pt idx="2">
                  <c:v>ENGAGEMENT  : Je supporte l’objectif du programme</c:v>
                </c:pt>
                <c:pt idx="3">
                  <c:v>SOLUTION  : L’approche pour atteindre l’objectif du programme est solide</c:v>
                </c:pt>
                <c:pt idx="4">
                  <c:v>INTEGRITE : Les objectifs initiaux du programme restent les mêmes</c:v>
                </c:pt>
                <c:pt idx="5">
                  <c:v>SPONSORSHIP  : Les leaders fournissent le niveau de sponsorship suffisant pour supporter le programme</c:v>
                </c:pt>
                <c:pt idx="6">
                  <c:v>CAPACITE : Ce changement entraine une charge de travail que nous pouvons absorber sur le site</c:v>
                </c:pt>
                <c:pt idx="7">
                  <c:v>CULTURE  : Nous avons la culture appropriée pour absorber ce changement</c:v>
                </c:pt>
                <c:pt idx="8">
                  <c:v>RESISTANCE  : Les personnes impactées par ce changement démontrent l'engagement nécessaire pour réussir sa mise en place</c:v>
                </c:pt>
                <c:pt idx="9">
                  <c:v>SYNERGIE : Nos efforts de collaboration pour ce projet nous font gagner du temps plus qu’il n’en coute</c:v>
                </c:pt>
                <c:pt idx="10">
                  <c:v>PARTENARIAT : Nos interactions avec des partenaires externes sont suffisantes pour supporter ce changement</c:v>
                </c:pt>
                <c:pt idx="11">
                  <c:v>SUPERVISION : Les instances de pilotage permettent de prendre des décisions rapides et efficaces</c:v>
                </c:pt>
                <c:pt idx="12">
                  <c:v>RESSOURCES : Les ressources sont suffisantes pour absorber ce changement</c:v>
                </c:pt>
                <c:pt idx="13">
                  <c:v>PORTFOLIO : Les interactions de ce projet avec les autres initiatives sont gérées correctement</c:v>
                </c:pt>
                <c:pt idx="14">
                  <c:v>CHEMIN CRITIQUE : Les délais et ressources à travers de ce projet sont gérés efficacement</c:v>
                </c:pt>
              </c:strCache>
            </c:strRef>
          </c:cat>
          <c:val>
            <c:numRef>
              <c:f>compaire!$A$2:$A$98</c:f>
              <c:numCache>
                <c:formatCode>General</c:formatCode>
                <c:ptCount val="15"/>
                <c:pt idx="0">
                  <c:v>5</c:v>
                </c:pt>
                <c:pt idx="1">
                  <c:v>5</c:v>
                </c:pt>
                <c:pt idx="2">
                  <c:v>5</c:v>
                </c:pt>
                <c:pt idx="3">
                  <c:v>4.7142857142857144</c:v>
                </c:pt>
                <c:pt idx="4">
                  <c:v>5</c:v>
                </c:pt>
                <c:pt idx="5">
                  <c:v>4.7142857142857144</c:v>
                </c:pt>
                <c:pt idx="6">
                  <c:v>4.4285714285714288</c:v>
                </c:pt>
                <c:pt idx="7">
                  <c:v>3.7142857142857144</c:v>
                </c:pt>
                <c:pt idx="8">
                  <c:v>4.8571428571428568</c:v>
                </c:pt>
                <c:pt idx="9">
                  <c:v>4.4285714285714288</c:v>
                </c:pt>
                <c:pt idx="10">
                  <c:v>4.5714285714285712</c:v>
                </c:pt>
                <c:pt idx="11">
                  <c:v>4.8571428571428568</c:v>
                </c:pt>
                <c:pt idx="12">
                  <c:v>4.4285714285714288</c:v>
                </c:pt>
                <c:pt idx="13">
                  <c:v>4.2857142857142856</c:v>
                </c:pt>
                <c:pt idx="14">
                  <c:v>4.5714285714285712</c:v>
                </c:pt>
              </c:numCache>
            </c:numRef>
          </c:val>
          <c:extLst>
            <c:ext xmlns:c16="http://schemas.microsoft.com/office/drawing/2014/chart" uri="{C3380CC4-5D6E-409C-BE32-E72D297353CC}">
              <c16:uniqueId val="{00000000-94DE-46A5-AB3B-2ACC0739C90F}"/>
            </c:ext>
          </c:extLst>
        </c:ser>
        <c:ser>
          <c:idx val="1"/>
          <c:order val="1"/>
          <c:tx>
            <c:v>Evolution 2</c:v>
          </c:tx>
          <c:spPr>
            <a:solidFill>
              <a:schemeClr val="accent2"/>
            </a:solidFill>
            <a:ln>
              <a:noFill/>
            </a:ln>
            <a:effectLst/>
          </c:spPr>
          <c:invertIfNegative val="0"/>
          <c:cat>
            <c:strRef>
              <c:f>compaire!$E$2:$E$98</c:f>
              <c:strCache>
                <c:ptCount val="15"/>
                <c:pt idx="0">
                  <c:v>CLARTE : J'ai une vision claire de l’objectif final du programme</c:v>
                </c:pt>
                <c:pt idx="1">
                  <c:v>ALIGNEMENT : Je suis aligné sur l’objectif final du programme</c:v>
                </c:pt>
                <c:pt idx="2">
                  <c:v>ENGAGEMENT  : Je supporte l’objectif du programme</c:v>
                </c:pt>
                <c:pt idx="3">
                  <c:v>SOLUTION  : L’approche pour atteindre l’objectif du programme est solide</c:v>
                </c:pt>
                <c:pt idx="4">
                  <c:v>INTEGRITE : Les objectifs initiaux du programme restent les mêmes</c:v>
                </c:pt>
                <c:pt idx="5">
                  <c:v>SPONSORSHIP  : Les leaders fournissent le niveau de sponsorship suffisant pour supporter le programme</c:v>
                </c:pt>
                <c:pt idx="6">
                  <c:v>CAPACITE : Ce changement entraine une charge de travail que nous pouvons absorber sur le site</c:v>
                </c:pt>
                <c:pt idx="7">
                  <c:v>CULTURE  : Nous avons la culture appropriée pour absorber ce changement</c:v>
                </c:pt>
                <c:pt idx="8">
                  <c:v>RESISTANCE  : Les personnes impactées par ce changement démontrent l'engagement nécessaire pour réussir sa mise en place</c:v>
                </c:pt>
                <c:pt idx="9">
                  <c:v>SYNERGIE : Nos efforts de collaboration pour ce projet nous font gagner du temps plus qu’il n’en coute</c:v>
                </c:pt>
                <c:pt idx="10">
                  <c:v>PARTENARIAT : Nos interactions avec des partenaires externes sont suffisantes pour supporter ce changement</c:v>
                </c:pt>
                <c:pt idx="11">
                  <c:v>SUPERVISION : Les instances de pilotage permettent de prendre des décisions rapides et efficaces</c:v>
                </c:pt>
                <c:pt idx="12">
                  <c:v>RESSOURCES : Les ressources sont suffisantes pour absorber ce changement</c:v>
                </c:pt>
                <c:pt idx="13">
                  <c:v>PORTFOLIO : Les interactions de ce projet avec les autres initiatives sont gérées correctement</c:v>
                </c:pt>
                <c:pt idx="14">
                  <c:v>CHEMIN CRITIQUE : Les délais et ressources à travers de ce projet sont gérés efficacement</c:v>
                </c:pt>
              </c:strCache>
            </c:strRef>
          </c:cat>
          <c:val>
            <c:numRef>
              <c:f>compaire!$F$2:$F$98</c:f>
              <c:numCache>
                <c:formatCode>General</c:formatCode>
                <c:ptCount val="15"/>
                <c:pt idx="0">
                  <c:v>4.2962962962962967</c:v>
                </c:pt>
                <c:pt idx="1">
                  <c:v>4.1111111111111107</c:v>
                </c:pt>
                <c:pt idx="2">
                  <c:v>4.5925925925925926</c:v>
                </c:pt>
                <c:pt idx="3">
                  <c:v>3.7037037037037037</c:v>
                </c:pt>
                <c:pt idx="4">
                  <c:v>3.8518518518518516</c:v>
                </c:pt>
                <c:pt idx="5">
                  <c:v>3.6666666666666665</c:v>
                </c:pt>
                <c:pt idx="6">
                  <c:v>3.0370370370370372</c:v>
                </c:pt>
                <c:pt idx="7">
                  <c:v>3.6296296296296298</c:v>
                </c:pt>
                <c:pt idx="8">
                  <c:v>4.1111111111111107</c:v>
                </c:pt>
                <c:pt idx="9">
                  <c:v>3.7777777777777777</c:v>
                </c:pt>
                <c:pt idx="10">
                  <c:v>3.7037037037037037</c:v>
                </c:pt>
                <c:pt idx="11">
                  <c:v>3.3703703703703702</c:v>
                </c:pt>
                <c:pt idx="12">
                  <c:v>2.8518518518518516</c:v>
                </c:pt>
                <c:pt idx="13">
                  <c:v>3.2592592592592591</c:v>
                </c:pt>
                <c:pt idx="14">
                  <c:v>3.2962962962962963</c:v>
                </c:pt>
              </c:numCache>
            </c:numRef>
          </c:val>
          <c:extLst>
            <c:ext xmlns:c16="http://schemas.microsoft.com/office/drawing/2014/chart" uri="{C3380CC4-5D6E-409C-BE32-E72D297353CC}">
              <c16:uniqueId val="{00000001-94DE-46A5-AB3B-2ACC0739C90F}"/>
            </c:ext>
          </c:extLst>
        </c:ser>
        <c:dLbls>
          <c:showLegendKey val="0"/>
          <c:showVal val="0"/>
          <c:showCatName val="0"/>
          <c:showSerName val="0"/>
          <c:showPercent val="0"/>
          <c:showBubbleSize val="0"/>
        </c:dLbls>
        <c:gapWidth val="150"/>
        <c:axId val="741292224"/>
        <c:axId val="741285992"/>
      </c:barChart>
      <c:catAx>
        <c:axId val="741292224"/>
        <c:scaling>
          <c:orientation val="minMax"/>
        </c:scaling>
        <c:delete val="0"/>
        <c:axPos val="b"/>
        <c:numFmt formatCode="General" sourceLinked="1"/>
        <c:majorTickMark val="out"/>
        <c:minorTickMark val="none"/>
        <c:tickLblPos val="nextTo"/>
        <c:spPr>
          <a:noFill/>
          <a:ln w="9525" cap="flat" cmpd="sng" algn="ctr">
            <a:solidFill>
              <a:schemeClr val="tx1">
                <a:lumMod val="15000"/>
                <a:lumOff val="85000"/>
              </a:schemeClr>
            </a:solidFill>
            <a:round/>
          </a:ln>
          <a:effectLst/>
        </c:spPr>
        <c:txPr>
          <a:bodyPr rot="-54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nl-BE"/>
          </a:p>
        </c:txPr>
        <c:crossAx val="741285992"/>
        <c:crosses val="autoZero"/>
        <c:auto val="1"/>
        <c:lblAlgn val="ctr"/>
        <c:lblOffset val="100"/>
        <c:noMultiLvlLbl val="0"/>
      </c:catAx>
      <c:valAx>
        <c:axId val="741285992"/>
        <c:scaling>
          <c:orientation val="minMax"/>
          <c:max val="5"/>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nl-BE"/>
          </a:p>
        </c:txPr>
        <c:crossAx val="741292224"/>
        <c:crosses val="autoZero"/>
        <c:crossBetween val="between"/>
      </c:valAx>
      <c:spPr>
        <a:noFill/>
        <a:ln>
          <a:noFill/>
        </a:ln>
        <a:effectLst/>
      </c:spPr>
    </c:plotArea>
    <c:legend>
      <c:legendPos val="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nl-BE"/>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nl-BE"/>
    </a:p>
  </c:txPr>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chartsheets/sheet1.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F6A2877-FB02-4521-8492-F637D06C16EE}">
  <sheetPr codeName="Grafiek4"/>
  <sheetViews>
    <sheetView tabSelected="1" zoomScale="116" workbookViewId="0" zoomToFit="1"/>
  </sheetViews>
  <pageMargins left="0.7" right="0.7" top="0.75" bottom="0.75" header="0.3" footer="0.3"/>
  <drawing r:id="rId1"/>
</chartsheet>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absoluteAnchor>
    <xdr:pos x="0" y="0"/>
    <xdr:ext cx="9303297" cy="6076293"/>
    <xdr:graphicFrame macro="">
      <xdr:nvGraphicFramePr>
        <xdr:cNvPr id="2" name="Grafiek 1">
          <a:extLst>
            <a:ext uri="{FF2B5EF4-FFF2-40B4-BE49-F238E27FC236}">
              <a16:creationId xmlns:a16="http://schemas.microsoft.com/office/drawing/2014/main" id="{C75EFCEF-4F8A-D71A-513F-A5DFA5FE6AB2}"/>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6144282-65C5-4D5D-8DCF-0323A3F9DA12}" name="Table13" displayName="Table13" ref="A5:CS12" totalsRowShown="0">
  <autoFilter ref="A5:CS12" xr:uid="{00000000-0009-0000-0100-000001000000}"/>
  <tableColumns count="97">
    <tableColumn id="1" xr3:uid="{08EF35FA-AA4E-406D-AD3E-1475153CCFA4}" name="ID" dataDxfId="97"/>
    <tableColumn id="2" xr3:uid="{24D7381B-0495-4043-BDFA-EF7F63432911}" name="Heure de début" dataDxfId="96"/>
    <tableColumn id="3" xr3:uid="{68ECE398-58CF-44DA-BCFB-CAC7012C3DB7}" name="Heure de fin" dataDxfId="95"/>
    <tableColumn id="4" xr3:uid="{52261A6D-CADA-490E-8310-9F380F53D08E}" name="Adresse de messagerie" dataDxfId="94"/>
    <tableColumn id="5" xr3:uid="{1A4E28E1-3917-43E0-9D98-54526D90A762}" name="Nom" dataDxfId="93"/>
    <tableColumn id="6" xr3:uid="{1C68E0E5-C26E-4E37-A6A4-C6EBD97D82A4}" name="Total points" dataDxfId="92"/>
    <tableColumn id="7" xr3:uid="{6FCF4080-0A52-4799-9E4B-E5B516399DC8}" name="Quiz feedback" dataDxfId="91"/>
    <tableColumn id="8" xr3:uid="{46B2A431-65B6-4636-912A-83D04C218B0A}" name="CLARTE : J'ai une vision claire de l’objectif final du programme" dataDxfId="90"/>
    <tableColumn id="9" xr3:uid="{21050A45-D77D-4D3A-B49C-98D2EC263FF6}" name="Points - CLARTE : J'ai une vision claire de l’objectif final du programme" dataDxfId="89"/>
    <tableColumn id="10" xr3:uid="{3A266768-0ED0-4130-8A52-CFA0A523AADA}" name="Feedback - CLARTE : J'ai une vision claire de l’objectif final du programme" dataDxfId="88"/>
    <tableColumn id="11" xr3:uid="{D0F16671-B833-44E2-B650-EAF736494307}" name="Si la réponse comporte moins de 2 étoiles OUI, merci de préciser votre réponse dans le champs ci-dessous :" dataDxfId="87"/>
    <tableColumn id="12" xr3:uid="{1531460A-1C11-47E7-90A1-2D3050086949}" name="Points - Si la réponse comporte moins de 2 étoiles OUI, merci de préciser votre réponse dans le champs ci-dessous :" dataDxfId="86"/>
    <tableColumn id="13" xr3:uid="{3661B8DC-0A00-4274-977C-6994D0DDFFE1}" name="Feedback - Si la réponse comporte moins de 2 étoiles OUI, merci de préciser votre réponse dans le champs ci-dessous :" dataDxfId="85"/>
    <tableColumn id="14" xr3:uid="{EBE9D4EA-C038-473E-8CBC-B7ABAD53BF77}" name="ALIGNEMENT : Je suis aligné sur l’objectif final du programme" dataDxfId="84"/>
    <tableColumn id="15" xr3:uid="{55B57BB3-C533-4342-BBFC-95B9AF8898AD}" name="Points - ALIGNEMENT : Je suis aligné sur l’objectif final du programme" dataDxfId="83"/>
    <tableColumn id="16" xr3:uid="{D538D326-8E66-4665-A321-BB6830C42DAF}" name="Feedback - ALIGNEMENT : Je suis aligné sur l’objectif final du programme" dataDxfId="82"/>
    <tableColumn id="17" xr3:uid="{38E6AE82-E479-4D57-A5B9-DF98B5A3F419}" name="Si la réponse comporte moins de 2 étoiles OUI, merci de préciser votre réponse dans le champs ci-dessous :2" dataDxfId="81"/>
    <tableColumn id="18" xr3:uid="{D0DED772-E016-46C6-BD37-DB64A3319AFB}" name="Points - Si la réponse comporte moins de 2 étoiles OUI, merci de préciser votre réponse dans le champs ci-dessous :2" dataDxfId="80"/>
    <tableColumn id="19" xr3:uid="{09A6265D-8AF5-47EB-8BCF-F0E554829F68}" name="Feedback - Si la réponse comporte moins de 2 étoiles OUI, merci de préciser votre réponse dans le champs ci-dessous :2" dataDxfId="79"/>
    <tableColumn id="20" xr3:uid="{7354C189-2A4D-4232-961A-9ADF6E257B53}" name="ENGAGEMENT  : Je supporte l’objectif du programme" dataDxfId="78"/>
    <tableColumn id="21" xr3:uid="{7A4DC44F-D891-4F19-A9F7-74F05680FEC1}" name="Points - ENGAGEMENT  : Je supporte l’objectif du programme" dataDxfId="77"/>
    <tableColumn id="22" xr3:uid="{B6454753-1D68-4D8E-904C-903A20E58F9D}" name="Feedback - ENGAGEMENT  : Je supporte l’objectif du programme" dataDxfId="76"/>
    <tableColumn id="23" xr3:uid="{E21542E1-8CD3-47DD-97FF-5D25D4D32EE3}" name="Si la réponse comporte moins de 2 étoiles OUI, merci de préciser votre réponse dans le champs ci-dessous :3" dataDxfId="75"/>
    <tableColumn id="24" xr3:uid="{B4CC37A5-50E0-4078-B84E-FF9B7B5D8B3C}" name="Points - Si la réponse comporte moins de 2 étoiles OUI, merci de préciser votre réponse dans le champs ci-dessous :3" dataDxfId="74"/>
    <tableColumn id="25" xr3:uid="{635CFB28-AB49-47DD-B009-26059652AC0B}" name="Feedback - Si la réponse comporte moins de 2 étoiles OUI, merci de préciser votre réponse dans le champs ci-dessous :3" dataDxfId="73"/>
    <tableColumn id="26" xr3:uid="{49374411-585A-4D00-A9FB-D63CCA5CBE3B}" name="SOLUTION  : L’approche pour atteindre l’objectif du programme est solide" dataDxfId="72"/>
    <tableColumn id="27" xr3:uid="{D2C90DC7-AF64-43A8-8909-1585BC3FFCC2}" name="Points - SOLUTION  : L’approche pour atteindre l’objectif du programme est solide" dataDxfId="71"/>
    <tableColumn id="28" xr3:uid="{68EAC8DA-011C-4995-9105-C041C9C167E9}" name="Feedback - SOLUTION  : L’approche pour atteindre l’objectif du programme est solide" dataDxfId="70"/>
    <tableColumn id="29" xr3:uid="{FA62421B-A641-4281-AFF5-B3F28CA8C819}" name="Si la réponse comporte moins de 2 étoiles OUI, merci de préciser votre réponse dans le champs ci-dessous :4" dataDxfId="69"/>
    <tableColumn id="30" xr3:uid="{815A551B-292C-4487-A51E-589CF9EE51BC}" name="Points - Si la réponse comporte moins de 2 étoiles OUI, merci de préciser votre réponse dans le champs ci-dessous :4" dataDxfId="68"/>
    <tableColumn id="31" xr3:uid="{7795181B-C9CA-41EE-9212-07645F13E98B}" name="Feedback - Si la réponse comporte moins de 2 étoiles OUI, merci de préciser votre réponse dans le champs ci-dessous :4" dataDxfId="67"/>
    <tableColumn id="32" xr3:uid="{114175A6-8A14-4272-A7B6-EBC278049811}" name="INTEGRITE : Les objectifs initiaux du programme restent les mêmes" dataDxfId="66"/>
    <tableColumn id="33" xr3:uid="{E71D4AF7-3F1F-4C2C-997B-A59A4F3E1458}" name="Points - INTEGRITE : Les objectifs initiaux du programme restent les mêmes" dataDxfId="65"/>
    <tableColumn id="34" xr3:uid="{5BE13D3E-47DD-4802-9A0E-7B4E2A284681}" name="Feedback - INTEGRITE : Les objectifs initiaux du programme restent les mêmes" dataDxfId="64"/>
    <tableColumn id="35" xr3:uid="{74436B96-AB36-43EB-BF9E-32B3151047C9}" name="Si la réponse comporte moins de 2 étoiles OUI, merci de préciser votre réponse dans le champs ci-dessous :5" dataDxfId="63"/>
    <tableColumn id="36" xr3:uid="{0DF78E39-8497-4539-AB04-9EB2E6D6BF6D}" name="Points - Si la réponse comporte moins de 2 étoiles OUI, merci de préciser votre réponse dans le champs ci-dessous :5" dataDxfId="62"/>
    <tableColumn id="37" xr3:uid="{57851234-3800-40B6-BB1F-24857BDE5717}" name="Feedback - Si la réponse comporte moins de 2 étoiles OUI, merci de préciser votre réponse dans le champs ci-dessous :5" dataDxfId="61"/>
    <tableColumn id="38" xr3:uid="{592C7113-816B-431E-BFBE-E88C91DD43EF}" name="SPONSORSHIP  : Les leaders fournissent le niveau de sponsorship suffisant pour supporter le programme" dataDxfId="60"/>
    <tableColumn id="39" xr3:uid="{4529DA08-DA1B-40E6-B1BD-68BB05F47825}" name="Points - SPONSORSHIP  : Les leaders fournissent le niveau de sponsorship suffisant pour supporter le programme" dataDxfId="59"/>
    <tableColumn id="40" xr3:uid="{FACA90CD-29E2-4471-8B9C-5CA069564C36}" name="Feedback - SPONSORSHIP  : Les leaders fournissent le niveau de sponsorship suffisant pour supporter le programme" dataDxfId="58"/>
    <tableColumn id="41" xr3:uid="{D1C24B66-D3D5-4416-A2F2-F412A57BADF6}" name="Si la réponse comporte moins de 2 étoiles OUI, merci de préciser votre réponse dans le champs ci-dessous :6" dataDxfId="57"/>
    <tableColumn id="42" xr3:uid="{F7934017-E4DF-4B82-B14C-115C0EB6F9B2}" name="Points - Si la réponse comporte moins de 2 étoiles OUI, merci de préciser votre réponse dans le champs ci-dessous :6" dataDxfId="56"/>
    <tableColumn id="43" xr3:uid="{38E7B670-5372-49EC-A722-740EBB5955B5}" name="Feedback - Si la réponse comporte moins de 2 étoiles OUI, merci de préciser votre réponse dans le champs ci-dessous :6" dataDxfId="55"/>
    <tableColumn id="44" xr3:uid="{C6288E74-E4E4-4F4E-A751-2D116ADD6372}" name="CAPACITE : Ce changement entraine une charge de travail que nous pouvons absorber sur le site" dataDxfId="54"/>
    <tableColumn id="45" xr3:uid="{81F04664-2065-4954-B51E-FF01956DB90B}" name="Points - CAPACITE : Ce changement entraine une charge de travail que nous pouvons absorber sur le site" dataDxfId="53"/>
    <tableColumn id="46" xr3:uid="{8EE0FA6F-BE76-4A86-9DF0-8219C0B4FF33}" name="Feedback - CAPACITE : Ce changement entraine une charge de travail que nous pouvons absorber sur le site" dataDxfId="52"/>
    <tableColumn id="47" xr3:uid="{4459B064-1380-4C0E-BB70-5C88D7399473}" name="Si la réponse comporte moins de 2 étoiles OUI, merci de préciser votre réponse dans le champs ci-dessous :7" dataDxfId="51"/>
    <tableColumn id="48" xr3:uid="{EE42D2C4-8EF5-4833-91DF-554BBD3752FB}" name="Points - Si la réponse comporte moins de 2 étoiles OUI, merci de préciser votre réponse dans le champs ci-dessous :7" dataDxfId="50"/>
    <tableColumn id="49" xr3:uid="{B618701E-C4D5-461E-A063-98D2C2808FF0}" name="Feedback - Si la réponse comporte moins de 2 étoiles OUI, merci de préciser votre réponse dans le champs ci-dessous :7" dataDxfId="49"/>
    <tableColumn id="50" xr3:uid="{9116AC80-D77B-42DF-9450-4F8FD3A73298}" name="CULTURE  : Nous avons la culture appropriée pour absorber ce changement" dataDxfId="48"/>
    <tableColumn id="51" xr3:uid="{0E969C8A-ED01-497F-9A7C-D7B1A0AC3615}" name="Points - CULTURE  : Nous avons la culture appropriée pour absorber ce changement" dataDxfId="47"/>
    <tableColumn id="52" xr3:uid="{5B8F7080-E68C-47EE-9DE1-82694D877CC7}" name="Feedback - CULTURE  : Nous avons la culture appropriée pour absorber ce changement" dataDxfId="46"/>
    <tableColumn id="53" xr3:uid="{BE3C42AF-2EDE-4CC2-9335-E2DCBCC58AA5}" name="Si la réponse comporte moins de 2 étoiles OUI, merci de préciser votre réponse dans le champs ci-dessous :8" dataDxfId="45"/>
    <tableColumn id="54" xr3:uid="{941702BE-1132-4D1A-96E9-4A5A62D10CA4}" name="Feedback - Si la réponse comporte moins de 2 étoiles OUI, merci de préciser votre réponse dans le champs ci-dessous :8" dataDxfId="44"/>
    <tableColumn id="55" xr3:uid="{FCFEBC89-D155-4BD7-9510-4BCECCACBA8D}" name="Points - Si la réponse comporte moins de 2 étoiles OUI, merci de préciser votre réponse dans le champs ci-dessous :8" dataDxfId="43"/>
    <tableColumn id="56" xr3:uid="{B23E50A7-1074-437B-A76E-AA3DC2E291A8}" name="RESISTANCE  : Les personnes impactées par ce changement démontrent l'engagement nécessaire pour réussir sa mise en place" dataDxfId="42"/>
    <tableColumn id="57" xr3:uid="{87BA2461-E8F0-416D-8C4D-C48AA8649DD2}" name="Feedback - RESISTANCE  : Les personnes impactées par ce changement démontrent l'engagement nécessaire pour réussir sa mise en place" dataDxfId="41"/>
    <tableColumn id="58" xr3:uid="{FB808513-52DD-4EF6-90DC-EA6616CCBBFB}" name="Points - RESISTANCE  : Les personnes impactées par ce changement démontrent l'engagement nécessaire pour réussir sa mise en place" dataDxfId="40"/>
    <tableColumn id="59" xr3:uid="{F0F7F924-2E48-4F35-89C3-06625A2593BC}" name="Si la réponse comporte moins de 2 étoiles OUI, merci de préciser votre réponse dans le champs ci-dessous :9" dataDxfId="39"/>
    <tableColumn id="60" xr3:uid="{BFD4BE3A-275D-4680-A0BE-3AA43BCA0FFE}" name="Feedback - Si la réponse comporte moins de 2 étoiles OUI, merci de préciser votre réponse dans le champs ci-dessous :9" dataDxfId="38"/>
    <tableColumn id="61" xr3:uid="{BCE4CD8A-96C2-43D7-B7A3-49C85AE38B3D}" name="Points - Si la réponse comporte moins de 2 étoiles OUI, merci de préciser votre réponse dans le champs ci-dessous :9" dataDxfId="37"/>
    <tableColumn id="62" xr3:uid="{7D59FA52-EA6C-42E0-9037-63EAB2780C2D}" name="SYNERGIE : Nos efforts de collaboration pour ce projet nous font gagner du temps plus qu’il n’en coute" dataDxfId="36"/>
    <tableColumn id="63" xr3:uid="{271049C0-FD32-40ED-AC4E-A50FDC07D7F3}" name="Feedback - SYNERGIE : Nos efforts de collaboration pour ce projet nous font gagner du temps plus qu’il n’en coute" dataDxfId="35"/>
    <tableColumn id="64" xr3:uid="{5DE16BF8-8169-48D4-85E0-D3300AC78D36}" name="Points - SYNERGIE : Nos efforts de collaboration pour ce projet nous font gagner du temps plus qu’il n’en coute" dataDxfId="34"/>
    <tableColumn id="65" xr3:uid="{75174472-3F39-4881-BAD6-DBF037939839}" name="Si la réponse comporte moins de 2 étoiles OUI, merci de préciser votre réponse dans le champs ci-dessous :10" dataDxfId="33"/>
    <tableColumn id="66" xr3:uid="{EC7CF1EA-E483-483B-94E0-E10C9EEAA677}" name="Feedback - Si la réponse comporte moins de 2 étoiles OUI, merci de préciser votre réponse dans le champs ci-dessous :10" dataDxfId="32"/>
    <tableColumn id="67" xr3:uid="{97A0ABE8-3C3C-4459-A0DA-70DCBD3A825D}" name="Points - Si la réponse comporte moins de 2 étoiles OUI, merci de préciser votre réponse dans le champs ci-dessous :10" dataDxfId="31"/>
    <tableColumn id="68" xr3:uid="{F31C4EDB-1717-4EF0-982B-6D51DEFDD0D5}" name="PARTENARIAT : Nos interactions avec des partenaires externes sont suffisantes pour supporter ce changement" dataDxfId="30"/>
    <tableColumn id="69" xr3:uid="{71558607-63A0-4502-BA23-28CD8D9B629B}" name="Feedback - PARTENARIAT : Nos interactions avec des partenaires externes sont suffisantes pour supporter ce changement" dataDxfId="29"/>
    <tableColumn id="70" xr3:uid="{0F3AF031-C7E2-4314-AAD2-CE81FE8447F3}" name="Points - PARTENARIAT : Nos interactions avec des partenaires externes sont suffisantes pour supporter ce changement" dataDxfId="28"/>
    <tableColumn id="71" xr3:uid="{D3BA2E0A-B26B-4ABB-99DE-704B4CA68C0F}" name="Si la réponse comporte moins de 2 étoiles OUI, merci de préciser votre réponse dans le champs ci-dessous :11" dataDxfId="27"/>
    <tableColumn id="72" xr3:uid="{787A68FC-1462-4C86-A804-D626AC3B62BC}" name="Feedback - Si la réponse comporte moins de 2 étoiles OUI, merci de préciser votre réponse dans le champs ci-dessous :11" dataDxfId="26"/>
    <tableColumn id="73" xr3:uid="{4661C464-0A39-48B3-92C0-D92F220CA8E4}" name="Points - Si la réponse comporte moins de 2 étoiles OUI, merci de préciser votre réponse dans le champs ci-dessous :11" dataDxfId="25"/>
    <tableColumn id="74" xr3:uid="{2829D7F4-A356-499E-9288-EE7BBA345543}" name="SUPERVISION : Les instances de pilotage permettent de prendre des décisions rapides et efficaces" dataDxfId="24"/>
    <tableColumn id="75" xr3:uid="{9482ABCB-3CD3-4362-978D-8B701E282500}" name="Points - SUPERVISION : Les instances de pilotage permettent de prendre des décisions rapides et efficaces" dataDxfId="23"/>
    <tableColumn id="76" xr3:uid="{09DC50B3-ADC0-4A25-9627-65D96EB0875C}" name="Feedback - SUPERVISION : Les instances de pilotage permettent de prendre des décisions rapides et efficaces" dataDxfId="22"/>
    <tableColumn id="77" xr3:uid="{EB7CA697-0BCD-44E2-8FFA-787B37CA6521}" name="Si la réponse comporte moins de 2 étoiles OUI, merci de préciser votre réponse dans le champs ci-dessous :12" dataDxfId="21"/>
    <tableColumn id="78" xr3:uid="{5C206689-08A2-4D5C-92FD-55E63207AD37}" name="Points - Si la réponse comporte moins de 2 étoiles OUI, merci de préciser votre réponse dans le champs ci-dessous :12" dataDxfId="20"/>
    <tableColumn id="79" xr3:uid="{824F2033-E4E6-45EF-ABF2-C6C6A366EAF8}" name="Feedback - Si la réponse comporte moins de 2 étoiles OUI, merci de préciser votre réponse dans le champs ci-dessous :12" dataDxfId="19"/>
    <tableColumn id="80" xr3:uid="{85E50223-B693-40FC-BC4F-F5BA0E1B49C6}" name="RESSOURCES : Les ressources sont suffisantes pour absorber ce changement" dataDxfId="18"/>
    <tableColumn id="81" xr3:uid="{F1929B06-FEC4-4FAA-9A62-551BFC666100}" name="Points - RESSOURCES : Les ressources sont suffisantes pour absorber ce changement" dataDxfId="17"/>
    <tableColumn id="82" xr3:uid="{A19F929F-061E-421D-B8C5-D720D520DF1B}" name="Feedback - RESSOURCES : Les ressources sont suffisantes pour absorber ce changement" dataDxfId="16"/>
    <tableColumn id="83" xr3:uid="{57C3C885-81B8-43F8-B19A-0C6544691ED3}" name="Si la réponse comporte moins de 2 étoiles OUI, merci de préciser votre réponse dans le champs ci-dessous :13" dataDxfId="15"/>
    <tableColumn id="84" xr3:uid="{12F9F31E-CFDF-4EAD-920B-93BC60C5DAB4}" name="Points - Si la réponse comporte moins de 2 étoiles OUI, merci de préciser votre réponse dans le champs ci-dessous :13" dataDxfId="14"/>
    <tableColumn id="85" xr3:uid="{508A19FF-DB15-44D5-8C43-19364B341BC7}" name="Feedback - Si la réponse comporte moins de 2 étoiles OUI, merci de préciser votre réponse dans le champs ci-dessous :13" dataDxfId="13"/>
    <tableColumn id="86" xr3:uid="{03CA650F-5CBA-4330-9875-294433701893}" name="PORTFOLIO : Les interactions de ce projet avec les autres initiatives sont gérées correctement" dataDxfId="12"/>
    <tableColumn id="87" xr3:uid="{8CA3E07A-797F-4273-AF0B-B1B3A933E1D1}" name="Points - PORTFOLIO : Les interactions de ce projet avec les autres initiatives sont gérées correctement" dataDxfId="11"/>
    <tableColumn id="88" xr3:uid="{D7E3B9C2-CD09-4CBE-9F51-86724424756A}" name="Feedback - PORTFOLIO : Les interactions de ce projet avec les autres initiatives sont gérées correctement" dataDxfId="10"/>
    <tableColumn id="89" xr3:uid="{910770C3-1F79-40C0-BCB7-0D47BA0CBE2A}" name="Si la réponse comporte moins de 2 étoiles OUI, merci de préciser votre réponse dans le champs ci-dessous :14" dataDxfId="9"/>
    <tableColumn id="90" xr3:uid="{D5813297-E736-4CFB-B2EC-FD4BA867E55D}" name="Points - Si la réponse comporte moins de 2 étoiles OUI, merci de préciser votre réponse dans le champs ci-dessous :14" dataDxfId="8"/>
    <tableColumn id="91" xr3:uid="{3F4000B2-5D6E-48FB-892A-CD70DDF88E5F}" name="Feedback - Si la réponse comporte moins de 2 étoiles OUI, merci de préciser votre réponse dans le champs ci-dessous :14" dataDxfId="7"/>
    <tableColumn id="92" xr3:uid="{C5C8E933-E7DE-4EA9-AA39-C3B0EC9CFC81}" name="CHEMIN CRITIQUE : Les délais et ressources à travers de ce projet sont gérés efficacement" dataDxfId="6"/>
    <tableColumn id="93" xr3:uid="{2485AB6B-8B84-465D-86C3-90F7017A37BF}" name="Points - CHEMIN CRITIQUE : Les délais et ressources à travers de ce projet sont gérés efficacement" dataDxfId="5"/>
    <tableColumn id="94" xr3:uid="{76DEE66C-2CFA-4203-80D6-7C5E8131DE7D}" name="Feedback - CHEMIN CRITIQUE : Les délais et ressources à travers de ce projet sont gérés efficacement" dataDxfId="4"/>
    <tableColumn id="95" xr3:uid="{D338B483-02F1-4AE9-BDDE-0DE4D69A442C}" name="Si la réponse comporte moins de 2 étoiles OUI, merci de préciser votre réponse dans le champs ci-dessous :15" dataDxfId="3"/>
    <tableColumn id="96" xr3:uid="{9995B5D7-0818-494D-8D8E-62F5DDDEF51E}" name="Points - Si la réponse comporte moins de 2 étoiles OUI, merci de préciser votre réponse dans le champs ci-dessous :15" dataDxfId="2"/>
    <tableColumn id="97" xr3:uid="{9A98EA63-0B81-4118-8448-FB4D92040A3B}" name="Feedback - Si la réponse comporte moins de 2 étoiles OUI, merci de préciser votre réponse dans le champs ci-dessous :15" dataDxfId="1"/>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e1" displayName="Table1" ref="A5:CS32" totalsRowShown="0">
  <autoFilter ref="A5:CS32" xr:uid="{00000000-0009-0000-0100-000001000000}"/>
  <tableColumns count="97">
    <tableColumn id="1" xr3:uid="{00000000-0010-0000-0000-000001000000}" name="ID" dataDxfId="194"/>
    <tableColumn id="2" xr3:uid="{00000000-0010-0000-0000-000002000000}" name="Heure de début" dataDxfId="193"/>
    <tableColumn id="3" xr3:uid="{00000000-0010-0000-0000-000003000000}" name="Heure de fin" dataDxfId="192"/>
    <tableColumn id="4" xr3:uid="{00000000-0010-0000-0000-000004000000}" name="Adresse de messagerie" dataDxfId="191"/>
    <tableColumn id="5" xr3:uid="{00000000-0010-0000-0000-000005000000}" name="Nom" dataDxfId="190"/>
    <tableColumn id="6" xr3:uid="{00000000-0010-0000-0000-000006000000}" name="Total points" dataDxfId="189"/>
    <tableColumn id="7" xr3:uid="{00000000-0010-0000-0000-000007000000}" name="Quiz feedback" dataDxfId="188"/>
    <tableColumn id="8" xr3:uid="{00000000-0010-0000-0000-000008000000}" name="CLARTE : J'ai une vision claire de l’objectif final du programme" dataDxfId="187"/>
    <tableColumn id="9" xr3:uid="{00000000-0010-0000-0000-000009000000}" name="Points - CLARTE : J'ai une vision claire de l’objectif final du programme" dataDxfId="186"/>
    <tableColumn id="10" xr3:uid="{00000000-0010-0000-0000-00000A000000}" name="Feedback - CLARTE : J'ai une vision claire de l’objectif final du programme" dataDxfId="185"/>
    <tableColumn id="11" xr3:uid="{00000000-0010-0000-0000-00000B000000}" name="Si la réponse comporte moins de 2 étoiles OUI, merci de préciser votre réponse dans le champs ci-dessous :" dataDxfId="184"/>
    <tableColumn id="12" xr3:uid="{00000000-0010-0000-0000-00000C000000}" name="Points - Si la réponse comporte moins de 2 étoiles OUI, merci de préciser votre réponse dans le champs ci-dessous :" dataDxfId="183"/>
    <tableColumn id="13" xr3:uid="{00000000-0010-0000-0000-00000D000000}" name="Feedback - Si la réponse comporte moins de 2 étoiles OUI, merci de préciser votre réponse dans le champs ci-dessous :" dataDxfId="182"/>
    <tableColumn id="14" xr3:uid="{00000000-0010-0000-0000-00000E000000}" name="ALIGNEMENT : Je suis aligné sur l’objectif final du programme" dataDxfId="181"/>
    <tableColumn id="15" xr3:uid="{00000000-0010-0000-0000-00000F000000}" name="Points - ALIGNEMENT : Je suis aligné sur l’objectif final du programme" dataDxfId="180"/>
    <tableColumn id="16" xr3:uid="{00000000-0010-0000-0000-000010000000}" name="Feedback - ALIGNEMENT : Je suis aligné sur l’objectif final du programme" dataDxfId="179"/>
    <tableColumn id="17" xr3:uid="{00000000-0010-0000-0000-000011000000}" name="Si la réponse comporte moins de 2 étoiles OUI, merci de préciser votre réponse dans le champs ci-dessous :2" dataDxfId="178"/>
    <tableColumn id="18" xr3:uid="{00000000-0010-0000-0000-000012000000}" name="Points - Si la réponse comporte moins de 2 étoiles OUI, merci de préciser votre réponse dans le champs ci-dessous :2" dataDxfId="177"/>
    <tableColumn id="19" xr3:uid="{00000000-0010-0000-0000-000013000000}" name="Feedback - Si la réponse comporte moins de 2 étoiles OUI, merci de préciser votre réponse dans le champs ci-dessous :2" dataDxfId="176"/>
    <tableColumn id="20" xr3:uid="{00000000-0010-0000-0000-000014000000}" name="ENGAGEMENT  : Je supporte l’objectif du programme" dataDxfId="175"/>
    <tableColumn id="21" xr3:uid="{00000000-0010-0000-0000-000015000000}" name="Points - ENGAGEMENT  : Je supporte l’objectif du programme" dataDxfId="174"/>
    <tableColumn id="22" xr3:uid="{00000000-0010-0000-0000-000016000000}" name="Feedback - ENGAGEMENT  : Je supporte l’objectif du programme" dataDxfId="173"/>
    <tableColumn id="23" xr3:uid="{00000000-0010-0000-0000-000017000000}" name="Si la réponse comporte moins de 2 étoiles OUI, merci de préciser votre réponse dans le champs ci-dessous :3" dataDxfId="172"/>
    <tableColumn id="24" xr3:uid="{00000000-0010-0000-0000-000018000000}" name="Points - Si la réponse comporte moins de 2 étoiles OUI, merci de préciser votre réponse dans le champs ci-dessous :3" dataDxfId="171"/>
    <tableColumn id="25" xr3:uid="{00000000-0010-0000-0000-000019000000}" name="Feedback - Si la réponse comporte moins de 2 étoiles OUI, merci de préciser votre réponse dans le champs ci-dessous :3" dataDxfId="170"/>
    <tableColumn id="26" xr3:uid="{00000000-0010-0000-0000-00001A000000}" name="SOLUTION  : L’approche pour atteindre l’objectif du programme est solide" dataDxfId="169"/>
    <tableColumn id="27" xr3:uid="{00000000-0010-0000-0000-00001B000000}" name="Points - SOLUTION  : L’approche pour atteindre l’objectif du programme est solide" dataDxfId="168"/>
    <tableColumn id="28" xr3:uid="{00000000-0010-0000-0000-00001C000000}" name="Feedback - SOLUTION  : L’approche pour atteindre l’objectif du programme est solide" dataDxfId="167"/>
    <tableColumn id="29" xr3:uid="{00000000-0010-0000-0000-00001D000000}" name="Si la réponse comporte moins de 2 étoiles OUI, merci de préciser votre réponse dans le champs ci-dessous :4" dataDxfId="166"/>
    <tableColumn id="30" xr3:uid="{00000000-0010-0000-0000-00001E000000}" name="Points - Si la réponse comporte moins de 2 étoiles OUI, merci de préciser votre réponse dans le champs ci-dessous :4" dataDxfId="165"/>
    <tableColumn id="31" xr3:uid="{00000000-0010-0000-0000-00001F000000}" name="Feedback - Si la réponse comporte moins de 2 étoiles OUI, merci de préciser votre réponse dans le champs ci-dessous :4" dataDxfId="164"/>
    <tableColumn id="32" xr3:uid="{00000000-0010-0000-0000-000020000000}" name="INTEGRITE : Les objectifs initiaux du programme restent les mêmes" dataDxfId="163"/>
    <tableColumn id="33" xr3:uid="{00000000-0010-0000-0000-000021000000}" name="Points - INTEGRITE : Les objectifs initiaux du programme restent les mêmes" dataDxfId="162"/>
    <tableColumn id="34" xr3:uid="{00000000-0010-0000-0000-000022000000}" name="Feedback - INTEGRITE : Les objectifs initiaux du programme restent les mêmes" dataDxfId="161"/>
    <tableColumn id="35" xr3:uid="{00000000-0010-0000-0000-000023000000}" name="Si la réponse comporte moins de 2 étoiles OUI, merci de préciser votre réponse dans le champs ci-dessous :5" dataDxfId="160"/>
    <tableColumn id="36" xr3:uid="{00000000-0010-0000-0000-000024000000}" name="Points - Si la réponse comporte moins de 2 étoiles OUI, merci de préciser votre réponse dans le champs ci-dessous :5" dataDxfId="159"/>
    <tableColumn id="37" xr3:uid="{00000000-0010-0000-0000-000025000000}" name="Feedback - Si la réponse comporte moins de 2 étoiles OUI, merci de préciser votre réponse dans le champs ci-dessous :5" dataDxfId="158"/>
    <tableColumn id="38" xr3:uid="{00000000-0010-0000-0000-000026000000}" name="SPONSORSHIP  : Les leaders fournissent le niveau de sponsorship suffisant pour supporter le programme" dataDxfId="157"/>
    <tableColumn id="39" xr3:uid="{00000000-0010-0000-0000-000027000000}" name="Points - SPONSORSHIP  : Les leaders fournissent le niveau de sponsorship suffisant pour supporter le programme" dataDxfId="156"/>
    <tableColumn id="40" xr3:uid="{00000000-0010-0000-0000-000028000000}" name="Feedback - SPONSORSHIP  : Les leaders fournissent le niveau de sponsorship suffisant pour supporter le programme" dataDxfId="155"/>
    <tableColumn id="41" xr3:uid="{00000000-0010-0000-0000-000029000000}" name="Si la réponse comporte moins de 2 étoiles OUI, merci de préciser votre réponse dans le champs ci-dessous :6" dataDxfId="154"/>
    <tableColumn id="42" xr3:uid="{00000000-0010-0000-0000-00002A000000}" name="Points - Si la réponse comporte moins de 2 étoiles OUI, merci de préciser votre réponse dans le champs ci-dessous :6" dataDxfId="153"/>
    <tableColumn id="43" xr3:uid="{00000000-0010-0000-0000-00002B000000}" name="Feedback - Si la réponse comporte moins de 2 étoiles OUI, merci de préciser votre réponse dans le champs ci-dessous :6" dataDxfId="152"/>
    <tableColumn id="44" xr3:uid="{00000000-0010-0000-0000-00002C000000}" name="CAPACITE : Ce changement entraine une charge de travail que nous pouvons absorber sur le site" dataDxfId="151"/>
    <tableColumn id="45" xr3:uid="{00000000-0010-0000-0000-00002D000000}" name="Points - CAPACITE : Ce changement entraine une charge de travail que nous pouvons absorber sur le site" dataDxfId="150"/>
    <tableColumn id="46" xr3:uid="{00000000-0010-0000-0000-00002E000000}" name="Feedback - CAPACITE : Ce changement entraine une charge de travail que nous pouvons absorber sur le site" dataDxfId="149"/>
    <tableColumn id="47" xr3:uid="{00000000-0010-0000-0000-00002F000000}" name="Si la réponse comporte moins de 2 étoiles OUI, merci de préciser votre réponse dans le champs ci-dessous :7" dataDxfId="148"/>
    <tableColumn id="48" xr3:uid="{00000000-0010-0000-0000-000030000000}" name="Points - Si la réponse comporte moins de 2 étoiles OUI, merci de préciser votre réponse dans le champs ci-dessous :7" dataDxfId="147"/>
    <tableColumn id="49" xr3:uid="{00000000-0010-0000-0000-000031000000}" name="Feedback - Si la réponse comporte moins de 2 étoiles OUI, merci de préciser votre réponse dans le champs ci-dessous :7" dataDxfId="146"/>
    <tableColumn id="50" xr3:uid="{00000000-0010-0000-0000-000032000000}" name="CULTURE  : Nous avons la culture appropriée pour absorber ce changement" dataDxfId="145"/>
    <tableColumn id="51" xr3:uid="{00000000-0010-0000-0000-000033000000}" name="Points - CULTURE  : Nous avons la culture appropriée pour absorber ce changement" dataDxfId="144"/>
    <tableColumn id="52" xr3:uid="{00000000-0010-0000-0000-000034000000}" name="Feedback - CULTURE  : Nous avons la culture appropriée pour absorber ce changement" dataDxfId="143"/>
    <tableColumn id="53" xr3:uid="{00000000-0010-0000-0000-000035000000}" name="Si la réponse comporte moins de 2 étoiles OUI, merci de préciser votre réponse dans le champs ci-dessous :8" dataDxfId="142"/>
    <tableColumn id="54" xr3:uid="{00000000-0010-0000-0000-000036000000}" name="Feedback - Si la réponse comporte moins de 2 étoiles OUI, merci de préciser votre réponse dans le champs ci-dessous :8" dataDxfId="141"/>
    <tableColumn id="55" xr3:uid="{00000000-0010-0000-0000-000037000000}" name="Points - Si la réponse comporte moins de 2 étoiles OUI, merci de préciser votre réponse dans le champs ci-dessous :8" dataDxfId="140"/>
    <tableColumn id="56" xr3:uid="{00000000-0010-0000-0000-000038000000}" name="RESISTANCE  : Les personnes impactées par ce changement démontrent l'engagement nécessaire pour réussir sa mise en place" dataDxfId="139"/>
    <tableColumn id="57" xr3:uid="{00000000-0010-0000-0000-000039000000}" name="Feedback - RESISTANCE  : Les personnes impactées par ce changement démontrent l'engagement nécessaire pour réussir sa mise en place" dataDxfId="138"/>
    <tableColumn id="58" xr3:uid="{00000000-0010-0000-0000-00003A000000}" name="Points - RESISTANCE  : Les personnes impactées par ce changement démontrent l'engagement nécessaire pour réussir sa mise en place" dataDxfId="137"/>
    <tableColumn id="59" xr3:uid="{00000000-0010-0000-0000-00003B000000}" name="Si la réponse comporte moins de 2 étoiles OUI, merci de préciser votre réponse dans le champs ci-dessous :9" dataDxfId="136"/>
    <tableColumn id="60" xr3:uid="{00000000-0010-0000-0000-00003C000000}" name="Feedback - Si la réponse comporte moins de 2 étoiles OUI, merci de préciser votre réponse dans le champs ci-dessous :9" dataDxfId="135"/>
    <tableColumn id="61" xr3:uid="{00000000-0010-0000-0000-00003D000000}" name="Points - Si la réponse comporte moins de 2 étoiles OUI, merci de préciser votre réponse dans le champs ci-dessous :9" dataDxfId="134"/>
    <tableColumn id="62" xr3:uid="{00000000-0010-0000-0000-00003E000000}" name="SYNERGIE : Nos efforts de collaboration pour ce projet nous font gagner du temps plus qu’il n’en coute" dataDxfId="133"/>
    <tableColumn id="63" xr3:uid="{00000000-0010-0000-0000-00003F000000}" name="Feedback - SYNERGIE : Nos efforts de collaboration pour ce projet nous font gagner du temps plus qu’il n’en coute" dataDxfId="132"/>
    <tableColumn id="64" xr3:uid="{00000000-0010-0000-0000-000040000000}" name="Points - SYNERGIE : Nos efforts de collaboration pour ce projet nous font gagner du temps plus qu’il n’en coute" dataDxfId="131"/>
    <tableColumn id="65" xr3:uid="{00000000-0010-0000-0000-000041000000}" name="Si la réponse comporte moins de 2 étoiles OUI, merci de préciser votre réponse dans le champs ci-dessous :10" dataDxfId="130"/>
    <tableColumn id="66" xr3:uid="{00000000-0010-0000-0000-000042000000}" name="Feedback - Si la réponse comporte moins de 2 étoiles OUI, merci de préciser votre réponse dans le champs ci-dessous :10" dataDxfId="129"/>
    <tableColumn id="67" xr3:uid="{00000000-0010-0000-0000-000043000000}" name="Points - Si la réponse comporte moins de 2 étoiles OUI, merci de préciser votre réponse dans le champs ci-dessous :10" dataDxfId="128"/>
    <tableColumn id="68" xr3:uid="{00000000-0010-0000-0000-000044000000}" name="PARTENARIAT : Nos interactions avec des partenaires externes sont suffisantes pour supporter ce changement" dataDxfId="127"/>
    <tableColumn id="69" xr3:uid="{00000000-0010-0000-0000-000045000000}" name="Feedback - PARTENARIAT : Nos interactions avec des partenaires externes sont suffisantes pour supporter ce changement" dataDxfId="126"/>
    <tableColumn id="70" xr3:uid="{00000000-0010-0000-0000-000046000000}" name="Points - PARTENARIAT : Nos interactions avec des partenaires externes sont suffisantes pour supporter ce changement" dataDxfId="125"/>
    <tableColumn id="71" xr3:uid="{00000000-0010-0000-0000-000047000000}" name="Si la réponse comporte moins de 2 étoiles OUI, merci de préciser votre réponse dans le champs ci-dessous :11" dataDxfId="124"/>
    <tableColumn id="72" xr3:uid="{00000000-0010-0000-0000-000048000000}" name="Feedback - Si la réponse comporte moins de 2 étoiles OUI, merci de préciser votre réponse dans le champs ci-dessous :11" dataDxfId="123"/>
    <tableColumn id="73" xr3:uid="{00000000-0010-0000-0000-000049000000}" name="Points - Si la réponse comporte moins de 2 étoiles OUI, merci de préciser votre réponse dans le champs ci-dessous :11" dataDxfId="122"/>
    <tableColumn id="74" xr3:uid="{00000000-0010-0000-0000-00004A000000}" name="SUPERVISION : Les instances de pilotage permettent de prendre des décisions rapides et efficaces" dataDxfId="121"/>
    <tableColumn id="75" xr3:uid="{00000000-0010-0000-0000-00004B000000}" name="Points - SUPERVISION : Les instances de pilotage permettent de prendre des décisions rapides et efficaces" dataDxfId="120"/>
    <tableColumn id="76" xr3:uid="{00000000-0010-0000-0000-00004C000000}" name="Feedback - SUPERVISION : Les instances de pilotage permettent de prendre des décisions rapides et efficaces" dataDxfId="119"/>
    <tableColumn id="77" xr3:uid="{00000000-0010-0000-0000-00004D000000}" name="Si la réponse comporte moins de 2 étoiles OUI, merci de préciser votre réponse dans le champs ci-dessous :12" dataDxfId="118"/>
    <tableColumn id="78" xr3:uid="{00000000-0010-0000-0000-00004E000000}" name="Points - Si la réponse comporte moins de 2 étoiles OUI, merci de préciser votre réponse dans le champs ci-dessous :12" dataDxfId="117"/>
    <tableColumn id="79" xr3:uid="{00000000-0010-0000-0000-00004F000000}" name="Feedback - Si la réponse comporte moins de 2 étoiles OUI, merci de préciser votre réponse dans le champs ci-dessous :12" dataDxfId="116"/>
    <tableColumn id="80" xr3:uid="{00000000-0010-0000-0000-000050000000}" name="RESSOURCES : Les ressources sont suffisantes pour absorber ce changement" dataDxfId="115"/>
    <tableColumn id="81" xr3:uid="{00000000-0010-0000-0000-000051000000}" name="Points - RESSOURCES : Les ressources sont suffisantes pour absorber ce changement" dataDxfId="114"/>
    <tableColumn id="82" xr3:uid="{00000000-0010-0000-0000-000052000000}" name="Feedback - RESSOURCES : Les ressources sont suffisantes pour absorber ce changement" dataDxfId="113"/>
    <tableColumn id="83" xr3:uid="{00000000-0010-0000-0000-000053000000}" name="Si la réponse comporte moins de 2 étoiles OUI, merci de préciser votre réponse dans le champs ci-dessous :13" dataDxfId="112"/>
    <tableColumn id="84" xr3:uid="{00000000-0010-0000-0000-000054000000}" name="Points - Si la réponse comporte moins de 2 étoiles OUI, merci de préciser votre réponse dans le champs ci-dessous :13" dataDxfId="111"/>
    <tableColumn id="85" xr3:uid="{00000000-0010-0000-0000-000055000000}" name="Feedback - Si la réponse comporte moins de 2 étoiles OUI, merci de préciser votre réponse dans le champs ci-dessous :13" dataDxfId="110"/>
    <tableColumn id="86" xr3:uid="{00000000-0010-0000-0000-000056000000}" name="PORTFOLIO : Les interactions de ce projet avec les autres initiatives sont gérées correctement" dataDxfId="109"/>
    <tableColumn id="87" xr3:uid="{00000000-0010-0000-0000-000057000000}" name="Points - PORTFOLIO : Les interactions de ce projet avec les autres initiatives sont gérées correctement" dataDxfId="108"/>
    <tableColumn id="88" xr3:uid="{00000000-0010-0000-0000-000058000000}" name="Feedback - PORTFOLIO : Les interactions de ce projet avec les autres initiatives sont gérées correctement" dataDxfId="107"/>
    <tableColumn id="89" xr3:uid="{00000000-0010-0000-0000-000059000000}" name="Si la réponse comporte moins de 2 étoiles OUI, merci de préciser votre réponse dans le champs ci-dessous :14" dataDxfId="106"/>
    <tableColumn id="90" xr3:uid="{00000000-0010-0000-0000-00005A000000}" name="Points - Si la réponse comporte moins de 2 étoiles OUI, merci de préciser votre réponse dans le champs ci-dessous :14" dataDxfId="105"/>
    <tableColumn id="91" xr3:uid="{00000000-0010-0000-0000-00005B000000}" name="Feedback - Si la réponse comporte moins de 2 étoiles OUI, merci de préciser votre réponse dans le champs ci-dessous :14" dataDxfId="104"/>
    <tableColumn id="92" xr3:uid="{00000000-0010-0000-0000-00005C000000}" name="CHEMIN CRITIQUE : Les délais et ressources à travers de ce projet sont gérés efficacement" dataDxfId="103"/>
    <tableColumn id="93" xr3:uid="{00000000-0010-0000-0000-00005D000000}" name="Points - CHEMIN CRITIQUE : Les délais et ressources à travers de ce projet sont gérés efficacement" dataDxfId="102"/>
    <tableColumn id="94" xr3:uid="{00000000-0010-0000-0000-00005E000000}" name="Feedback - CHEMIN CRITIQUE : Les délais et ressources à travers de ce projet sont gérés efficacement" dataDxfId="101"/>
    <tableColumn id="95" xr3:uid="{00000000-0010-0000-0000-00005F000000}" name="Si la réponse comporte moins de 2 étoiles OUI, merci de préciser votre réponse dans le champs ci-dessous :15" dataDxfId="100"/>
    <tableColumn id="96" xr3:uid="{00000000-0010-0000-0000-000060000000}" name="Points - Si la réponse comporte moins de 2 étoiles OUI, merci de préciser votre réponse dans le champs ci-dessous :15" dataDxfId="99"/>
    <tableColumn id="97" xr3:uid="{00000000-0010-0000-0000-000061000000}" name="Feedback - Si la réponse comporte moins de 2 étoiles OUI, merci de préciser votre réponse dans le champs ci-dessous :15" dataDxfId="98"/>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F6AC5A-36AC-42CE-8935-EF40B84F1EC0}">
  <sheetPr codeName="Blad2"/>
  <dimension ref="A1:CS12"/>
  <sheetViews>
    <sheetView workbookViewId="0">
      <selection sqref="A1:CS4"/>
    </sheetView>
  </sheetViews>
  <sheetFormatPr defaultColWidth="9.140625" defaultRowHeight="15" x14ac:dyDescent="0.25"/>
  <cols>
    <col min="1" max="1" width="5.140625" bestFit="1" customWidth="1"/>
    <col min="2" max="2" width="17.28515625" bestFit="1" customWidth="1"/>
    <col min="3" max="3" width="15.42578125" bestFit="1" customWidth="1"/>
    <col min="4" max="4" width="24.140625" bestFit="1" customWidth="1"/>
    <col min="5" max="5" width="7.5703125" bestFit="1" customWidth="1"/>
    <col min="6" max="6" width="13.7109375" bestFit="1" customWidth="1"/>
    <col min="7" max="7" width="16" bestFit="1" customWidth="1"/>
    <col min="8" max="8" width="59.42578125" bestFit="1" customWidth="1"/>
    <col min="9" max="9" width="66.85546875" bestFit="1" customWidth="1"/>
    <col min="10" max="10" width="69.85546875" bestFit="1" customWidth="1"/>
    <col min="11" max="11" width="100.7109375" bestFit="1" customWidth="1"/>
    <col min="12" max="12" width="108.140625" bestFit="1" customWidth="1"/>
    <col min="13" max="13" width="111.140625" bestFit="1" customWidth="1"/>
    <col min="14" max="14" width="59.140625" bestFit="1" customWidth="1"/>
    <col min="15" max="15" width="66.5703125" bestFit="1" customWidth="1"/>
    <col min="16" max="16" width="69.5703125" bestFit="1" customWidth="1"/>
    <col min="17" max="17" width="101.7109375" bestFit="1" customWidth="1"/>
    <col min="18" max="18" width="109.140625" bestFit="1" customWidth="1"/>
    <col min="19" max="19" width="112.140625" bestFit="1" customWidth="1"/>
    <col min="20" max="20" width="51.42578125" bestFit="1" customWidth="1"/>
    <col min="21" max="21" width="58.85546875" bestFit="1" customWidth="1"/>
    <col min="22" max="22" width="61.85546875" bestFit="1" customWidth="1"/>
    <col min="23" max="23" width="101.7109375" bestFit="1" customWidth="1"/>
    <col min="24" max="24" width="109.140625" bestFit="1" customWidth="1"/>
    <col min="25" max="25" width="112.140625" bestFit="1" customWidth="1"/>
    <col min="26" max="26" width="70.140625" bestFit="1" customWidth="1"/>
    <col min="27" max="27" width="77.5703125" bestFit="1" customWidth="1"/>
    <col min="28" max="28" width="80.42578125" bestFit="1" customWidth="1"/>
    <col min="29" max="29" width="101.7109375" bestFit="1" customWidth="1"/>
    <col min="30" max="30" width="109.140625" bestFit="1" customWidth="1"/>
    <col min="31" max="31" width="112.140625" bestFit="1" customWidth="1"/>
    <col min="32" max="32" width="64" bestFit="1" customWidth="1"/>
    <col min="33" max="33" width="71.42578125" bestFit="1" customWidth="1"/>
    <col min="34" max="34" width="74.42578125" bestFit="1" customWidth="1"/>
    <col min="35" max="35" width="101.7109375" bestFit="1" customWidth="1"/>
    <col min="36" max="36" width="109.140625" bestFit="1" customWidth="1"/>
    <col min="37" max="37" width="112.140625" bestFit="1" customWidth="1"/>
    <col min="38" max="38" width="98.28515625" bestFit="1" customWidth="1"/>
    <col min="39" max="39" width="105.5703125" bestFit="1" customWidth="1"/>
    <col min="40" max="40" width="108.5703125" bestFit="1" customWidth="1"/>
    <col min="41" max="41" width="101.7109375" bestFit="1" customWidth="1"/>
    <col min="42" max="42" width="109.140625" bestFit="1" customWidth="1"/>
    <col min="43" max="43" width="112.140625" bestFit="1" customWidth="1"/>
    <col min="44" max="44" width="90.42578125" bestFit="1" customWidth="1"/>
    <col min="45" max="45" width="97.7109375" bestFit="1" customWidth="1"/>
    <col min="46" max="46" width="100.7109375" bestFit="1" customWidth="1"/>
    <col min="47" max="47" width="101.7109375" bestFit="1" customWidth="1"/>
    <col min="48" max="48" width="109.140625" bestFit="1" customWidth="1"/>
    <col min="49" max="49" width="112.140625" bestFit="1" customWidth="1"/>
    <col min="50" max="50" width="71" bestFit="1" customWidth="1"/>
    <col min="51" max="51" width="78.42578125" bestFit="1" customWidth="1"/>
    <col min="52" max="52" width="81.28515625" bestFit="1" customWidth="1"/>
    <col min="53" max="53" width="101.7109375" bestFit="1" customWidth="1"/>
    <col min="54" max="54" width="112.140625" bestFit="1" customWidth="1"/>
    <col min="55" max="55" width="109.140625" bestFit="1" customWidth="1"/>
    <col min="56" max="56" width="118.140625" bestFit="1" customWidth="1"/>
    <col min="57" max="57" width="128.5703125" bestFit="1" customWidth="1"/>
    <col min="58" max="58" width="125.5703125" bestFit="1" customWidth="1"/>
    <col min="59" max="59" width="101.7109375" bestFit="1" customWidth="1"/>
    <col min="60" max="60" width="112.140625" bestFit="1" customWidth="1"/>
    <col min="61" max="61" width="109.140625" bestFit="1" customWidth="1"/>
    <col min="62" max="62" width="96.28515625" bestFit="1" customWidth="1"/>
    <col min="63" max="63" width="106.7109375" bestFit="1" customWidth="1"/>
    <col min="64" max="64" width="103.7109375" bestFit="1" customWidth="1"/>
    <col min="65" max="65" width="102.85546875" bestFit="1" customWidth="1"/>
    <col min="66" max="66" width="113.140625" bestFit="1" customWidth="1"/>
    <col min="67" max="67" width="110.140625" bestFit="1" customWidth="1"/>
    <col min="68" max="68" width="103.42578125" bestFit="1" customWidth="1"/>
    <col min="69" max="69" width="113.7109375" bestFit="1" customWidth="1"/>
    <col min="70" max="70" width="110.85546875" bestFit="1" customWidth="1"/>
    <col min="71" max="71" width="102.85546875" bestFit="1" customWidth="1"/>
    <col min="72" max="72" width="113.140625" bestFit="1" customWidth="1"/>
    <col min="73" max="73" width="110.140625" bestFit="1" customWidth="1"/>
    <col min="74" max="74" width="92.28515625" bestFit="1" customWidth="1"/>
    <col min="75" max="75" width="99.7109375" bestFit="1" customWidth="1"/>
    <col min="76" max="76" width="102.7109375" bestFit="1" customWidth="1"/>
    <col min="77" max="77" width="102.85546875" bestFit="1" customWidth="1"/>
    <col min="78" max="78" width="110.140625" bestFit="1" customWidth="1"/>
    <col min="79" max="79" width="113.140625" bestFit="1" customWidth="1"/>
    <col min="80" max="80" width="71.85546875" bestFit="1" customWidth="1"/>
    <col min="81" max="81" width="79.28515625" bestFit="1" customWidth="1"/>
    <col min="82" max="82" width="82.28515625" bestFit="1" customWidth="1"/>
    <col min="83" max="83" width="102.85546875" bestFit="1" customWidth="1"/>
    <col min="84" max="84" width="110.140625" bestFit="1" customWidth="1"/>
    <col min="85" max="85" width="113.140625" bestFit="1" customWidth="1"/>
    <col min="86" max="86" width="88" bestFit="1" customWidth="1"/>
    <col min="87" max="87" width="95.42578125" bestFit="1" customWidth="1"/>
    <col min="88" max="88" width="98.42578125" bestFit="1" customWidth="1"/>
    <col min="89" max="89" width="102.85546875" bestFit="1" customWidth="1"/>
    <col min="90" max="90" width="110.140625" bestFit="1" customWidth="1"/>
    <col min="91" max="91" width="113.140625" bestFit="1" customWidth="1"/>
    <col min="92" max="92" width="84.5703125" bestFit="1" customWidth="1"/>
    <col min="93" max="93" width="92" bestFit="1" customWidth="1"/>
    <col min="94" max="94" width="95" bestFit="1" customWidth="1"/>
    <col min="95" max="95" width="102.85546875" bestFit="1" customWidth="1"/>
    <col min="96" max="96" width="110.140625" bestFit="1" customWidth="1"/>
    <col min="97" max="97" width="113.140625" bestFit="1" customWidth="1"/>
  </cols>
  <sheetData>
    <row r="1" spans="1:97" x14ac:dyDescent="0.25">
      <c r="A1">
        <f>AVERAGE(Table13[ID])</f>
        <v>4</v>
      </c>
      <c r="B1">
        <f>AVERAGE(Table13[Heure de début])</f>
        <v>44901.577083333337</v>
      </c>
      <c r="C1">
        <f>AVERAGE(Table13[Heure de fin])</f>
        <v>44901.60087962963</v>
      </c>
      <c r="D1" t="e">
        <f>AVERAGE(Table13[Adresse de messagerie])</f>
        <v>#DIV/0!</v>
      </c>
      <c r="E1" t="e">
        <f>AVERAGE(Table13[Nom])</f>
        <v>#DIV/0!</v>
      </c>
      <c r="F1" t="e">
        <f>AVERAGE(Table13[Total points])</f>
        <v>#DIV/0!</v>
      </c>
      <c r="G1" t="e">
        <f>AVERAGE(Table13[Quiz feedback])</f>
        <v>#DIV/0!</v>
      </c>
      <c r="H1">
        <f>AVERAGE(Table13[CLARTE : J''ai une vision claire de l’objectif final du programme])</f>
        <v>5</v>
      </c>
      <c r="I1" t="e">
        <f>AVERAGE(Table13[Points - CLARTE : J''ai une vision claire de l’objectif final du programme])</f>
        <v>#DIV/0!</v>
      </c>
      <c r="J1" t="e">
        <f>AVERAGE(Table13[Feedback - CLARTE : J''ai une vision claire de l’objectif final du programme])</f>
        <v>#DIV/0!</v>
      </c>
      <c r="K1" t="e">
        <f>AVERAGE(Table13[Si la réponse comporte moins de 2 étoiles OUI, merci de préciser votre réponse dans le champs ci-dessous :])</f>
        <v>#DIV/0!</v>
      </c>
      <c r="L1" t="e">
        <f>AVERAGE(Table13[Points - Si la réponse comporte moins de 2 étoiles OUI, merci de préciser votre réponse dans le champs ci-dessous :])</f>
        <v>#DIV/0!</v>
      </c>
      <c r="M1" t="e">
        <f>AVERAGE(Table13[Feedback - Si la réponse comporte moins de 2 étoiles OUI, merci de préciser votre réponse dans le champs ci-dessous :])</f>
        <v>#DIV/0!</v>
      </c>
      <c r="N1">
        <f>AVERAGE(Table13[ALIGNEMENT : Je suis aligné sur l’objectif final du programme])</f>
        <v>5</v>
      </c>
      <c r="O1" t="e">
        <f>AVERAGE(Table13[Points - ALIGNEMENT : Je suis aligné sur l’objectif final du programme])</f>
        <v>#DIV/0!</v>
      </c>
      <c r="P1" t="e">
        <f>AVERAGE(Table13[Feedback - ALIGNEMENT : Je suis aligné sur l’objectif final du programme])</f>
        <v>#DIV/0!</v>
      </c>
      <c r="Q1" t="e">
        <f>AVERAGE(Table13[Si la réponse comporte moins de 2 étoiles OUI, merci de préciser votre réponse dans le champs ci-dessous :2])</f>
        <v>#DIV/0!</v>
      </c>
      <c r="R1" t="e">
        <f>AVERAGE(Table13[Points - Si la réponse comporte moins de 2 étoiles OUI, merci de préciser votre réponse dans le champs ci-dessous :2])</f>
        <v>#DIV/0!</v>
      </c>
      <c r="S1" t="e">
        <f>AVERAGE(Table13[Feedback - Si la réponse comporte moins de 2 étoiles OUI, merci de préciser votre réponse dans le champs ci-dessous :2])</f>
        <v>#DIV/0!</v>
      </c>
      <c r="T1">
        <f>AVERAGE(Table13[ENGAGEMENT  : Je supporte l’objectif du programme])</f>
        <v>5</v>
      </c>
      <c r="U1" t="e">
        <f>AVERAGE(Table13[Points - ENGAGEMENT  : Je supporte l’objectif du programme])</f>
        <v>#DIV/0!</v>
      </c>
      <c r="V1" t="e">
        <f>AVERAGE(Table13[Feedback - ENGAGEMENT  : Je supporte l’objectif du programme])</f>
        <v>#DIV/0!</v>
      </c>
      <c r="W1" t="e">
        <f>AVERAGE(Table13[Si la réponse comporte moins de 2 étoiles OUI, merci de préciser votre réponse dans le champs ci-dessous :3])</f>
        <v>#DIV/0!</v>
      </c>
      <c r="X1" t="e">
        <f>AVERAGE(Table13[Points - Si la réponse comporte moins de 2 étoiles OUI, merci de préciser votre réponse dans le champs ci-dessous :3])</f>
        <v>#DIV/0!</v>
      </c>
      <c r="Y1" t="e">
        <f>AVERAGE(Table13[Feedback - Si la réponse comporte moins de 2 étoiles OUI, merci de préciser votre réponse dans le champs ci-dessous :3])</f>
        <v>#DIV/0!</v>
      </c>
      <c r="Z1">
        <f>AVERAGE(Table13[SOLUTION  : L’approche pour atteindre l’objectif du programme est solide])</f>
        <v>4.7142857142857144</v>
      </c>
      <c r="AA1" t="e">
        <f>AVERAGE(Table13[Points - SOLUTION  : L’approche pour atteindre l’objectif du programme est solide])</f>
        <v>#DIV/0!</v>
      </c>
      <c r="AB1" t="e">
        <f>AVERAGE(Table13[Feedback - SOLUTION  : L’approche pour atteindre l’objectif du programme est solide])</f>
        <v>#DIV/0!</v>
      </c>
      <c r="AC1" t="e">
        <f>AVERAGE(Table13[Si la réponse comporte moins de 2 étoiles OUI, merci de préciser votre réponse dans le champs ci-dessous :4])</f>
        <v>#DIV/0!</v>
      </c>
      <c r="AD1" t="e">
        <f>AVERAGE(Table13[Points - Si la réponse comporte moins de 2 étoiles OUI, merci de préciser votre réponse dans le champs ci-dessous :4])</f>
        <v>#DIV/0!</v>
      </c>
      <c r="AE1" t="e">
        <f>AVERAGE(Table13[Feedback - Si la réponse comporte moins de 2 étoiles OUI, merci de préciser votre réponse dans le champs ci-dessous :4])</f>
        <v>#DIV/0!</v>
      </c>
      <c r="AF1">
        <f>AVERAGE(Table13[INTEGRITE : Les objectifs initiaux du programme restent les mêmes])</f>
        <v>5</v>
      </c>
      <c r="AG1" t="e">
        <f>AVERAGE(Table13[Points - INTEGRITE : Les objectifs initiaux du programme restent les mêmes])</f>
        <v>#DIV/0!</v>
      </c>
      <c r="AH1" t="e">
        <f>AVERAGE(Table13[Feedback - INTEGRITE : Les objectifs initiaux du programme restent les mêmes])</f>
        <v>#DIV/0!</v>
      </c>
      <c r="AI1" t="e">
        <f>AVERAGE(Table13[Si la réponse comporte moins de 2 étoiles OUI, merci de préciser votre réponse dans le champs ci-dessous :5])</f>
        <v>#DIV/0!</v>
      </c>
      <c r="AJ1" t="e">
        <f>AVERAGE(Table13[Points - Si la réponse comporte moins de 2 étoiles OUI, merci de préciser votre réponse dans le champs ci-dessous :5])</f>
        <v>#DIV/0!</v>
      </c>
      <c r="AK1" t="e">
        <f>AVERAGE(Table13[Feedback - Si la réponse comporte moins de 2 étoiles OUI, merci de préciser votre réponse dans le champs ci-dessous :5])</f>
        <v>#DIV/0!</v>
      </c>
      <c r="AL1">
        <f>AVERAGE(Table13[SPONSORSHIP  : Les leaders fournissent le niveau de sponsorship suffisant pour supporter le programme])</f>
        <v>4.7142857142857144</v>
      </c>
      <c r="AM1" t="e">
        <f>AVERAGE(Table13[Points - SPONSORSHIP  : Les leaders fournissent le niveau de sponsorship suffisant pour supporter le programme])</f>
        <v>#DIV/0!</v>
      </c>
      <c r="AN1" t="e">
        <f>AVERAGE(Table13[Feedback - SPONSORSHIP  : Les leaders fournissent le niveau de sponsorship suffisant pour supporter le programme])</f>
        <v>#DIV/0!</v>
      </c>
      <c r="AO1" t="e">
        <f>AVERAGE(Table13[Si la réponse comporte moins de 2 étoiles OUI, merci de préciser votre réponse dans le champs ci-dessous :6])</f>
        <v>#DIV/0!</v>
      </c>
      <c r="AP1" t="e">
        <f>AVERAGE(Table13[Points - Si la réponse comporte moins de 2 étoiles OUI, merci de préciser votre réponse dans le champs ci-dessous :6])</f>
        <v>#DIV/0!</v>
      </c>
      <c r="AQ1" t="e">
        <f>AVERAGE(Table13[Feedback - Si la réponse comporte moins de 2 étoiles OUI, merci de préciser votre réponse dans le champs ci-dessous :6])</f>
        <v>#DIV/0!</v>
      </c>
      <c r="AR1">
        <f>AVERAGE(Table13[CAPACITE : Ce changement entraine une charge de travail que nous pouvons absorber sur le site])</f>
        <v>4.4285714285714288</v>
      </c>
      <c r="AS1" t="e">
        <f>AVERAGE(Table13[Points - CAPACITE : Ce changement entraine une charge de travail que nous pouvons absorber sur le site])</f>
        <v>#DIV/0!</v>
      </c>
      <c r="AT1" t="e">
        <f>AVERAGE(Table13[Feedback - CAPACITE : Ce changement entraine une charge de travail que nous pouvons absorber sur le site])</f>
        <v>#DIV/0!</v>
      </c>
      <c r="AU1" t="e">
        <f>AVERAGE(Table13[Si la réponse comporte moins de 2 étoiles OUI, merci de préciser votre réponse dans le champs ci-dessous :7])</f>
        <v>#DIV/0!</v>
      </c>
      <c r="AV1" t="e">
        <f>AVERAGE(Table13[Points - Si la réponse comporte moins de 2 étoiles OUI, merci de préciser votre réponse dans le champs ci-dessous :7])</f>
        <v>#DIV/0!</v>
      </c>
      <c r="AW1" t="e">
        <f>AVERAGE(Table13[Feedback - Si la réponse comporte moins de 2 étoiles OUI, merci de préciser votre réponse dans le champs ci-dessous :7])</f>
        <v>#DIV/0!</v>
      </c>
      <c r="AX1">
        <f>AVERAGE(Table13[CULTURE  : Nous avons la culture appropriée pour absorber ce changement])</f>
        <v>3.7142857142857144</v>
      </c>
      <c r="AY1" t="e">
        <f>AVERAGE(Table13[Points - CULTURE  : Nous avons la culture appropriée pour absorber ce changement])</f>
        <v>#DIV/0!</v>
      </c>
      <c r="AZ1" t="e">
        <f>AVERAGE(Table13[Feedback - CULTURE  : Nous avons la culture appropriée pour absorber ce changement])</f>
        <v>#DIV/0!</v>
      </c>
      <c r="BA1" t="e">
        <f>AVERAGE(Table13[Si la réponse comporte moins de 2 étoiles OUI, merci de préciser votre réponse dans le champs ci-dessous :8])</f>
        <v>#DIV/0!</v>
      </c>
      <c r="BB1" t="e">
        <f>AVERAGE(Table13[Feedback - Si la réponse comporte moins de 2 étoiles OUI, merci de préciser votre réponse dans le champs ci-dessous :8])</f>
        <v>#DIV/0!</v>
      </c>
      <c r="BC1" t="e">
        <f>AVERAGE(Table13[Points - Si la réponse comporte moins de 2 étoiles OUI, merci de préciser votre réponse dans le champs ci-dessous :8])</f>
        <v>#DIV/0!</v>
      </c>
      <c r="BD1">
        <f>AVERAGE(Table13[RESISTANCE  : Les personnes impactées par ce changement démontrent l''engagement nécessaire pour réussir sa mise en place])</f>
        <v>4.8571428571428568</v>
      </c>
      <c r="BE1" t="e">
        <f>AVERAGE(Table13[Feedback - RESISTANCE  : Les personnes impactées par ce changement démontrent l''engagement nécessaire pour réussir sa mise en place])</f>
        <v>#DIV/0!</v>
      </c>
      <c r="BF1" t="e">
        <f>AVERAGE(Table13[Points - RESISTANCE  : Les personnes impactées par ce changement démontrent l''engagement nécessaire pour réussir sa mise en place])</f>
        <v>#DIV/0!</v>
      </c>
      <c r="BG1" t="e">
        <f>AVERAGE(Table13[Si la réponse comporte moins de 2 étoiles OUI, merci de préciser votre réponse dans le champs ci-dessous :9])</f>
        <v>#DIV/0!</v>
      </c>
      <c r="BH1" t="e">
        <f>AVERAGE(Table13[Feedback - Si la réponse comporte moins de 2 étoiles OUI, merci de préciser votre réponse dans le champs ci-dessous :9])</f>
        <v>#DIV/0!</v>
      </c>
      <c r="BI1" t="e">
        <f>AVERAGE(Table13[Points - Si la réponse comporte moins de 2 étoiles OUI, merci de préciser votre réponse dans le champs ci-dessous :9])</f>
        <v>#DIV/0!</v>
      </c>
      <c r="BJ1">
        <f>AVERAGE(Table13[SYNERGIE : Nos efforts de collaboration pour ce projet nous font gagner du temps plus qu’il n’en coute])</f>
        <v>4.4285714285714288</v>
      </c>
      <c r="BK1" t="e">
        <f>AVERAGE(Table13[Feedback - SYNERGIE : Nos efforts de collaboration pour ce projet nous font gagner du temps plus qu’il n’en coute])</f>
        <v>#DIV/0!</v>
      </c>
      <c r="BL1" t="e">
        <f>AVERAGE(Table13[Points - SYNERGIE : Nos efforts de collaboration pour ce projet nous font gagner du temps plus qu’il n’en coute])</f>
        <v>#DIV/0!</v>
      </c>
      <c r="BM1" t="e">
        <f>AVERAGE(Table13[Si la réponse comporte moins de 2 étoiles OUI, merci de préciser votre réponse dans le champs ci-dessous :10])</f>
        <v>#DIV/0!</v>
      </c>
      <c r="BN1" t="e">
        <f>AVERAGE(Table13[Feedback - Si la réponse comporte moins de 2 étoiles OUI, merci de préciser votre réponse dans le champs ci-dessous :10])</f>
        <v>#DIV/0!</v>
      </c>
      <c r="BO1" t="e">
        <f>AVERAGE(Table13[Points - Si la réponse comporte moins de 2 étoiles OUI, merci de préciser votre réponse dans le champs ci-dessous :10])</f>
        <v>#DIV/0!</v>
      </c>
      <c r="BP1">
        <f>AVERAGE(Table13[PARTENARIAT : Nos interactions avec des partenaires externes sont suffisantes pour supporter ce changement])</f>
        <v>4.5714285714285712</v>
      </c>
      <c r="BQ1" t="e">
        <f>AVERAGE(Table13[Feedback - PARTENARIAT : Nos interactions avec des partenaires externes sont suffisantes pour supporter ce changement])</f>
        <v>#DIV/0!</v>
      </c>
      <c r="BR1" t="e">
        <f>AVERAGE(Table13[Points - PARTENARIAT : Nos interactions avec des partenaires externes sont suffisantes pour supporter ce changement])</f>
        <v>#DIV/0!</v>
      </c>
      <c r="BS1" t="e">
        <f>AVERAGE(Table13[Si la réponse comporte moins de 2 étoiles OUI, merci de préciser votre réponse dans le champs ci-dessous :11])</f>
        <v>#DIV/0!</v>
      </c>
      <c r="BT1" t="e">
        <f>AVERAGE(Table13[Feedback - Si la réponse comporte moins de 2 étoiles OUI, merci de préciser votre réponse dans le champs ci-dessous :11])</f>
        <v>#DIV/0!</v>
      </c>
      <c r="BU1" t="e">
        <f>AVERAGE(Table13[Points - Si la réponse comporte moins de 2 étoiles OUI, merci de préciser votre réponse dans le champs ci-dessous :11])</f>
        <v>#DIV/0!</v>
      </c>
      <c r="BV1">
        <f>AVERAGE(Table13[SUPERVISION : Les instances de pilotage permettent de prendre des décisions rapides et efficaces])</f>
        <v>4.8571428571428568</v>
      </c>
      <c r="BW1" t="e">
        <f>AVERAGE(Table13[Points - SUPERVISION : Les instances de pilotage permettent de prendre des décisions rapides et efficaces])</f>
        <v>#DIV/0!</v>
      </c>
      <c r="BX1" t="e">
        <f>AVERAGE(Table13[Feedback - SUPERVISION : Les instances de pilotage permettent de prendre des décisions rapides et efficaces])</f>
        <v>#DIV/0!</v>
      </c>
      <c r="BY1" t="e">
        <f>AVERAGE(Table13[Si la réponse comporte moins de 2 étoiles OUI, merci de préciser votre réponse dans le champs ci-dessous :12])</f>
        <v>#DIV/0!</v>
      </c>
      <c r="BZ1" t="e">
        <f>AVERAGE(Table13[Points - Si la réponse comporte moins de 2 étoiles OUI, merci de préciser votre réponse dans le champs ci-dessous :12])</f>
        <v>#DIV/0!</v>
      </c>
      <c r="CA1" t="e">
        <f>AVERAGE(Table13[Feedback - Si la réponse comporte moins de 2 étoiles OUI, merci de préciser votre réponse dans le champs ci-dessous :12])</f>
        <v>#DIV/0!</v>
      </c>
      <c r="CB1">
        <f>AVERAGE(Table13[RESSOURCES : Les ressources sont suffisantes pour absorber ce changement])</f>
        <v>4.4285714285714288</v>
      </c>
      <c r="CC1" t="e">
        <f>AVERAGE(Table13[Points - RESSOURCES : Les ressources sont suffisantes pour absorber ce changement])</f>
        <v>#DIV/0!</v>
      </c>
      <c r="CD1" t="e">
        <f>AVERAGE(Table13[Feedback - RESSOURCES : Les ressources sont suffisantes pour absorber ce changement])</f>
        <v>#DIV/0!</v>
      </c>
      <c r="CE1" t="e">
        <f>AVERAGE(Table13[Si la réponse comporte moins de 2 étoiles OUI, merci de préciser votre réponse dans le champs ci-dessous :13])</f>
        <v>#DIV/0!</v>
      </c>
      <c r="CF1" t="e">
        <f>AVERAGE(Table13[Points - Si la réponse comporte moins de 2 étoiles OUI, merci de préciser votre réponse dans le champs ci-dessous :13])</f>
        <v>#DIV/0!</v>
      </c>
      <c r="CG1" t="e">
        <f>AVERAGE(Table13[Feedback - Si la réponse comporte moins de 2 étoiles OUI, merci de préciser votre réponse dans le champs ci-dessous :13])</f>
        <v>#DIV/0!</v>
      </c>
      <c r="CH1">
        <f>AVERAGE(Table13[PORTFOLIO : Les interactions de ce projet avec les autres initiatives sont gérées correctement])</f>
        <v>4.2857142857142856</v>
      </c>
      <c r="CI1" t="e">
        <f>AVERAGE(Table13[Points - PORTFOLIO : Les interactions de ce projet avec les autres initiatives sont gérées correctement])</f>
        <v>#DIV/0!</v>
      </c>
      <c r="CJ1" t="e">
        <f>AVERAGE(Table13[Feedback - PORTFOLIO : Les interactions de ce projet avec les autres initiatives sont gérées correctement])</f>
        <v>#DIV/0!</v>
      </c>
      <c r="CK1" t="e">
        <f>AVERAGE(Table13[Si la réponse comporte moins de 2 étoiles OUI, merci de préciser votre réponse dans le champs ci-dessous :14])</f>
        <v>#DIV/0!</v>
      </c>
      <c r="CL1" t="e">
        <f>AVERAGE(Table13[Points - Si la réponse comporte moins de 2 étoiles OUI, merci de préciser votre réponse dans le champs ci-dessous :14])</f>
        <v>#DIV/0!</v>
      </c>
      <c r="CM1" t="e">
        <f>AVERAGE(Table13[Feedback - Si la réponse comporte moins de 2 étoiles OUI, merci de préciser votre réponse dans le champs ci-dessous :14])</f>
        <v>#DIV/0!</v>
      </c>
      <c r="CN1">
        <f>AVERAGE(Table13[CHEMIN CRITIQUE : Les délais et ressources à travers de ce projet sont gérés efficacement])</f>
        <v>4.5714285714285712</v>
      </c>
      <c r="CO1" t="e">
        <f>AVERAGE(Table13[Points - CHEMIN CRITIQUE : Les délais et ressources à travers de ce projet sont gérés efficacement])</f>
        <v>#DIV/0!</v>
      </c>
      <c r="CP1" t="e">
        <f>AVERAGE(Table13[Feedback - CHEMIN CRITIQUE : Les délais et ressources à travers de ce projet sont gérés efficacement])</f>
        <v>#DIV/0!</v>
      </c>
      <c r="CQ1" t="e">
        <f>AVERAGE(Table13[Si la réponse comporte moins de 2 étoiles OUI, merci de préciser votre réponse dans le champs ci-dessous :15])</f>
        <v>#DIV/0!</v>
      </c>
      <c r="CR1" t="e">
        <f>AVERAGE(Table13[Points - Si la réponse comporte moins de 2 étoiles OUI, merci de préciser votre réponse dans le champs ci-dessous :15])</f>
        <v>#DIV/0!</v>
      </c>
      <c r="CS1" t="e">
        <f>AVERAGE(Table13[Feedback - Si la réponse comporte moins de 2 étoiles OUI, merci de préciser votre réponse dans le champs ci-dessous :15])</f>
        <v>#DIV/0!</v>
      </c>
    </row>
    <row r="2" spans="1:97" x14ac:dyDescent="0.25">
      <c r="A2">
        <f>MIN(Table13[ID])</f>
        <v>1</v>
      </c>
      <c r="B2">
        <f>MIN(Table13[Heure de début])</f>
        <v>44900.356354166703</v>
      </c>
      <c r="C2">
        <f>MIN(Table13[Heure de fin])</f>
        <v>44900.358483796299</v>
      </c>
      <c r="D2">
        <f>MIN(Table13[Adresse de messagerie])</f>
        <v>0</v>
      </c>
      <c r="E2">
        <f>MIN(Table13[Nom])</f>
        <v>0</v>
      </c>
      <c r="F2">
        <f>MIN(Table13[Total points])</f>
        <v>0</v>
      </c>
      <c r="G2">
        <f>MIN(Table13[Quiz feedback])</f>
        <v>0</v>
      </c>
      <c r="H2">
        <f>MIN(Table13[CLARTE : J''ai une vision claire de l’objectif final du programme])</f>
        <v>5</v>
      </c>
      <c r="I2">
        <f>MIN(Table13[Points - CLARTE : J''ai une vision claire de l’objectif final du programme])</f>
        <v>0</v>
      </c>
      <c r="J2">
        <f>MIN(Table13[Feedback - CLARTE : J''ai une vision claire de l’objectif final du programme])</f>
        <v>0</v>
      </c>
      <c r="K2">
        <f>MIN(Table13[Si la réponse comporte moins de 2 étoiles OUI, merci de préciser votre réponse dans le champs ci-dessous :])</f>
        <v>0</v>
      </c>
      <c r="L2">
        <f>MIN(Table13[Points - Si la réponse comporte moins de 2 étoiles OUI, merci de préciser votre réponse dans le champs ci-dessous :])</f>
        <v>0</v>
      </c>
      <c r="M2">
        <f>MIN(Table13[Feedback - Si la réponse comporte moins de 2 étoiles OUI, merci de préciser votre réponse dans le champs ci-dessous :])</f>
        <v>0</v>
      </c>
      <c r="N2">
        <f>MIN(Table13[ALIGNEMENT : Je suis aligné sur l’objectif final du programme])</f>
        <v>5</v>
      </c>
      <c r="O2">
        <f>MIN(Table13[Points - ALIGNEMENT : Je suis aligné sur l’objectif final du programme])</f>
        <v>0</v>
      </c>
      <c r="P2">
        <f>MIN(Table13[Feedback - ALIGNEMENT : Je suis aligné sur l’objectif final du programme])</f>
        <v>0</v>
      </c>
      <c r="Q2">
        <f>MIN(Table13[Si la réponse comporte moins de 2 étoiles OUI, merci de préciser votre réponse dans le champs ci-dessous :2])</f>
        <v>0</v>
      </c>
      <c r="R2">
        <f>MIN(Table13[Points - Si la réponse comporte moins de 2 étoiles OUI, merci de préciser votre réponse dans le champs ci-dessous :2])</f>
        <v>0</v>
      </c>
      <c r="S2">
        <f>MIN(Table13[Feedback - Si la réponse comporte moins de 2 étoiles OUI, merci de préciser votre réponse dans le champs ci-dessous :2])</f>
        <v>0</v>
      </c>
      <c r="T2">
        <f>MIN(Table13[ENGAGEMENT  : Je supporte l’objectif du programme])</f>
        <v>5</v>
      </c>
      <c r="U2">
        <f>MIN(Table13[Points - ENGAGEMENT  : Je supporte l’objectif du programme])</f>
        <v>0</v>
      </c>
      <c r="V2">
        <f>MIN(Table13[Feedback - ENGAGEMENT  : Je supporte l’objectif du programme])</f>
        <v>0</v>
      </c>
      <c r="W2">
        <f>MIN(Table13[Si la réponse comporte moins de 2 étoiles OUI, merci de préciser votre réponse dans le champs ci-dessous :3])</f>
        <v>0</v>
      </c>
      <c r="X2">
        <f>MIN(Table13[Points - Si la réponse comporte moins de 2 étoiles OUI, merci de préciser votre réponse dans le champs ci-dessous :3])</f>
        <v>0</v>
      </c>
      <c r="Y2">
        <f>MIN(Table13[Feedback - Si la réponse comporte moins de 2 étoiles OUI, merci de préciser votre réponse dans le champs ci-dessous :3])</f>
        <v>0</v>
      </c>
      <c r="Z2">
        <f>MIN(Table13[SOLUTION  : L’approche pour atteindre l’objectif du programme est solide])</f>
        <v>4</v>
      </c>
      <c r="AA2">
        <f>MIN(Table13[Points - SOLUTION  : L’approche pour atteindre l’objectif du programme est solide])</f>
        <v>0</v>
      </c>
      <c r="AB2">
        <f>MIN(Table13[Feedback - SOLUTION  : L’approche pour atteindre l’objectif du programme est solide])</f>
        <v>0</v>
      </c>
      <c r="AC2">
        <f>MIN(Table13[Si la réponse comporte moins de 2 étoiles OUI, merci de préciser votre réponse dans le champs ci-dessous :4])</f>
        <v>0</v>
      </c>
      <c r="AD2">
        <f>MIN(Table13[Points - Si la réponse comporte moins de 2 étoiles OUI, merci de préciser votre réponse dans le champs ci-dessous :4])</f>
        <v>0</v>
      </c>
      <c r="AE2">
        <f>MIN(Table13[Feedback - Si la réponse comporte moins de 2 étoiles OUI, merci de préciser votre réponse dans le champs ci-dessous :4])</f>
        <v>0</v>
      </c>
      <c r="AF2">
        <f>MIN(Table13[INTEGRITE : Les objectifs initiaux du programme restent les mêmes])</f>
        <v>5</v>
      </c>
      <c r="AG2">
        <f>MIN(Table13[Points - INTEGRITE : Les objectifs initiaux du programme restent les mêmes])</f>
        <v>0</v>
      </c>
      <c r="AH2">
        <f>MIN(Table13[Feedback - INTEGRITE : Les objectifs initiaux du programme restent les mêmes])</f>
        <v>0</v>
      </c>
      <c r="AI2">
        <f>MIN(Table13[Si la réponse comporte moins de 2 étoiles OUI, merci de préciser votre réponse dans le champs ci-dessous :5])</f>
        <v>0</v>
      </c>
      <c r="AJ2">
        <f>MIN(Table13[Points - Si la réponse comporte moins de 2 étoiles OUI, merci de préciser votre réponse dans le champs ci-dessous :5])</f>
        <v>0</v>
      </c>
      <c r="AK2">
        <f>MIN(Table13[Feedback - Si la réponse comporte moins de 2 étoiles OUI, merci de préciser votre réponse dans le champs ci-dessous :5])</f>
        <v>0</v>
      </c>
      <c r="AL2">
        <f>MIN(Table13[SPONSORSHIP  : Les leaders fournissent le niveau de sponsorship suffisant pour supporter le programme])</f>
        <v>3</v>
      </c>
      <c r="AM2">
        <f>MIN(Table13[Points - SPONSORSHIP  : Les leaders fournissent le niveau de sponsorship suffisant pour supporter le programme])</f>
        <v>0</v>
      </c>
      <c r="AN2">
        <f>MIN(Table13[Feedback - SPONSORSHIP  : Les leaders fournissent le niveau de sponsorship suffisant pour supporter le programme])</f>
        <v>0</v>
      </c>
      <c r="AO2">
        <f>MIN(Table13[Si la réponse comporte moins de 2 étoiles OUI, merci de préciser votre réponse dans le champs ci-dessous :6])</f>
        <v>0</v>
      </c>
      <c r="AP2">
        <f>MIN(Table13[Points - Si la réponse comporte moins de 2 étoiles OUI, merci de préciser votre réponse dans le champs ci-dessous :6])</f>
        <v>0</v>
      </c>
      <c r="AQ2">
        <f>MIN(Table13[Feedback - Si la réponse comporte moins de 2 étoiles OUI, merci de préciser votre réponse dans le champs ci-dessous :6])</f>
        <v>0</v>
      </c>
      <c r="AR2">
        <f>MIN(Table13[CAPACITE : Ce changement entraine une charge de travail que nous pouvons absorber sur le site])</f>
        <v>4</v>
      </c>
      <c r="AS2">
        <f>MIN(Table13[Points - CAPACITE : Ce changement entraine une charge de travail que nous pouvons absorber sur le site])</f>
        <v>0</v>
      </c>
      <c r="AT2">
        <f>MIN(Table13[Feedback - CAPACITE : Ce changement entraine une charge de travail que nous pouvons absorber sur le site])</f>
        <v>0</v>
      </c>
      <c r="AU2">
        <f>MIN(Table13[Si la réponse comporte moins de 2 étoiles OUI, merci de préciser votre réponse dans le champs ci-dessous :7])</f>
        <v>0</v>
      </c>
      <c r="AV2">
        <f>MIN(Table13[Points - Si la réponse comporte moins de 2 étoiles OUI, merci de préciser votre réponse dans le champs ci-dessous :7])</f>
        <v>0</v>
      </c>
      <c r="AW2">
        <f>MIN(Table13[Feedback - Si la réponse comporte moins de 2 étoiles OUI, merci de préciser votre réponse dans le champs ci-dessous :7])</f>
        <v>0</v>
      </c>
      <c r="AX2">
        <f>MIN(Table13[CULTURE  : Nous avons la culture appropriée pour absorber ce changement])</f>
        <v>2</v>
      </c>
      <c r="AY2">
        <f>MIN(Table13[Points - CULTURE  : Nous avons la culture appropriée pour absorber ce changement])</f>
        <v>0</v>
      </c>
      <c r="AZ2">
        <f>MIN(Table13[Feedback - CULTURE  : Nous avons la culture appropriée pour absorber ce changement])</f>
        <v>0</v>
      </c>
      <c r="BA2">
        <f>MIN(Table13[Si la réponse comporte moins de 2 étoiles OUI, merci de préciser votre réponse dans le champs ci-dessous :8])</f>
        <v>0</v>
      </c>
      <c r="BB2">
        <f>MIN(Table13[Feedback - Si la réponse comporte moins de 2 étoiles OUI, merci de préciser votre réponse dans le champs ci-dessous :8])</f>
        <v>0</v>
      </c>
      <c r="BC2">
        <f>MIN(Table13[Points - Si la réponse comporte moins de 2 étoiles OUI, merci de préciser votre réponse dans le champs ci-dessous :8])</f>
        <v>0</v>
      </c>
      <c r="BD2">
        <f>MIN(Table13[RESISTANCE  : Les personnes impactées par ce changement démontrent l''engagement nécessaire pour réussir sa mise en place])</f>
        <v>4</v>
      </c>
      <c r="BE2">
        <f>MIN(Table13[Feedback - RESISTANCE  : Les personnes impactées par ce changement démontrent l''engagement nécessaire pour réussir sa mise en place])</f>
        <v>0</v>
      </c>
      <c r="BF2">
        <f>MIN(Table13[Points - RESISTANCE  : Les personnes impactées par ce changement démontrent l''engagement nécessaire pour réussir sa mise en place])</f>
        <v>0</v>
      </c>
      <c r="BG2">
        <f>MIN(Table13[Si la réponse comporte moins de 2 étoiles OUI, merci de préciser votre réponse dans le champs ci-dessous :9])</f>
        <v>0</v>
      </c>
      <c r="BH2">
        <f>MIN(Table13[Feedback - Si la réponse comporte moins de 2 étoiles OUI, merci de préciser votre réponse dans le champs ci-dessous :9])</f>
        <v>0</v>
      </c>
      <c r="BI2">
        <f>MIN(Table13[Points - Si la réponse comporte moins de 2 étoiles OUI, merci de préciser votre réponse dans le champs ci-dessous :9])</f>
        <v>0</v>
      </c>
      <c r="BJ2">
        <f>MIN(Table13[SYNERGIE : Nos efforts de collaboration pour ce projet nous font gagner du temps plus qu’il n’en coute])</f>
        <v>4</v>
      </c>
      <c r="BK2">
        <f>MIN(Table13[Feedback - SYNERGIE : Nos efforts de collaboration pour ce projet nous font gagner du temps plus qu’il n’en coute])</f>
        <v>0</v>
      </c>
      <c r="BL2">
        <f>MIN(Table13[Points - SYNERGIE : Nos efforts de collaboration pour ce projet nous font gagner du temps plus qu’il n’en coute])</f>
        <v>0</v>
      </c>
      <c r="BM2">
        <f>MIN(Table13[Si la réponse comporte moins de 2 étoiles OUI, merci de préciser votre réponse dans le champs ci-dessous :10])</f>
        <v>0</v>
      </c>
      <c r="BN2">
        <f>MIN(Table13[Feedback - Si la réponse comporte moins de 2 étoiles OUI, merci de préciser votre réponse dans le champs ci-dessous :10])</f>
        <v>0</v>
      </c>
      <c r="BO2">
        <f>MIN(Table13[Points - Si la réponse comporte moins de 2 étoiles OUI, merci de préciser votre réponse dans le champs ci-dessous :10])</f>
        <v>0</v>
      </c>
      <c r="BP2">
        <f>MIN(Table13[PARTENARIAT : Nos interactions avec des partenaires externes sont suffisantes pour supporter ce changement])</f>
        <v>4</v>
      </c>
      <c r="BQ2">
        <f>MIN(Table13[Feedback - PARTENARIAT : Nos interactions avec des partenaires externes sont suffisantes pour supporter ce changement])</f>
        <v>0</v>
      </c>
      <c r="BR2">
        <f>MIN(Table13[Points - PARTENARIAT : Nos interactions avec des partenaires externes sont suffisantes pour supporter ce changement])</f>
        <v>0</v>
      </c>
      <c r="BS2">
        <f>MIN(Table13[Si la réponse comporte moins de 2 étoiles OUI, merci de préciser votre réponse dans le champs ci-dessous :11])</f>
        <v>0</v>
      </c>
      <c r="BT2">
        <f>MIN(Table13[Feedback - Si la réponse comporte moins de 2 étoiles OUI, merci de préciser votre réponse dans le champs ci-dessous :11])</f>
        <v>0</v>
      </c>
      <c r="BU2">
        <f>MIN(Table13[Points - Si la réponse comporte moins de 2 étoiles OUI, merci de préciser votre réponse dans le champs ci-dessous :11])</f>
        <v>0</v>
      </c>
      <c r="BV2">
        <f>MIN(Table13[SUPERVISION : Les instances de pilotage permettent de prendre des décisions rapides et efficaces])</f>
        <v>4</v>
      </c>
      <c r="BW2">
        <f>MIN(Table13[Points - SUPERVISION : Les instances de pilotage permettent de prendre des décisions rapides et efficaces])</f>
        <v>0</v>
      </c>
      <c r="BX2">
        <f>MIN(Table13[Feedback - SUPERVISION : Les instances de pilotage permettent de prendre des décisions rapides et efficaces])</f>
        <v>0</v>
      </c>
      <c r="BY2">
        <f>MIN(Table13[Si la réponse comporte moins de 2 étoiles OUI, merci de préciser votre réponse dans le champs ci-dessous :12])</f>
        <v>0</v>
      </c>
      <c r="BZ2">
        <f>MIN(Table13[Points - Si la réponse comporte moins de 2 étoiles OUI, merci de préciser votre réponse dans le champs ci-dessous :12])</f>
        <v>0</v>
      </c>
      <c r="CA2">
        <f>MIN(Table13[Feedback - Si la réponse comporte moins de 2 étoiles OUI, merci de préciser votre réponse dans le champs ci-dessous :12])</f>
        <v>0</v>
      </c>
      <c r="CB2">
        <f>MIN(Table13[RESSOURCES : Les ressources sont suffisantes pour absorber ce changement])</f>
        <v>3</v>
      </c>
      <c r="CC2">
        <f>MIN(Table13[Points - RESSOURCES : Les ressources sont suffisantes pour absorber ce changement])</f>
        <v>0</v>
      </c>
      <c r="CD2">
        <f>MIN(Table13[Feedback - RESSOURCES : Les ressources sont suffisantes pour absorber ce changement])</f>
        <v>0</v>
      </c>
      <c r="CE2">
        <f>MIN(Table13[Si la réponse comporte moins de 2 étoiles OUI, merci de préciser votre réponse dans le champs ci-dessous :13])</f>
        <v>0</v>
      </c>
      <c r="CF2">
        <f>MIN(Table13[Points - Si la réponse comporte moins de 2 étoiles OUI, merci de préciser votre réponse dans le champs ci-dessous :13])</f>
        <v>0</v>
      </c>
      <c r="CG2">
        <f>MIN(Table13[Feedback - Si la réponse comporte moins de 2 étoiles OUI, merci de préciser votre réponse dans le champs ci-dessous :13])</f>
        <v>0</v>
      </c>
      <c r="CH2">
        <f>MIN(Table13[PORTFOLIO : Les interactions de ce projet avec les autres initiatives sont gérées correctement])</f>
        <v>3</v>
      </c>
      <c r="CI2">
        <f>MIN(Table13[Points - PORTFOLIO : Les interactions de ce projet avec les autres initiatives sont gérées correctement])</f>
        <v>0</v>
      </c>
      <c r="CJ2">
        <f>MIN(Table13[Feedback - PORTFOLIO : Les interactions de ce projet avec les autres initiatives sont gérées correctement])</f>
        <v>0</v>
      </c>
      <c r="CK2">
        <f>MIN(Table13[Si la réponse comporte moins de 2 étoiles OUI, merci de préciser votre réponse dans le champs ci-dessous :14])</f>
        <v>0</v>
      </c>
      <c r="CL2">
        <f>MIN(Table13[Points - Si la réponse comporte moins de 2 étoiles OUI, merci de préciser votre réponse dans le champs ci-dessous :14])</f>
        <v>0</v>
      </c>
      <c r="CM2">
        <f>MIN(Table13[Feedback - Si la réponse comporte moins de 2 étoiles OUI, merci de préciser votre réponse dans le champs ci-dessous :14])</f>
        <v>0</v>
      </c>
      <c r="CN2">
        <f>MIN(Table13[CHEMIN CRITIQUE : Les délais et ressources à travers de ce projet sont gérés efficacement])</f>
        <v>4</v>
      </c>
      <c r="CO2">
        <f>MIN(Table13[Points - CHEMIN CRITIQUE : Les délais et ressources à travers de ce projet sont gérés efficacement])</f>
        <v>0</v>
      </c>
      <c r="CP2">
        <f>MIN(Table13[Feedback - CHEMIN CRITIQUE : Les délais et ressources à travers de ce projet sont gérés efficacement])</f>
        <v>0</v>
      </c>
      <c r="CQ2">
        <f>MIN(Table13[Si la réponse comporte moins de 2 étoiles OUI, merci de préciser votre réponse dans le champs ci-dessous :15])</f>
        <v>0</v>
      </c>
      <c r="CR2">
        <f>MIN(Table13[Points - Si la réponse comporte moins de 2 étoiles OUI, merci de préciser votre réponse dans le champs ci-dessous :15])</f>
        <v>0</v>
      </c>
      <c r="CS2">
        <f>MIN(Table13[Feedback - Si la réponse comporte moins de 2 étoiles OUI, merci de préciser votre réponse dans le champs ci-dessous :15])</f>
        <v>0</v>
      </c>
    </row>
    <row r="3" spans="1:97" x14ac:dyDescent="0.25">
      <c r="A3">
        <f>MAX(Table13[ID])</f>
        <v>7</v>
      </c>
      <c r="B3">
        <f>MAX(Table13[Heure de début])</f>
        <v>44903.491203703699</v>
      </c>
      <c r="C3">
        <f>MAX(Table13[Heure de fin])</f>
        <v>44903.491678240702</v>
      </c>
      <c r="D3">
        <f>MAX(Table13[Adresse de messagerie])</f>
        <v>0</v>
      </c>
      <c r="E3">
        <f>MAX(Table13[Nom])</f>
        <v>0</v>
      </c>
      <c r="F3">
        <f>MAX(Table13[Total points])</f>
        <v>0</v>
      </c>
      <c r="G3">
        <f>MAX(Table13[Quiz feedback])</f>
        <v>0</v>
      </c>
      <c r="H3">
        <f>MAX(Table13[CLARTE : J''ai une vision claire de l’objectif final du programme])</f>
        <v>5</v>
      </c>
      <c r="I3">
        <f>MAX(Table13[Points - CLARTE : J''ai une vision claire de l’objectif final du programme])</f>
        <v>0</v>
      </c>
      <c r="J3">
        <f>MAX(Table13[Feedback - CLARTE : J''ai une vision claire de l’objectif final du programme])</f>
        <v>0</v>
      </c>
      <c r="K3">
        <f>MAX(Table13[Si la réponse comporte moins de 2 étoiles OUI, merci de préciser votre réponse dans le champs ci-dessous :])</f>
        <v>0</v>
      </c>
      <c r="L3">
        <f>MAX(Table13[Points - Si la réponse comporte moins de 2 étoiles OUI, merci de préciser votre réponse dans le champs ci-dessous :])</f>
        <v>0</v>
      </c>
      <c r="M3">
        <f>MAX(Table13[Feedback - Si la réponse comporte moins de 2 étoiles OUI, merci de préciser votre réponse dans le champs ci-dessous :])</f>
        <v>0</v>
      </c>
      <c r="N3">
        <f>MAX(Table13[ALIGNEMENT : Je suis aligné sur l’objectif final du programme])</f>
        <v>5</v>
      </c>
      <c r="O3">
        <f>MAX(Table13[Points - ALIGNEMENT : Je suis aligné sur l’objectif final du programme])</f>
        <v>0</v>
      </c>
      <c r="P3">
        <f>MAX(Table13[Feedback - ALIGNEMENT : Je suis aligné sur l’objectif final du programme])</f>
        <v>0</v>
      </c>
      <c r="Q3">
        <f>MAX(Table13[Si la réponse comporte moins de 2 étoiles OUI, merci de préciser votre réponse dans le champs ci-dessous :2])</f>
        <v>0</v>
      </c>
      <c r="R3">
        <f>MAX(Table13[Points - Si la réponse comporte moins de 2 étoiles OUI, merci de préciser votre réponse dans le champs ci-dessous :2])</f>
        <v>0</v>
      </c>
      <c r="S3">
        <f>MAX(Table13[Feedback - Si la réponse comporte moins de 2 étoiles OUI, merci de préciser votre réponse dans le champs ci-dessous :2])</f>
        <v>0</v>
      </c>
      <c r="T3">
        <f>MAX(Table13[ENGAGEMENT  : Je supporte l’objectif du programme])</f>
        <v>5</v>
      </c>
      <c r="U3">
        <f>MAX(Table13[Points - ENGAGEMENT  : Je supporte l’objectif du programme])</f>
        <v>0</v>
      </c>
      <c r="V3">
        <f>MAX(Table13[Feedback - ENGAGEMENT  : Je supporte l’objectif du programme])</f>
        <v>0</v>
      </c>
      <c r="W3">
        <f>MAX(Table13[Si la réponse comporte moins de 2 étoiles OUI, merci de préciser votre réponse dans le champs ci-dessous :3])</f>
        <v>0</v>
      </c>
      <c r="X3">
        <f>MAX(Table13[Points - Si la réponse comporte moins de 2 étoiles OUI, merci de préciser votre réponse dans le champs ci-dessous :3])</f>
        <v>0</v>
      </c>
      <c r="Y3">
        <f>MAX(Table13[Feedback - Si la réponse comporte moins de 2 étoiles OUI, merci de préciser votre réponse dans le champs ci-dessous :3])</f>
        <v>0</v>
      </c>
      <c r="Z3">
        <f>MAX(Table13[SOLUTION  : L’approche pour atteindre l’objectif du programme est solide])</f>
        <v>5</v>
      </c>
      <c r="AA3">
        <f>MAX(Table13[Points - SOLUTION  : L’approche pour atteindre l’objectif du programme est solide])</f>
        <v>0</v>
      </c>
      <c r="AB3">
        <f>MAX(Table13[Feedback - SOLUTION  : L’approche pour atteindre l’objectif du programme est solide])</f>
        <v>0</v>
      </c>
      <c r="AC3">
        <f>MAX(Table13[Si la réponse comporte moins de 2 étoiles OUI, merci de préciser votre réponse dans le champs ci-dessous :4])</f>
        <v>0</v>
      </c>
      <c r="AD3">
        <f>MAX(Table13[Points - Si la réponse comporte moins de 2 étoiles OUI, merci de préciser votre réponse dans le champs ci-dessous :4])</f>
        <v>0</v>
      </c>
      <c r="AE3">
        <f>MAX(Table13[Feedback - Si la réponse comporte moins de 2 étoiles OUI, merci de préciser votre réponse dans le champs ci-dessous :4])</f>
        <v>0</v>
      </c>
      <c r="AF3">
        <f>MAX(Table13[INTEGRITE : Les objectifs initiaux du programme restent les mêmes])</f>
        <v>5</v>
      </c>
      <c r="AG3">
        <f>MAX(Table13[Points - INTEGRITE : Les objectifs initiaux du programme restent les mêmes])</f>
        <v>0</v>
      </c>
      <c r="AH3">
        <f>MAX(Table13[Feedback - INTEGRITE : Les objectifs initiaux du programme restent les mêmes])</f>
        <v>0</v>
      </c>
      <c r="AI3">
        <f>MAX(Table13[Si la réponse comporte moins de 2 étoiles OUI, merci de préciser votre réponse dans le champs ci-dessous :5])</f>
        <v>0</v>
      </c>
      <c r="AJ3">
        <f>MAX(Table13[Points - Si la réponse comporte moins de 2 étoiles OUI, merci de préciser votre réponse dans le champs ci-dessous :5])</f>
        <v>0</v>
      </c>
      <c r="AK3">
        <f>MAX(Table13[Feedback - Si la réponse comporte moins de 2 étoiles OUI, merci de préciser votre réponse dans le champs ci-dessous :5])</f>
        <v>0</v>
      </c>
      <c r="AL3">
        <f>MAX(Table13[SPONSORSHIP  : Les leaders fournissent le niveau de sponsorship suffisant pour supporter le programme])</f>
        <v>5</v>
      </c>
      <c r="AM3">
        <f>MAX(Table13[Points - SPONSORSHIP  : Les leaders fournissent le niveau de sponsorship suffisant pour supporter le programme])</f>
        <v>0</v>
      </c>
      <c r="AN3">
        <f>MAX(Table13[Feedback - SPONSORSHIP  : Les leaders fournissent le niveau de sponsorship suffisant pour supporter le programme])</f>
        <v>0</v>
      </c>
      <c r="AO3">
        <f>MAX(Table13[Si la réponse comporte moins de 2 étoiles OUI, merci de préciser votre réponse dans le champs ci-dessous :6])</f>
        <v>0</v>
      </c>
      <c r="AP3">
        <f>MAX(Table13[Points - Si la réponse comporte moins de 2 étoiles OUI, merci de préciser votre réponse dans le champs ci-dessous :6])</f>
        <v>0</v>
      </c>
      <c r="AQ3">
        <f>MAX(Table13[Feedback - Si la réponse comporte moins de 2 étoiles OUI, merci de préciser votre réponse dans le champs ci-dessous :6])</f>
        <v>0</v>
      </c>
      <c r="AR3">
        <f>MAX(Table13[CAPACITE : Ce changement entraine une charge de travail que nous pouvons absorber sur le site])</f>
        <v>5</v>
      </c>
      <c r="AS3">
        <f>MAX(Table13[Points - CAPACITE : Ce changement entraine une charge de travail que nous pouvons absorber sur le site])</f>
        <v>0</v>
      </c>
      <c r="AT3">
        <f>MAX(Table13[Feedback - CAPACITE : Ce changement entraine une charge de travail que nous pouvons absorber sur le site])</f>
        <v>0</v>
      </c>
      <c r="AU3">
        <f>MAX(Table13[Si la réponse comporte moins de 2 étoiles OUI, merci de préciser votre réponse dans le champs ci-dessous :7])</f>
        <v>0</v>
      </c>
      <c r="AV3">
        <f>MAX(Table13[Points - Si la réponse comporte moins de 2 étoiles OUI, merci de préciser votre réponse dans le champs ci-dessous :7])</f>
        <v>0</v>
      </c>
      <c r="AW3">
        <f>MAX(Table13[Feedback - Si la réponse comporte moins de 2 étoiles OUI, merci de préciser votre réponse dans le champs ci-dessous :7])</f>
        <v>0</v>
      </c>
      <c r="AX3">
        <f>MAX(Table13[CULTURE  : Nous avons la culture appropriée pour absorber ce changement])</f>
        <v>5</v>
      </c>
      <c r="AY3">
        <f>MAX(Table13[Points - CULTURE  : Nous avons la culture appropriée pour absorber ce changement])</f>
        <v>0</v>
      </c>
      <c r="AZ3">
        <f>MAX(Table13[Feedback - CULTURE  : Nous avons la culture appropriée pour absorber ce changement])</f>
        <v>0</v>
      </c>
      <c r="BA3">
        <f>MAX(Table13[Si la réponse comporte moins de 2 étoiles OUI, merci de préciser votre réponse dans le champs ci-dessous :8])</f>
        <v>0</v>
      </c>
      <c r="BB3">
        <f>MAX(Table13[Feedback - Si la réponse comporte moins de 2 étoiles OUI, merci de préciser votre réponse dans le champs ci-dessous :8])</f>
        <v>0</v>
      </c>
      <c r="BC3">
        <f>MAX(Table13[Points - Si la réponse comporte moins de 2 étoiles OUI, merci de préciser votre réponse dans le champs ci-dessous :8])</f>
        <v>0</v>
      </c>
      <c r="BD3">
        <f>MAX(Table13[RESISTANCE  : Les personnes impactées par ce changement démontrent l''engagement nécessaire pour réussir sa mise en place])</f>
        <v>5</v>
      </c>
      <c r="BE3">
        <f>MAX(Table13[Feedback - RESISTANCE  : Les personnes impactées par ce changement démontrent l''engagement nécessaire pour réussir sa mise en place])</f>
        <v>0</v>
      </c>
      <c r="BF3">
        <f>MAX(Table13[Points - RESISTANCE  : Les personnes impactées par ce changement démontrent l''engagement nécessaire pour réussir sa mise en place])</f>
        <v>0</v>
      </c>
      <c r="BG3">
        <f>MAX(Table13[Si la réponse comporte moins de 2 étoiles OUI, merci de préciser votre réponse dans le champs ci-dessous :9])</f>
        <v>0</v>
      </c>
      <c r="BH3">
        <f>MAX(Table13[Feedback - Si la réponse comporte moins de 2 étoiles OUI, merci de préciser votre réponse dans le champs ci-dessous :9])</f>
        <v>0</v>
      </c>
      <c r="BI3">
        <f>MAX(Table13[Points - Si la réponse comporte moins de 2 étoiles OUI, merci de préciser votre réponse dans le champs ci-dessous :9])</f>
        <v>0</v>
      </c>
      <c r="BJ3">
        <f>MAX(Table13[SYNERGIE : Nos efforts de collaboration pour ce projet nous font gagner du temps plus qu’il n’en coute])</f>
        <v>5</v>
      </c>
      <c r="BK3">
        <f>MAX(Table13[Feedback - SYNERGIE : Nos efforts de collaboration pour ce projet nous font gagner du temps plus qu’il n’en coute])</f>
        <v>0</v>
      </c>
      <c r="BL3">
        <f>MAX(Table13[Points - SYNERGIE : Nos efforts de collaboration pour ce projet nous font gagner du temps plus qu’il n’en coute])</f>
        <v>0</v>
      </c>
      <c r="BM3">
        <f>MAX(Table13[Si la réponse comporte moins de 2 étoiles OUI, merci de préciser votre réponse dans le champs ci-dessous :10])</f>
        <v>0</v>
      </c>
      <c r="BN3">
        <f>MAX(Table13[Feedback - Si la réponse comporte moins de 2 étoiles OUI, merci de préciser votre réponse dans le champs ci-dessous :10])</f>
        <v>0</v>
      </c>
      <c r="BO3">
        <f>MAX(Table13[Points - Si la réponse comporte moins de 2 étoiles OUI, merci de préciser votre réponse dans le champs ci-dessous :10])</f>
        <v>0</v>
      </c>
      <c r="BP3">
        <f>MAX(Table13[PARTENARIAT : Nos interactions avec des partenaires externes sont suffisantes pour supporter ce changement])</f>
        <v>5</v>
      </c>
      <c r="BQ3">
        <f>MAX(Table13[Feedback - PARTENARIAT : Nos interactions avec des partenaires externes sont suffisantes pour supporter ce changement])</f>
        <v>0</v>
      </c>
      <c r="BR3">
        <f>MAX(Table13[Points - PARTENARIAT : Nos interactions avec des partenaires externes sont suffisantes pour supporter ce changement])</f>
        <v>0</v>
      </c>
      <c r="BS3">
        <f>MAX(Table13[Si la réponse comporte moins de 2 étoiles OUI, merci de préciser votre réponse dans le champs ci-dessous :11])</f>
        <v>0</v>
      </c>
      <c r="BT3">
        <f>MAX(Table13[Feedback - Si la réponse comporte moins de 2 étoiles OUI, merci de préciser votre réponse dans le champs ci-dessous :11])</f>
        <v>0</v>
      </c>
      <c r="BU3">
        <f>MAX(Table13[Points - Si la réponse comporte moins de 2 étoiles OUI, merci de préciser votre réponse dans le champs ci-dessous :11])</f>
        <v>0</v>
      </c>
      <c r="BV3">
        <f>MAX(Table13[SUPERVISION : Les instances de pilotage permettent de prendre des décisions rapides et efficaces])</f>
        <v>5</v>
      </c>
      <c r="BW3">
        <f>MAX(Table13[Points - SUPERVISION : Les instances de pilotage permettent de prendre des décisions rapides et efficaces])</f>
        <v>0</v>
      </c>
      <c r="BX3">
        <f>MAX(Table13[Feedback - SUPERVISION : Les instances de pilotage permettent de prendre des décisions rapides et efficaces])</f>
        <v>0</v>
      </c>
      <c r="BY3">
        <f>MAX(Table13[Si la réponse comporte moins de 2 étoiles OUI, merci de préciser votre réponse dans le champs ci-dessous :12])</f>
        <v>0</v>
      </c>
      <c r="BZ3">
        <f>MAX(Table13[Points - Si la réponse comporte moins de 2 étoiles OUI, merci de préciser votre réponse dans le champs ci-dessous :12])</f>
        <v>0</v>
      </c>
      <c r="CA3">
        <f>MAX(Table13[Feedback - Si la réponse comporte moins de 2 étoiles OUI, merci de préciser votre réponse dans le champs ci-dessous :12])</f>
        <v>0</v>
      </c>
      <c r="CB3">
        <f>MAX(Table13[RESSOURCES : Les ressources sont suffisantes pour absorber ce changement])</f>
        <v>5</v>
      </c>
      <c r="CC3">
        <f>MAX(Table13[Points - RESSOURCES : Les ressources sont suffisantes pour absorber ce changement])</f>
        <v>0</v>
      </c>
      <c r="CD3">
        <f>MAX(Table13[Feedback - RESSOURCES : Les ressources sont suffisantes pour absorber ce changement])</f>
        <v>0</v>
      </c>
      <c r="CE3">
        <f>MAX(Table13[Si la réponse comporte moins de 2 étoiles OUI, merci de préciser votre réponse dans le champs ci-dessous :13])</f>
        <v>0</v>
      </c>
      <c r="CF3">
        <f>MAX(Table13[Points - Si la réponse comporte moins de 2 étoiles OUI, merci de préciser votre réponse dans le champs ci-dessous :13])</f>
        <v>0</v>
      </c>
      <c r="CG3">
        <f>MAX(Table13[Feedback - Si la réponse comporte moins de 2 étoiles OUI, merci de préciser votre réponse dans le champs ci-dessous :13])</f>
        <v>0</v>
      </c>
      <c r="CH3">
        <f>MAX(Table13[PORTFOLIO : Les interactions de ce projet avec les autres initiatives sont gérées correctement])</f>
        <v>5</v>
      </c>
      <c r="CI3">
        <f>MAX(Table13[Points - PORTFOLIO : Les interactions de ce projet avec les autres initiatives sont gérées correctement])</f>
        <v>0</v>
      </c>
      <c r="CJ3">
        <f>MAX(Table13[Feedback - PORTFOLIO : Les interactions de ce projet avec les autres initiatives sont gérées correctement])</f>
        <v>0</v>
      </c>
      <c r="CK3">
        <f>MAX(Table13[Si la réponse comporte moins de 2 étoiles OUI, merci de préciser votre réponse dans le champs ci-dessous :14])</f>
        <v>0</v>
      </c>
      <c r="CL3">
        <f>MAX(Table13[Points - Si la réponse comporte moins de 2 étoiles OUI, merci de préciser votre réponse dans le champs ci-dessous :14])</f>
        <v>0</v>
      </c>
      <c r="CM3">
        <f>MAX(Table13[Feedback - Si la réponse comporte moins de 2 étoiles OUI, merci de préciser votre réponse dans le champs ci-dessous :14])</f>
        <v>0</v>
      </c>
      <c r="CN3">
        <f>MAX(Table13[CHEMIN CRITIQUE : Les délais et ressources à travers de ce projet sont gérés efficacement])</f>
        <v>5</v>
      </c>
      <c r="CO3">
        <f>MAX(Table13[Points - CHEMIN CRITIQUE : Les délais et ressources à travers de ce projet sont gérés efficacement])</f>
        <v>0</v>
      </c>
      <c r="CP3">
        <f>MAX(Table13[Feedback - CHEMIN CRITIQUE : Les délais et ressources à travers de ce projet sont gérés efficacement])</f>
        <v>0</v>
      </c>
      <c r="CQ3">
        <f>MAX(Table13[Si la réponse comporte moins de 2 étoiles OUI, merci de préciser votre réponse dans le champs ci-dessous :15])</f>
        <v>0</v>
      </c>
      <c r="CR3">
        <f>MAX(Table13[Points - Si la réponse comporte moins de 2 étoiles OUI, merci de préciser votre réponse dans le champs ci-dessous :15])</f>
        <v>0</v>
      </c>
      <c r="CS3">
        <f>MAX(Table13[Feedback - Si la réponse comporte moins de 2 étoiles OUI, merci de préciser votre réponse dans le champs ci-dessous :15])</f>
        <v>0</v>
      </c>
    </row>
    <row r="4" spans="1:97" x14ac:dyDescent="0.25">
      <c r="A4">
        <f>COUNT(Table13[ID])</f>
        <v>7</v>
      </c>
      <c r="B4">
        <f>COUNT(Table13[Heure de début])</f>
        <v>7</v>
      </c>
      <c r="C4">
        <f>COUNT(Table13[Heure de fin])</f>
        <v>7</v>
      </c>
      <c r="D4">
        <f>COUNT(Table13[Adresse de messagerie])</f>
        <v>0</v>
      </c>
      <c r="E4">
        <f>COUNT(Table13[Nom])</f>
        <v>0</v>
      </c>
      <c r="F4">
        <f>COUNT(Table13[Total points])</f>
        <v>0</v>
      </c>
      <c r="G4">
        <f>COUNT(Table13[Quiz feedback])</f>
        <v>0</v>
      </c>
      <c r="H4">
        <f>COUNT(Table13[CLARTE : J''ai une vision claire de l’objectif final du programme])</f>
        <v>7</v>
      </c>
      <c r="I4">
        <f>COUNT(Table13[Points - CLARTE : J''ai une vision claire de l’objectif final du programme])</f>
        <v>0</v>
      </c>
      <c r="J4">
        <f>COUNT(Table13[Feedback - CLARTE : J''ai une vision claire de l’objectif final du programme])</f>
        <v>0</v>
      </c>
      <c r="K4">
        <f>COUNT(Table13[Si la réponse comporte moins de 2 étoiles OUI, merci de préciser votre réponse dans le champs ci-dessous :])</f>
        <v>0</v>
      </c>
      <c r="L4">
        <f>COUNT(Table13[Points - Si la réponse comporte moins de 2 étoiles OUI, merci de préciser votre réponse dans le champs ci-dessous :])</f>
        <v>0</v>
      </c>
      <c r="M4">
        <f>COUNT(Table13[Feedback - Si la réponse comporte moins de 2 étoiles OUI, merci de préciser votre réponse dans le champs ci-dessous :])</f>
        <v>0</v>
      </c>
      <c r="N4">
        <f>COUNT(Table13[ALIGNEMENT : Je suis aligné sur l’objectif final du programme])</f>
        <v>7</v>
      </c>
      <c r="O4">
        <f>COUNT(Table13[Points - ALIGNEMENT : Je suis aligné sur l’objectif final du programme])</f>
        <v>0</v>
      </c>
      <c r="P4">
        <f>COUNT(Table13[Feedback - ALIGNEMENT : Je suis aligné sur l’objectif final du programme])</f>
        <v>0</v>
      </c>
      <c r="Q4">
        <f>COUNT(Table13[Si la réponse comporte moins de 2 étoiles OUI, merci de préciser votre réponse dans le champs ci-dessous :2])</f>
        <v>0</v>
      </c>
      <c r="R4">
        <f>COUNT(Table13[Points - Si la réponse comporte moins de 2 étoiles OUI, merci de préciser votre réponse dans le champs ci-dessous :2])</f>
        <v>0</v>
      </c>
      <c r="S4">
        <f>COUNT(Table13[Feedback - Si la réponse comporte moins de 2 étoiles OUI, merci de préciser votre réponse dans le champs ci-dessous :2])</f>
        <v>0</v>
      </c>
      <c r="T4">
        <f>COUNT(Table13[ENGAGEMENT  : Je supporte l’objectif du programme])</f>
        <v>7</v>
      </c>
      <c r="U4">
        <f>COUNT(Table13[Points - ENGAGEMENT  : Je supporte l’objectif du programme])</f>
        <v>0</v>
      </c>
      <c r="V4">
        <f>COUNT(Table13[Feedback - ENGAGEMENT  : Je supporte l’objectif du programme])</f>
        <v>0</v>
      </c>
      <c r="W4">
        <f>COUNT(Table13[Si la réponse comporte moins de 2 étoiles OUI, merci de préciser votre réponse dans le champs ci-dessous :3])</f>
        <v>0</v>
      </c>
      <c r="X4">
        <f>COUNT(Table13[Points - Si la réponse comporte moins de 2 étoiles OUI, merci de préciser votre réponse dans le champs ci-dessous :3])</f>
        <v>0</v>
      </c>
      <c r="Y4">
        <f>COUNT(Table13[Feedback - Si la réponse comporte moins de 2 étoiles OUI, merci de préciser votre réponse dans le champs ci-dessous :3])</f>
        <v>0</v>
      </c>
      <c r="Z4">
        <f>COUNT(Table13[SOLUTION  : L’approche pour atteindre l’objectif du programme est solide])</f>
        <v>7</v>
      </c>
      <c r="AA4">
        <f>COUNT(Table13[Points - SOLUTION  : L’approche pour atteindre l’objectif du programme est solide])</f>
        <v>0</v>
      </c>
      <c r="AB4">
        <f>COUNT(Table13[Feedback - SOLUTION  : L’approche pour atteindre l’objectif du programme est solide])</f>
        <v>0</v>
      </c>
      <c r="AC4">
        <f>COUNT(Table13[Si la réponse comporte moins de 2 étoiles OUI, merci de préciser votre réponse dans le champs ci-dessous :4])</f>
        <v>0</v>
      </c>
      <c r="AD4">
        <f>COUNT(Table13[Points - Si la réponse comporte moins de 2 étoiles OUI, merci de préciser votre réponse dans le champs ci-dessous :4])</f>
        <v>0</v>
      </c>
      <c r="AE4">
        <f>COUNT(Table13[Feedback - Si la réponse comporte moins de 2 étoiles OUI, merci de préciser votre réponse dans le champs ci-dessous :4])</f>
        <v>0</v>
      </c>
      <c r="AF4">
        <f>COUNT(Table13[INTEGRITE : Les objectifs initiaux du programme restent les mêmes])</f>
        <v>7</v>
      </c>
      <c r="AG4">
        <f>COUNT(Table13[Points - INTEGRITE : Les objectifs initiaux du programme restent les mêmes])</f>
        <v>0</v>
      </c>
      <c r="AH4">
        <f>COUNT(Table13[Feedback - INTEGRITE : Les objectifs initiaux du programme restent les mêmes])</f>
        <v>0</v>
      </c>
      <c r="AI4">
        <f>COUNT(Table13[Si la réponse comporte moins de 2 étoiles OUI, merci de préciser votre réponse dans le champs ci-dessous :5])</f>
        <v>0</v>
      </c>
      <c r="AJ4">
        <f>COUNT(Table13[Points - Si la réponse comporte moins de 2 étoiles OUI, merci de préciser votre réponse dans le champs ci-dessous :5])</f>
        <v>0</v>
      </c>
      <c r="AK4">
        <f>COUNT(Table13[Feedback - Si la réponse comporte moins de 2 étoiles OUI, merci de préciser votre réponse dans le champs ci-dessous :5])</f>
        <v>0</v>
      </c>
      <c r="AL4">
        <f>COUNT(Table13[SPONSORSHIP  : Les leaders fournissent le niveau de sponsorship suffisant pour supporter le programme])</f>
        <v>7</v>
      </c>
      <c r="AM4">
        <f>COUNT(Table13[Points - SPONSORSHIP  : Les leaders fournissent le niveau de sponsorship suffisant pour supporter le programme])</f>
        <v>0</v>
      </c>
      <c r="AN4">
        <f>COUNT(Table13[Feedback - SPONSORSHIP  : Les leaders fournissent le niveau de sponsorship suffisant pour supporter le programme])</f>
        <v>0</v>
      </c>
      <c r="AO4">
        <f>COUNT(Table13[Si la réponse comporte moins de 2 étoiles OUI, merci de préciser votre réponse dans le champs ci-dessous :6])</f>
        <v>0</v>
      </c>
      <c r="AP4">
        <f>COUNT(Table13[Points - Si la réponse comporte moins de 2 étoiles OUI, merci de préciser votre réponse dans le champs ci-dessous :6])</f>
        <v>0</v>
      </c>
      <c r="AQ4">
        <f>COUNT(Table13[Feedback - Si la réponse comporte moins de 2 étoiles OUI, merci de préciser votre réponse dans le champs ci-dessous :6])</f>
        <v>0</v>
      </c>
      <c r="AR4">
        <f>COUNT(Table13[CAPACITE : Ce changement entraine une charge de travail que nous pouvons absorber sur le site])</f>
        <v>7</v>
      </c>
      <c r="AS4">
        <f>COUNT(Table13[Points - CAPACITE : Ce changement entraine une charge de travail que nous pouvons absorber sur le site])</f>
        <v>0</v>
      </c>
      <c r="AT4">
        <f>COUNT(Table13[Feedback - CAPACITE : Ce changement entraine une charge de travail que nous pouvons absorber sur le site])</f>
        <v>0</v>
      </c>
      <c r="AU4">
        <f>COUNT(Table13[Si la réponse comporte moins de 2 étoiles OUI, merci de préciser votre réponse dans le champs ci-dessous :7])</f>
        <v>0</v>
      </c>
      <c r="AV4">
        <f>COUNT(Table13[Points - Si la réponse comporte moins de 2 étoiles OUI, merci de préciser votre réponse dans le champs ci-dessous :7])</f>
        <v>0</v>
      </c>
      <c r="AW4">
        <f>COUNT(Table13[Feedback - Si la réponse comporte moins de 2 étoiles OUI, merci de préciser votre réponse dans le champs ci-dessous :7])</f>
        <v>0</v>
      </c>
      <c r="AX4">
        <f>COUNT(Table13[CULTURE  : Nous avons la culture appropriée pour absorber ce changement])</f>
        <v>7</v>
      </c>
      <c r="AY4">
        <f>COUNT(Table13[Points - CULTURE  : Nous avons la culture appropriée pour absorber ce changement])</f>
        <v>0</v>
      </c>
      <c r="AZ4">
        <f>COUNT(Table13[Feedback - CULTURE  : Nous avons la culture appropriée pour absorber ce changement])</f>
        <v>0</v>
      </c>
      <c r="BA4">
        <f>COUNT(Table13[Si la réponse comporte moins de 2 étoiles OUI, merci de préciser votre réponse dans le champs ci-dessous :8])</f>
        <v>0</v>
      </c>
      <c r="BB4">
        <f>COUNT(Table13[Feedback - Si la réponse comporte moins de 2 étoiles OUI, merci de préciser votre réponse dans le champs ci-dessous :8])</f>
        <v>0</v>
      </c>
      <c r="BC4">
        <f>COUNT(Table13[Points - Si la réponse comporte moins de 2 étoiles OUI, merci de préciser votre réponse dans le champs ci-dessous :8])</f>
        <v>0</v>
      </c>
      <c r="BD4">
        <f>COUNT(Table13[RESISTANCE  : Les personnes impactées par ce changement démontrent l''engagement nécessaire pour réussir sa mise en place])</f>
        <v>7</v>
      </c>
      <c r="BE4">
        <f>COUNT(Table13[Feedback - RESISTANCE  : Les personnes impactées par ce changement démontrent l''engagement nécessaire pour réussir sa mise en place])</f>
        <v>0</v>
      </c>
      <c r="BF4">
        <f>COUNT(Table13[Points - RESISTANCE  : Les personnes impactées par ce changement démontrent l''engagement nécessaire pour réussir sa mise en place])</f>
        <v>0</v>
      </c>
      <c r="BG4">
        <f>COUNT(Table13[Si la réponse comporte moins de 2 étoiles OUI, merci de préciser votre réponse dans le champs ci-dessous :9])</f>
        <v>0</v>
      </c>
      <c r="BH4">
        <f>COUNT(Table13[Feedback - Si la réponse comporte moins de 2 étoiles OUI, merci de préciser votre réponse dans le champs ci-dessous :9])</f>
        <v>0</v>
      </c>
      <c r="BI4">
        <f>COUNT(Table13[Points - Si la réponse comporte moins de 2 étoiles OUI, merci de préciser votre réponse dans le champs ci-dessous :9])</f>
        <v>0</v>
      </c>
      <c r="BJ4">
        <f>COUNT(Table13[SYNERGIE : Nos efforts de collaboration pour ce projet nous font gagner du temps plus qu’il n’en coute])</f>
        <v>7</v>
      </c>
      <c r="BK4">
        <f>COUNT(Table13[Feedback - SYNERGIE : Nos efforts de collaboration pour ce projet nous font gagner du temps plus qu’il n’en coute])</f>
        <v>0</v>
      </c>
      <c r="BL4">
        <f>COUNT(Table13[Points - SYNERGIE : Nos efforts de collaboration pour ce projet nous font gagner du temps plus qu’il n’en coute])</f>
        <v>0</v>
      </c>
      <c r="BM4">
        <f>COUNT(Table13[Si la réponse comporte moins de 2 étoiles OUI, merci de préciser votre réponse dans le champs ci-dessous :10])</f>
        <v>0</v>
      </c>
      <c r="BN4">
        <f>COUNT(Table13[Feedback - Si la réponse comporte moins de 2 étoiles OUI, merci de préciser votre réponse dans le champs ci-dessous :10])</f>
        <v>0</v>
      </c>
      <c r="BO4">
        <f>COUNT(Table13[Points - Si la réponse comporte moins de 2 étoiles OUI, merci de préciser votre réponse dans le champs ci-dessous :10])</f>
        <v>0</v>
      </c>
      <c r="BP4">
        <f>COUNT(Table13[PARTENARIAT : Nos interactions avec des partenaires externes sont suffisantes pour supporter ce changement])</f>
        <v>7</v>
      </c>
      <c r="BQ4">
        <f>COUNT(Table13[Feedback - PARTENARIAT : Nos interactions avec des partenaires externes sont suffisantes pour supporter ce changement])</f>
        <v>0</v>
      </c>
      <c r="BR4">
        <f>COUNT(Table13[Points - PARTENARIAT : Nos interactions avec des partenaires externes sont suffisantes pour supporter ce changement])</f>
        <v>0</v>
      </c>
      <c r="BS4">
        <f>COUNT(Table13[Si la réponse comporte moins de 2 étoiles OUI, merci de préciser votre réponse dans le champs ci-dessous :11])</f>
        <v>0</v>
      </c>
      <c r="BT4">
        <f>COUNT(Table13[Feedback - Si la réponse comporte moins de 2 étoiles OUI, merci de préciser votre réponse dans le champs ci-dessous :11])</f>
        <v>0</v>
      </c>
      <c r="BU4">
        <f>COUNT(Table13[Points - Si la réponse comporte moins de 2 étoiles OUI, merci de préciser votre réponse dans le champs ci-dessous :11])</f>
        <v>0</v>
      </c>
      <c r="BV4">
        <f>COUNT(Table13[SUPERVISION : Les instances de pilotage permettent de prendre des décisions rapides et efficaces])</f>
        <v>7</v>
      </c>
      <c r="BW4">
        <f>COUNT(Table13[Points - SUPERVISION : Les instances de pilotage permettent de prendre des décisions rapides et efficaces])</f>
        <v>0</v>
      </c>
      <c r="BX4">
        <f>COUNT(Table13[Feedback - SUPERVISION : Les instances de pilotage permettent de prendre des décisions rapides et efficaces])</f>
        <v>0</v>
      </c>
      <c r="BY4">
        <f>COUNT(Table13[Si la réponse comporte moins de 2 étoiles OUI, merci de préciser votre réponse dans le champs ci-dessous :12])</f>
        <v>0</v>
      </c>
      <c r="BZ4">
        <f>COUNT(Table13[Points - Si la réponse comporte moins de 2 étoiles OUI, merci de préciser votre réponse dans le champs ci-dessous :12])</f>
        <v>0</v>
      </c>
      <c r="CA4">
        <f>COUNT(Table13[Feedback - Si la réponse comporte moins de 2 étoiles OUI, merci de préciser votre réponse dans le champs ci-dessous :12])</f>
        <v>0</v>
      </c>
      <c r="CB4">
        <f>COUNT(Table13[RESSOURCES : Les ressources sont suffisantes pour absorber ce changement])</f>
        <v>7</v>
      </c>
      <c r="CC4">
        <f>COUNT(Table13[Points - RESSOURCES : Les ressources sont suffisantes pour absorber ce changement])</f>
        <v>0</v>
      </c>
      <c r="CD4">
        <f>COUNT(Table13[Feedback - RESSOURCES : Les ressources sont suffisantes pour absorber ce changement])</f>
        <v>0</v>
      </c>
      <c r="CE4">
        <f>COUNT(Table13[Si la réponse comporte moins de 2 étoiles OUI, merci de préciser votre réponse dans le champs ci-dessous :13])</f>
        <v>0</v>
      </c>
      <c r="CF4">
        <f>COUNT(Table13[Points - Si la réponse comporte moins de 2 étoiles OUI, merci de préciser votre réponse dans le champs ci-dessous :13])</f>
        <v>0</v>
      </c>
      <c r="CG4">
        <f>COUNT(Table13[Feedback - Si la réponse comporte moins de 2 étoiles OUI, merci de préciser votre réponse dans le champs ci-dessous :13])</f>
        <v>0</v>
      </c>
      <c r="CH4">
        <f>COUNT(Table13[PORTFOLIO : Les interactions de ce projet avec les autres initiatives sont gérées correctement])</f>
        <v>7</v>
      </c>
      <c r="CI4">
        <f>COUNT(Table13[Points - PORTFOLIO : Les interactions de ce projet avec les autres initiatives sont gérées correctement])</f>
        <v>0</v>
      </c>
      <c r="CJ4">
        <f>COUNT(Table13[Feedback - PORTFOLIO : Les interactions de ce projet avec les autres initiatives sont gérées correctement])</f>
        <v>0</v>
      </c>
      <c r="CK4">
        <f>COUNT(Table13[Si la réponse comporte moins de 2 étoiles OUI, merci de préciser votre réponse dans le champs ci-dessous :14])</f>
        <v>0</v>
      </c>
      <c r="CL4">
        <f>COUNT(Table13[Points - Si la réponse comporte moins de 2 étoiles OUI, merci de préciser votre réponse dans le champs ci-dessous :14])</f>
        <v>0</v>
      </c>
      <c r="CM4">
        <f>COUNT(Table13[Feedback - Si la réponse comporte moins de 2 étoiles OUI, merci de préciser votre réponse dans le champs ci-dessous :14])</f>
        <v>0</v>
      </c>
      <c r="CN4">
        <f>COUNT(Table13[CHEMIN CRITIQUE : Les délais et ressources à travers de ce projet sont gérés efficacement])</f>
        <v>7</v>
      </c>
      <c r="CO4">
        <f>COUNT(Table13[Points - CHEMIN CRITIQUE : Les délais et ressources à travers de ce projet sont gérés efficacement])</f>
        <v>0</v>
      </c>
      <c r="CP4">
        <f>COUNT(Table13[Feedback - CHEMIN CRITIQUE : Les délais et ressources à travers de ce projet sont gérés efficacement])</f>
        <v>0</v>
      </c>
      <c r="CQ4">
        <f>COUNT(Table13[Si la réponse comporte moins de 2 étoiles OUI, merci de préciser votre réponse dans le champs ci-dessous :15])</f>
        <v>0</v>
      </c>
      <c r="CR4">
        <f>COUNT(Table13[Points - Si la réponse comporte moins de 2 étoiles OUI, merci de préciser votre réponse dans le champs ci-dessous :15])</f>
        <v>0</v>
      </c>
      <c r="CS4">
        <f>COUNT(Table13[Feedback - Si la réponse comporte moins de 2 étoiles OUI, merci de préciser votre réponse dans le champs ci-dessous :15])</f>
        <v>0</v>
      </c>
    </row>
    <row r="5" spans="1:97" x14ac:dyDescent="0.25">
      <c r="A5" t="s">
        <v>0</v>
      </c>
      <c r="B5" t="s">
        <v>1</v>
      </c>
      <c r="C5" t="s">
        <v>2</v>
      </c>
      <c r="D5" t="s">
        <v>3</v>
      </c>
      <c r="E5" t="s">
        <v>4</v>
      </c>
      <c r="F5" t="s">
        <v>5</v>
      </c>
      <c r="G5" t="s">
        <v>6</v>
      </c>
      <c r="H5" t="s">
        <v>7</v>
      </c>
      <c r="I5" t="s">
        <v>8</v>
      </c>
      <c r="J5" t="s">
        <v>9</v>
      </c>
      <c r="K5" t="s">
        <v>10</v>
      </c>
      <c r="L5" t="s">
        <v>11</v>
      </c>
      <c r="M5" t="s">
        <v>12</v>
      </c>
      <c r="N5" t="s">
        <v>13</v>
      </c>
      <c r="O5" t="s">
        <v>14</v>
      </c>
      <c r="P5" t="s">
        <v>15</v>
      </c>
      <c r="Q5" t="s">
        <v>16</v>
      </c>
      <c r="R5" t="s">
        <v>17</v>
      </c>
      <c r="S5" t="s">
        <v>18</v>
      </c>
      <c r="T5" t="s">
        <v>19</v>
      </c>
      <c r="U5" t="s">
        <v>20</v>
      </c>
      <c r="V5" t="s">
        <v>21</v>
      </c>
      <c r="W5" t="s">
        <v>22</v>
      </c>
      <c r="X5" t="s">
        <v>23</v>
      </c>
      <c r="Y5" t="s">
        <v>24</v>
      </c>
      <c r="Z5" t="s">
        <v>25</v>
      </c>
      <c r="AA5" t="s">
        <v>26</v>
      </c>
      <c r="AB5" t="s">
        <v>27</v>
      </c>
      <c r="AC5" t="s">
        <v>28</v>
      </c>
      <c r="AD5" t="s">
        <v>29</v>
      </c>
      <c r="AE5" t="s">
        <v>30</v>
      </c>
      <c r="AF5" t="s">
        <v>31</v>
      </c>
      <c r="AG5" t="s">
        <v>32</v>
      </c>
      <c r="AH5" t="s">
        <v>33</v>
      </c>
      <c r="AI5" t="s">
        <v>34</v>
      </c>
      <c r="AJ5" t="s">
        <v>35</v>
      </c>
      <c r="AK5" t="s">
        <v>36</v>
      </c>
      <c r="AL5" t="s">
        <v>37</v>
      </c>
      <c r="AM5" t="s">
        <v>38</v>
      </c>
      <c r="AN5" t="s">
        <v>39</v>
      </c>
      <c r="AO5" t="s">
        <v>40</v>
      </c>
      <c r="AP5" t="s">
        <v>41</v>
      </c>
      <c r="AQ5" t="s">
        <v>42</v>
      </c>
      <c r="AR5" t="s">
        <v>43</v>
      </c>
      <c r="AS5" t="s">
        <v>44</v>
      </c>
      <c r="AT5" t="s">
        <v>45</v>
      </c>
      <c r="AU5" t="s">
        <v>46</v>
      </c>
      <c r="AV5" t="s">
        <v>47</v>
      </c>
      <c r="AW5" t="s">
        <v>48</v>
      </c>
      <c r="AX5" t="s">
        <v>49</v>
      </c>
      <c r="AY5" t="s">
        <v>50</v>
      </c>
      <c r="AZ5" t="s">
        <v>51</v>
      </c>
      <c r="BA5" t="s">
        <v>52</v>
      </c>
      <c r="BB5" t="s">
        <v>53</v>
      </c>
      <c r="BC5" t="s">
        <v>54</v>
      </c>
      <c r="BD5" t="s">
        <v>55</v>
      </c>
      <c r="BE5" t="s">
        <v>56</v>
      </c>
      <c r="BF5" t="s">
        <v>57</v>
      </c>
      <c r="BG5" t="s">
        <v>58</v>
      </c>
      <c r="BH5" t="s">
        <v>59</v>
      </c>
      <c r="BI5" t="s">
        <v>60</v>
      </c>
      <c r="BJ5" t="s">
        <v>61</v>
      </c>
      <c r="BK5" t="s">
        <v>62</v>
      </c>
      <c r="BL5" t="s">
        <v>63</v>
      </c>
      <c r="BM5" t="s">
        <v>64</v>
      </c>
      <c r="BN5" t="s">
        <v>65</v>
      </c>
      <c r="BO5" t="s">
        <v>66</v>
      </c>
      <c r="BP5" t="s">
        <v>67</v>
      </c>
      <c r="BQ5" t="s">
        <v>68</v>
      </c>
      <c r="BR5" t="s">
        <v>69</v>
      </c>
      <c r="BS5" t="s">
        <v>70</v>
      </c>
      <c r="BT5" t="s">
        <v>71</v>
      </c>
      <c r="BU5" t="s">
        <v>72</v>
      </c>
      <c r="BV5" t="s">
        <v>73</v>
      </c>
      <c r="BW5" t="s">
        <v>74</v>
      </c>
      <c r="BX5" t="s">
        <v>75</v>
      </c>
      <c r="BY5" t="s">
        <v>76</v>
      </c>
      <c r="BZ5" t="s">
        <v>77</v>
      </c>
      <c r="CA5" t="s">
        <v>78</v>
      </c>
      <c r="CB5" t="s">
        <v>79</v>
      </c>
      <c r="CC5" t="s">
        <v>80</v>
      </c>
      <c r="CD5" t="s">
        <v>81</v>
      </c>
      <c r="CE5" t="s">
        <v>82</v>
      </c>
      <c r="CF5" t="s">
        <v>83</v>
      </c>
      <c r="CG5" t="s">
        <v>84</v>
      </c>
      <c r="CH5" t="s">
        <v>85</v>
      </c>
      <c r="CI5" t="s">
        <v>86</v>
      </c>
      <c r="CJ5" t="s">
        <v>87</v>
      </c>
      <c r="CK5" t="s">
        <v>88</v>
      </c>
      <c r="CL5" t="s">
        <v>89</v>
      </c>
      <c r="CM5" t="s">
        <v>90</v>
      </c>
      <c r="CN5" t="s">
        <v>91</v>
      </c>
      <c r="CO5" t="s">
        <v>92</v>
      </c>
      <c r="CP5" t="s">
        <v>93</v>
      </c>
      <c r="CQ5" t="s">
        <v>94</v>
      </c>
      <c r="CR5" t="s">
        <v>95</v>
      </c>
      <c r="CS5" t="s">
        <v>96</v>
      </c>
    </row>
    <row r="6" spans="1:97" x14ac:dyDescent="0.25">
      <c r="A6">
        <v>1</v>
      </c>
      <c r="B6" s="1">
        <v>44900.356354166703</v>
      </c>
      <c r="C6" s="1">
        <v>44900.358483796299</v>
      </c>
      <c r="D6" t="s">
        <v>97</v>
      </c>
      <c r="H6">
        <v>5</v>
      </c>
      <c r="N6">
        <v>5</v>
      </c>
      <c r="T6">
        <v>5</v>
      </c>
      <c r="Z6">
        <v>4</v>
      </c>
      <c r="AC6" t="s">
        <v>145</v>
      </c>
      <c r="AF6">
        <v>5</v>
      </c>
      <c r="AL6">
        <v>5</v>
      </c>
      <c r="AR6">
        <v>4</v>
      </c>
      <c r="AX6">
        <v>3</v>
      </c>
      <c r="BD6">
        <v>4</v>
      </c>
      <c r="BJ6">
        <v>4</v>
      </c>
      <c r="BP6">
        <v>4</v>
      </c>
      <c r="BV6">
        <v>5</v>
      </c>
      <c r="CB6">
        <v>3</v>
      </c>
      <c r="CE6" t="s">
        <v>146</v>
      </c>
      <c r="CH6">
        <v>3</v>
      </c>
      <c r="CK6" t="s">
        <v>147</v>
      </c>
      <c r="CN6">
        <v>5</v>
      </c>
    </row>
    <row r="7" spans="1:97" x14ac:dyDescent="0.25">
      <c r="A7">
        <v>2</v>
      </c>
      <c r="B7" s="1">
        <v>44900.583425925899</v>
      </c>
      <c r="C7" s="1">
        <v>44900.709907407399</v>
      </c>
      <c r="D7" t="s">
        <v>97</v>
      </c>
      <c r="H7">
        <v>5</v>
      </c>
      <c r="N7">
        <v>5</v>
      </c>
      <c r="T7">
        <v>5</v>
      </c>
      <c r="Z7">
        <v>5</v>
      </c>
      <c r="AF7">
        <v>5</v>
      </c>
      <c r="AL7">
        <v>5</v>
      </c>
      <c r="AR7">
        <v>5</v>
      </c>
      <c r="AX7">
        <v>3</v>
      </c>
      <c r="BD7">
        <v>5</v>
      </c>
      <c r="BJ7">
        <v>4</v>
      </c>
      <c r="BP7">
        <v>4</v>
      </c>
      <c r="BV7">
        <v>5</v>
      </c>
      <c r="CB7">
        <v>5</v>
      </c>
      <c r="CH7">
        <v>5</v>
      </c>
      <c r="CN7">
        <v>4</v>
      </c>
    </row>
    <row r="8" spans="1:97" x14ac:dyDescent="0.25">
      <c r="A8">
        <v>3</v>
      </c>
      <c r="B8" s="1">
        <v>44900.749606481499</v>
      </c>
      <c r="C8" s="1">
        <v>44900.761874999997</v>
      </c>
      <c r="D8" t="s">
        <v>97</v>
      </c>
      <c r="H8">
        <v>5</v>
      </c>
      <c r="N8">
        <v>5</v>
      </c>
      <c r="T8">
        <v>5</v>
      </c>
      <c r="Z8">
        <v>5</v>
      </c>
      <c r="AF8">
        <v>5</v>
      </c>
      <c r="AL8">
        <v>5</v>
      </c>
      <c r="AR8">
        <v>4</v>
      </c>
      <c r="AX8">
        <v>3</v>
      </c>
      <c r="BD8">
        <v>5</v>
      </c>
      <c r="BJ8">
        <v>4</v>
      </c>
      <c r="BP8">
        <v>5</v>
      </c>
      <c r="BV8">
        <v>5</v>
      </c>
      <c r="CB8">
        <v>5</v>
      </c>
      <c r="CH8">
        <v>5</v>
      </c>
      <c r="CN8">
        <v>5</v>
      </c>
    </row>
    <row r="9" spans="1:97" x14ac:dyDescent="0.25">
      <c r="A9">
        <v>4</v>
      </c>
      <c r="B9" s="1">
        <v>44900.749108796299</v>
      </c>
      <c r="C9" s="1">
        <v>44900.762094907397</v>
      </c>
      <c r="D9" t="s">
        <v>97</v>
      </c>
      <c r="H9">
        <v>5</v>
      </c>
      <c r="N9">
        <v>5</v>
      </c>
      <c r="T9">
        <v>5</v>
      </c>
      <c r="Z9">
        <v>5</v>
      </c>
      <c r="AF9">
        <v>5</v>
      </c>
      <c r="AL9">
        <v>5</v>
      </c>
      <c r="AR9">
        <v>4</v>
      </c>
      <c r="AX9">
        <v>2</v>
      </c>
      <c r="BA9" t="s">
        <v>148</v>
      </c>
      <c r="BD9">
        <v>5</v>
      </c>
      <c r="BJ9">
        <v>5</v>
      </c>
      <c r="BP9">
        <v>5</v>
      </c>
      <c r="BV9">
        <v>5</v>
      </c>
      <c r="CB9">
        <v>3</v>
      </c>
      <c r="CH9">
        <v>3</v>
      </c>
      <c r="CN9">
        <v>4</v>
      </c>
    </row>
    <row r="10" spans="1:97" x14ac:dyDescent="0.25">
      <c r="A10">
        <v>5</v>
      </c>
      <c r="B10" s="1">
        <v>44902.385358796302</v>
      </c>
      <c r="C10" s="1">
        <v>44902.386400463001</v>
      </c>
      <c r="D10" t="s">
        <v>97</v>
      </c>
      <c r="H10">
        <v>5</v>
      </c>
      <c r="N10">
        <v>5</v>
      </c>
      <c r="T10">
        <v>5</v>
      </c>
      <c r="Z10">
        <v>5</v>
      </c>
      <c r="AF10">
        <v>5</v>
      </c>
      <c r="AL10">
        <v>5</v>
      </c>
      <c r="AR10">
        <v>5</v>
      </c>
      <c r="AX10">
        <v>5</v>
      </c>
      <c r="BD10">
        <v>5</v>
      </c>
      <c r="BJ10">
        <v>5</v>
      </c>
      <c r="BP10">
        <v>5</v>
      </c>
      <c r="BV10">
        <v>5</v>
      </c>
      <c r="CB10">
        <v>5</v>
      </c>
      <c r="CH10">
        <v>5</v>
      </c>
      <c r="CN10">
        <v>5</v>
      </c>
    </row>
    <row r="11" spans="1:97" x14ac:dyDescent="0.25">
      <c r="A11">
        <v>6</v>
      </c>
      <c r="B11" s="1">
        <v>44902.724525463003</v>
      </c>
      <c r="C11" s="1">
        <v>44902.735717592601</v>
      </c>
      <c r="D11" t="s">
        <v>97</v>
      </c>
      <c r="H11">
        <v>5</v>
      </c>
      <c r="N11">
        <v>5</v>
      </c>
      <c r="T11">
        <v>5</v>
      </c>
      <c r="Z11">
        <v>4</v>
      </c>
      <c r="AF11">
        <v>5</v>
      </c>
      <c r="AL11">
        <v>3</v>
      </c>
      <c r="AR11">
        <v>4</v>
      </c>
      <c r="AX11">
        <v>5</v>
      </c>
      <c r="BD11">
        <v>5</v>
      </c>
      <c r="BJ11">
        <v>4</v>
      </c>
      <c r="BP11">
        <v>4</v>
      </c>
      <c r="BV11">
        <v>4</v>
      </c>
      <c r="CB11">
        <v>5</v>
      </c>
      <c r="CH11">
        <v>4</v>
      </c>
      <c r="CN11">
        <v>4</v>
      </c>
    </row>
    <row r="12" spans="1:97" x14ac:dyDescent="0.25">
      <c r="A12">
        <v>7</v>
      </c>
      <c r="B12" s="1">
        <v>44903.491203703699</v>
      </c>
      <c r="C12" s="1">
        <v>44903.491678240702</v>
      </c>
      <c r="D12" t="s">
        <v>97</v>
      </c>
      <c r="H12">
        <v>5</v>
      </c>
      <c r="N12">
        <v>5</v>
      </c>
      <c r="T12">
        <v>5</v>
      </c>
      <c r="Z12">
        <v>5</v>
      </c>
      <c r="AF12">
        <v>5</v>
      </c>
      <c r="AL12">
        <v>5</v>
      </c>
      <c r="AR12">
        <v>5</v>
      </c>
      <c r="AX12">
        <v>5</v>
      </c>
      <c r="BD12">
        <v>5</v>
      </c>
      <c r="BJ12">
        <v>5</v>
      </c>
      <c r="BP12">
        <v>5</v>
      </c>
      <c r="BV12">
        <v>5</v>
      </c>
      <c r="CB12">
        <v>5</v>
      </c>
      <c r="CH12">
        <v>5</v>
      </c>
      <c r="CN12">
        <v>5</v>
      </c>
    </row>
  </sheetData>
  <pageMargins left="0.7" right="0.7" top="0.75" bottom="0.75" header="0.3" footer="0.3"/>
  <pageSetup paperSize="9" orientation="portrait" r:id="rId1"/>
  <tableParts count="1">
    <tablePart r:id="rId2"/>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Blad1"/>
  <dimension ref="A1:CS32"/>
  <sheetViews>
    <sheetView workbookViewId="0">
      <selection activeCell="A30" sqref="A30"/>
    </sheetView>
  </sheetViews>
  <sheetFormatPr defaultColWidth="9.140625" defaultRowHeight="15" x14ac:dyDescent="0.25"/>
  <cols>
    <col min="1" max="97" width="20" bestFit="1" customWidth="1"/>
  </cols>
  <sheetData>
    <row r="1" spans="1:97" x14ac:dyDescent="0.25">
      <c r="A1">
        <f>AVERAGE(Table1[ID])</f>
        <v>17</v>
      </c>
      <c r="B1">
        <f>AVERAGE(Table1[Heure de début])</f>
        <v>44901.104603909458</v>
      </c>
      <c r="C1">
        <f>AVERAGE(Table1[Heure de fin])</f>
        <v>44901.123888888898</v>
      </c>
      <c r="D1" t="e">
        <f>AVERAGE(Table1[Adresse de messagerie])</f>
        <v>#DIV/0!</v>
      </c>
      <c r="E1" t="e">
        <f>AVERAGE(Table1[Nom])</f>
        <v>#DIV/0!</v>
      </c>
      <c r="F1" t="e">
        <f>AVERAGE(Table1[Total points])</f>
        <v>#DIV/0!</v>
      </c>
      <c r="G1" t="e">
        <f>AVERAGE(Table1[Quiz feedback])</f>
        <v>#DIV/0!</v>
      </c>
      <c r="H1">
        <f>AVERAGE(Table1[CLARTE : J''ai une vision claire de l’objectif final du programme])</f>
        <v>4.2962962962962967</v>
      </c>
      <c r="I1" t="e">
        <f>AVERAGE(Table1[Points - CLARTE : J''ai une vision claire de l’objectif final du programme])</f>
        <v>#DIV/0!</v>
      </c>
      <c r="J1" t="e">
        <f>AVERAGE(Table1[Feedback - CLARTE : J''ai une vision claire de l’objectif final du programme])</f>
        <v>#DIV/0!</v>
      </c>
      <c r="K1" t="e">
        <f>AVERAGE(Table1[Si la réponse comporte moins de 2 étoiles OUI, merci de préciser votre réponse dans le champs ci-dessous :])</f>
        <v>#DIV/0!</v>
      </c>
      <c r="L1" t="e">
        <f>AVERAGE(Table1[Points - Si la réponse comporte moins de 2 étoiles OUI, merci de préciser votre réponse dans le champs ci-dessous :])</f>
        <v>#DIV/0!</v>
      </c>
      <c r="M1" t="e">
        <f>AVERAGE(Table1[Feedback - Si la réponse comporte moins de 2 étoiles OUI, merci de préciser votre réponse dans le champs ci-dessous :])</f>
        <v>#DIV/0!</v>
      </c>
      <c r="N1">
        <f>AVERAGE(Table1[ALIGNEMENT : Je suis aligné sur l’objectif final du programme])</f>
        <v>4.1111111111111107</v>
      </c>
      <c r="O1" t="e">
        <f>AVERAGE(Table1[Points - ALIGNEMENT : Je suis aligné sur l’objectif final du programme])</f>
        <v>#DIV/0!</v>
      </c>
      <c r="P1" t="e">
        <f>AVERAGE(Table1[Feedback - ALIGNEMENT : Je suis aligné sur l’objectif final du programme])</f>
        <v>#DIV/0!</v>
      </c>
      <c r="Q1" t="e">
        <f>AVERAGE(Table1[Si la réponse comporte moins de 2 étoiles OUI, merci de préciser votre réponse dans le champs ci-dessous :2])</f>
        <v>#DIV/0!</v>
      </c>
      <c r="R1" t="e">
        <f>AVERAGE(Table1[Points - Si la réponse comporte moins de 2 étoiles OUI, merci de préciser votre réponse dans le champs ci-dessous :2])</f>
        <v>#DIV/0!</v>
      </c>
      <c r="S1" t="e">
        <f>AVERAGE(Table1[Feedback - Si la réponse comporte moins de 2 étoiles OUI, merci de préciser votre réponse dans le champs ci-dessous :2])</f>
        <v>#DIV/0!</v>
      </c>
      <c r="T1">
        <f>AVERAGE(Table1[ENGAGEMENT  : Je supporte l’objectif du programme])</f>
        <v>4.5925925925925926</v>
      </c>
      <c r="U1" t="e">
        <f>AVERAGE(Table1[Points - ENGAGEMENT  : Je supporte l’objectif du programme])</f>
        <v>#DIV/0!</v>
      </c>
      <c r="V1" t="e">
        <f>AVERAGE(Table1[Feedback - ENGAGEMENT  : Je supporte l’objectif du programme])</f>
        <v>#DIV/0!</v>
      </c>
      <c r="W1" t="e">
        <f>AVERAGE(Table1[Si la réponse comporte moins de 2 étoiles OUI, merci de préciser votre réponse dans le champs ci-dessous :3])</f>
        <v>#DIV/0!</v>
      </c>
      <c r="X1" t="e">
        <f>AVERAGE(Table1[Points - Si la réponse comporte moins de 2 étoiles OUI, merci de préciser votre réponse dans le champs ci-dessous :3])</f>
        <v>#DIV/0!</v>
      </c>
      <c r="Y1" t="e">
        <f>AVERAGE(Table1[Feedback - Si la réponse comporte moins de 2 étoiles OUI, merci de préciser votre réponse dans le champs ci-dessous :3])</f>
        <v>#DIV/0!</v>
      </c>
      <c r="Z1">
        <f>AVERAGE(Table1[SOLUTION  : L’approche pour atteindre l’objectif du programme est solide])</f>
        <v>3.7037037037037037</v>
      </c>
      <c r="AA1" t="e">
        <f>AVERAGE(Table1[Points - SOLUTION  : L’approche pour atteindre l’objectif du programme est solide])</f>
        <v>#DIV/0!</v>
      </c>
      <c r="AB1" t="e">
        <f>AVERAGE(Table1[Feedback - SOLUTION  : L’approche pour atteindre l’objectif du programme est solide])</f>
        <v>#DIV/0!</v>
      </c>
      <c r="AC1" t="e">
        <f>AVERAGE(Table1[Si la réponse comporte moins de 2 étoiles OUI, merci de préciser votre réponse dans le champs ci-dessous :4])</f>
        <v>#DIV/0!</v>
      </c>
      <c r="AD1" t="e">
        <f>AVERAGE(Table1[Points - Si la réponse comporte moins de 2 étoiles OUI, merci de préciser votre réponse dans le champs ci-dessous :4])</f>
        <v>#DIV/0!</v>
      </c>
      <c r="AE1" t="e">
        <f>AVERAGE(Table1[Feedback - Si la réponse comporte moins de 2 étoiles OUI, merci de préciser votre réponse dans le champs ci-dessous :4])</f>
        <v>#DIV/0!</v>
      </c>
      <c r="AF1">
        <f>AVERAGE(Table1[INTEGRITE : Les objectifs initiaux du programme restent les mêmes])</f>
        <v>3.8518518518518516</v>
      </c>
      <c r="AG1" t="e">
        <f>AVERAGE(Table1[Points - INTEGRITE : Les objectifs initiaux du programme restent les mêmes])</f>
        <v>#DIV/0!</v>
      </c>
      <c r="AH1" t="e">
        <f>AVERAGE(Table1[Feedback - INTEGRITE : Les objectifs initiaux du programme restent les mêmes])</f>
        <v>#DIV/0!</v>
      </c>
      <c r="AI1" t="e">
        <f>AVERAGE(Table1[Si la réponse comporte moins de 2 étoiles OUI, merci de préciser votre réponse dans le champs ci-dessous :5])</f>
        <v>#DIV/0!</v>
      </c>
      <c r="AJ1" t="e">
        <f>AVERAGE(Table1[Points - Si la réponse comporte moins de 2 étoiles OUI, merci de préciser votre réponse dans le champs ci-dessous :5])</f>
        <v>#DIV/0!</v>
      </c>
      <c r="AK1" t="e">
        <f>AVERAGE(Table1[Feedback - Si la réponse comporte moins de 2 étoiles OUI, merci de préciser votre réponse dans le champs ci-dessous :5])</f>
        <v>#DIV/0!</v>
      </c>
      <c r="AL1">
        <f>AVERAGE(Table1[SPONSORSHIP  : Les leaders fournissent le niveau de sponsorship suffisant pour supporter le programme])</f>
        <v>3.6666666666666665</v>
      </c>
      <c r="AM1" t="e">
        <f>AVERAGE(Table1[Points - SPONSORSHIP  : Les leaders fournissent le niveau de sponsorship suffisant pour supporter le programme])</f>
        <v>#DIV/0!</v>
      </c>
      <c r="AN1" t="e">
        <f>AVERAGE(Table1[Feedback - SPONSORSHIP  : Les leaders fournissent le niveau de sponsorship suffisant pour supporter le programme])</f>
        <v>#DIV/0!</v>
      </c>
      <c r="AO1" t="e">
        <f>AVERAGE(Table1[Si la réponse comporte moins de 2 étoiles OUI, merci de préciser votre réponse dans le champs ci-dessous :6])</f>
        <v>#DIV/0!</v>
      </c>
      <c r="AP1" t="e">
        <f>AVERAGE(Table1[Points - Si la réponse comporte moins de 2 étoiles OUI, merci de préciser votre réponse dans le champs ci-dessous :6])</f>
        <v>#DIV/0!</v>
      </c>
      <c r="AQ1" t="e">
        <f>AVERAGE(Table1[Feedback - Si la réponse comporte moins de 2 étoiles OUI, merci de préciser votre réponse dans le champs ci-dessous :6])</f>
        <v>#DIV/0!</v>
      </c>
      <c r="AR1">
        <f>AVERAGE(Table1[CAPACITE : Ce changement entraine une charge de travail que nous pouvons absorber sur le site])</f>
        <v>3.0370370370370372</v>
      </c>
      <c r="AS1" t="e">
        <f>AVERAGE(Table1[Points - CAPACITE : Ce changement entraine une charge de travail que nous pouvons absorber sur le site])</f>
        <v>#DIV/0!</v>
      </c>
      <c r="AT1" t="e">
        <f>AVERAGE(Table1[Feedback - CAPACITE : Ce changement entraine une charge de travail que nous pouvons absorber sur le site])</f>
        <v>#DIV/0!</v>
      </c>
      <c r="AU1" t="e">
        <f>AVERAGE(Table1[Si la réponse comporte moins de 2 étoiles OUI, merci de préciser votre réponse dans le champs ci-dessous :7])</f>
        <v>#DIV/0!</v>
      </c>
      <c r="AV1" t="e">
        <f>AVERAGE(Table1[Points - Si la réponse comporte moins de 2 étoiles OUI, merci de préciser votre réponse dans le champs ci-dessous :7])</f>
        <v>#DIV/0!</v>
      </c>
      <c r="AW1" t="e">
        <f>AVERAGE(Table1[Feedback - Si la réponse comporte moins de 2 étoiles OUI, merci de préciser votre réponse dans le champs ci-dessous :7])</f>
        <v>#DIV/0!</v>
      </c>
      <c r="AX1">
        <f>AVERAGE(Table1[CULTURE  : Nous avons la culture appropriée pour absorber ce changement])</f>
        <v>3.6296296296296298</v>
      </c>
      <c r="AY1" t="e">
        <f>AVERAGE(Table1[Points - CULTURE  : Nous avons la culture appropriée pour absorber ce changement])</f>
        <v>#DIV/0!</v>
      </c>
      <c r="AZ1" t="e">
        <f>AVERAGE(Table1[Feedback - CULTURE  : Nous avons la culture appropriée pour absorber ce changement])</f>
        <v>#DIV/0!</v>
      </c>
      <c r="BA1" t="e">
        <f>AVERAGE(Table1[Si la réponse comporte moins de 2 étoiles OUI, merci de préciser votre réponse dans le champs ci-dessous :8])</f>
        <v>#DIV/0!</v>
      </c>
      <c r="BB1" t="e">
        <f>AVERAGE(Table1[Feedback - Si la réponse comporte moins de 2 étoiles OUI, merci de préciser votre réponse dans le champs ci-dessous :8])</f>
        <v>#DIV/0!</v>
      </c>
      <c r="BC1" t="e">
        <f>AVERAGE(Table1[Points - Si la réponse comporte moins de 2 étoiles OUI, merci de préciser votre réponse dans le champs ci-dessous :8])</f>
        <v>#DIV/0!</v>
      </c>
      <c r="BD1">
        <f>AVERAGE(Table1[RESISTANCE  : Les personnes impactées par ce changement démontrent l''engagement nécessaire pour réussir sa mise en place])</f>
        <v>4.1111111111111107</v>
      </c>
      <c r="BE1" t="e">
        <f>AVERAGE(Table1[Feedback - RESISTANCE  : Les personnes impactées par ce changement démontrent l''engagement nécessaire pour réussir sa mise en place])</f>
        <v>#DIV/0!</v>
      </c>
      <c r="BF1" t="e">
        <f>AVERAGE(Table1[Points - RESISTANCE  : Les personnes impactées par ce changement démontrent l''engagement nécessaire pour réussir sa mise en place])</f>
        <v>#DIV/0!</v>
      </c>
      <c r="BG1" t="e">
        <f>AVERAGE(Table1[Si la réponse comporte moins de 2 étoiles OUI, merci de préciser votre réponse dans le champs ci-dessous :9])</f>
        <v>#DIV/0!</v>
      </c>
      <c r="BH1" t="e">
        <f>AVERAGE(Table1[Feedback - Si la réponse comporte moins de 2 étoiles OUI, merci de préciser votre réponse dans le champs ci-dessous :9])</f>
        <v>#DIV/0!</v>
      </c>
      <c r="BI1" t="e">
        <f>AVERAGE(Table1[Points - Si la réponse comporte moins de 2 étoiles OUI, merci de préciser votre réponse dans le champs ci-dessous :9])</f>
        <v>#DIV/0!</v>
      </c>
      <c r="BJ1">
        <f>AVERAGE(Table1[SYNERGIE : Nos efforts de collaboration pour ce projet nous font gagner du temps plus qu’il n’en coute])</f>
        <v>3.7777777777777777</v>
      </c>
      <c r="BK1" t="e">
        <f>AVERAGE(Table1[Feedback - SYNERGIE : Nos efforts de collaboration pour ce projet nous font gagner du temps plus qu’il n’en coute])</f>
        <v>#DIV/0!</v>
      </c>
      <c r="BL1" t="e">
        <f>AVERAGE(Table1[Points - SYNERGIE : Nos efforts de collaboration pour ce projet nous font gagner du temps plus qu’il n’en coute])</f>
        <v>#DIV/0!</v>
      </c>
      <c r="BM1" t="e">
        <f>AVERAGE(Table1[Si la réponse comporte moins de 2 étoiles OUI, merci de préciser votre réponse dans le champs ci-dessous :10])</f>
        <v>#DIV/0!</v>
      </c>
      <c r="BN1" t="e">
        <f>AVERAGE(Table1[Feedback - Si la réponse comporte moins de 2 étoiles OUI, merci de préciser votre réponse dans le champs ci-dessous :10])</f>
        <v>#DIV/0!</v>
      </c>
      <c r="BO1" t="e">
        <f>AVERAGE(Table1[Points - Si la réponse comporte moins de 2 étoiles OUI, merci de préciser votre réponse dans le champs ci-dessous :10])</f>
        <v>#DIV/0!</v>
      </c>
      <c r="BP1">
        <f>AVERAGE(Table1[PARTENARIAT : Nos interactions avec des partenaires externes sont suffisantes pour supporter ce changement])</f>
        <v>3.7037037037037037</v>
      </c>
      <c r="BQ1" t="e">
        <f>AVERAGE(Table1[Feedback - PARTENARIAT : Nos interactions avec des partenaires externes sont suffisantes pour supporter ce changement])</f>
        <v>#DIV/0!</v>
      </c>
      <c r="BR1" t="e">
        <f>AVERAGE(Table1[Points - PARTENARIAT : Nos interactions avec des partenaires externes sont suffisantes pour supporter ce changement])</f>
        <v>#DIV/0!</v>
      </c>
      <c r="BS1" t="e">
        <f>AVERAGE(Table1[Si la réponse comporte moins de 2 étoiles OUI, merci de préciser votre réponse dans le champs ci-dessous :11])</f>
        <v>#DIV/0!</v>
      </c>
      <c r="BT1" t="e">
        <f>AVERAGE(Table1[Feedback - Si la réponse comporte moins de 2 étoiles OUI, merci de préciser votre réponse dans le champs ci-dessous :11])</f>
        <v>#DIV/0!</v>
      </c>
      <c r="BU1" t="e">
        <f>AVERAGE(Table1[Points - Si la réponse comporte moins de 2 étoiles OUI, merci de préciser votre réponse dans le champs ci-dessous :11])</f>
        <v>#DIV/0!</v>
      </c>
      <c r="BV1">
        <f>AVERAGE(Table1[SUPERVISION : Les instances de pilotage permettent de prendre des décisions rapides et efficaces])</f>
        <v>3.3703703703703702</v>
      </c>
      <c r="BW1" t="e">
        <f>AVERAGE(Table1[Points - SUPERVISION : Les instances de pilotage permettent de prendre des décisions rapides et efficaces])</f>
        <v>#DIV/0!</v>
      </c>
      <c r="BX1" t="e">
        <f>AVERAGE(Table1[Feedback - SUPERVISION : Les instances de pilotage permettent de prendre des décisions rapides et efficaces])</f>
        <v>#DIV/0!</v>
      </c>
      <c r="BY1" t="e">
        <f>AVERAGE(Table1[Si la réponse comporte moins de 2 étoiles OUI, merci de préciser votre réponse dans le champs ci-dessous :12])</f>
        <v>#DIV/0!</v>
      </c>
      <c r="BZ1" t="e">
        <f>AVERAGE(Table1[Points - Si la réponse comporte moins de 2 étoiles OUI, merci de préciser votre réponse dans le champs ci-dessous :12])</f>
        <v>#DIV/0!</v>
      </c>
      <c r="CA1" t="e">
        <f>AVERAGE(Table1[Feedback - Si la réponse comporte moins de 2 étoiles OUI, merci de préciser votre réponse dans le champs ci-dessous :12])</f>
        <v>#DIV/0!</v>
      </c>
      <c r="CB1">
        <f>AVERAGE(Table1[RESSOURCES : Les ressources sont suffisantes pour absorber ce changement])</f>
        <v>2.8518518518518516</v>
      </c>
      <c r="CC1" t="e">
        <f>AVERAGE(Table1[Points - RESSOURCES : Les ressources sont suffisantes pour absorber ce changement])</f>
        <v>#DIV/0!</v>
      </c>
      <c r="CD1" t="e">
        <f>AVERAGE(Table1[Feedback - RESSOURCES : Les ressources sont suffisantes pour absorber ce changement])</f>
        <v>#DIV/0!</v>
      </c>
      <c r="CE1" t="e">
        <f>AVERAGE(Table1[Si la réponse comporte moins de 2 étoiles OUI, merci de préciser votre réponse dans le champs ci-dessous :13])</f>
        <v>#DIV/0!</v>
      </c>
      <c r="CF1" t="e">
        <f>AVERAGE(Table1[Points - Si la réponse comporte moins de 2 étoiles OUI, merci de préciser votre réponse dans le champs ci-dessous :13])</f>
        <v>#DIV/0!</v>
      </c>
      <c r="CG1" t="e">
        <f>AVERAGE(Table1[Feedback - Si la réponse comporte moins de 2 étoiles OUI, merci de préciser votre réponse dans le champs ci-dessous :13])</f>
        <v>#DIV/0!</v>
      </c>
      <c r="CH1">
        <f>AVERAGE(Table1[PORTFOLIO : Les interactions de ce projet avec les autres initiatives sont gérées correctement])</f>
        <v>3.2592592592592591</v>
      </c>
      <c r="CI1" t="e">
        <f>AVERAGE(Table1[Points - PORTFOLIO : Les interactions de ce projet avec les autres initiatives sont gérées correctement])</f>
        <v>#DIV/0!</v>
      </c>
      <c r="CJ1" t="e">
        <f>AVERAGE(Table1[Feedback - PORTFOLIO : Les interactions de ce projet avec les autres initiatives sont gérées correctement])</f>
        <v>#DIV/0!</v>
      </c>
      <c r="CK1" t="e">
        <f>AVERAGE(Table1[Si la réponse comporte moins de 2 étoiles OUI, merci de préciser votre réponse dans le champs ci-dessous :14])</f>
        <v>#DIV/0!</v>
      </c>
      <c r="CL1" t="e">
        <f>AVERAGE(Table1[Points - Si la réponse comporte moins de 2 étoiles OUI, merci de préciser votre réponse dans le champs ci-dessous :14])</f>
        <v>#DIV/0!</v>
      </c>
      <c r="CM1" t="e">
        <f>AVERAGE(Table1[Feedback - Si la réponse comporte moins de 2 étoiles OUI, merci de préciser votre réponse dans le champs ci-dessous :14])</f>
        <v>#DIV/0!</v>
      </c>
      <c r="CN1">
        <f>AVERAGE(Table1[CHEMIN CRITIQUE : Les délais et ressources à travers de ce projet sont gérés efficacement])</f>
        <v>3.2962962962962963</v>
      </c>
      <c r="CO1" t="e">
        <f>AVERAGE(Table1[Points - CHEMIN CRITIQUE : Les délais et ressources à travers de ce projet sont gérés efficacement])</f>
        <v>#DIV/0!</v>
      </c>
      <c r="CP1" t="e">
        <f>AVERAGE(Table1[Feedback - CHEMIN CRITIQUE : Les délais et ressources à travers de ce projet sont gérés efficacement])</f>
        <v>#DIV/0!</v>
      </c>
      <c r="CQ1" t="e">
        <f>AVERAGE(Table1[Si la réponse comporte moins de 2 étoiles OUI, merci de préciser votre réponse dans le champs ci-dessous :15])</f>
        <v>#DIV/0!</v>
      </c>
      <c r="CR1" t="e">
        <f>AVERAGE(Table1[Points - Si la réponse comporte moins de 2 étoiles OUI, merci de préciser votre réponse dans le champs ci-dessous :15])</f>
        <v>#DIV/0!</v>
      </c>
      <c r="CS1" t="e">
        <f>AVERAGE(Table1[Feedback - Si la réponse comporte moins de 2 étoiles OUI, merci de préciser votre réponse dans le champs ci-dessous :15])</f>
        <v>#DIV/0!</v>
      </c>
    </row>
    <row r="2" spans="1:97" x14ac:dyDescent="0.25">
      <c r="A2">
        <f>MIN(Table1[ID])</f>
        <v>4</v>
      </c>
      <c r="B2">
        <f>MIN(Table1[Heure de début])</f>
        <v>44896.704687500001</v>
      </c>
      <c r="C2">
        <f>MIN(Table1[Heure de fin])</f>
        <v>44896.705277777801</v>
      </c>
      <c r="D2">
        <f>MIN(Table1[Adresse de messagerie])</f>
        <v>0</v>
      </c>
      <c r="E2">
        <f>MIN(Table1[Nom])</f>
        <v>0</v>
      </c>
      <c r="F2">
        <f>MIN(Table1[Total points])</f>
        <v>0</v>
      </c>
      <c r="G2">
        <f>MIN(Table1[Quiz feedback])</f>
        <v>0</v>
      </c>
      <c r="H2">
        <f>MIN(Table1[CLARTE : J''ai une vision claire de l’objectif final du programme])</f>
        <v>3</v>
      </c>
      <c r="I2">
        <f>MIN(Table1[Points - CLARTE : J''ai une vision claire de l’objectif final du programme])</f>
        <v>0</v>
      </c>
      <c r="J2">
        <f>MIN(Table1[Feedback - CLARTE : J''ai une vision claire de l’objectif final du programme])</f>
        <v>0</v>
      </c>
      <c r="K2">
        <f>MIN(Table1[Si la réponse comporte moins de 2 étoiles OUI, merci de préciser votre réponse dans le champs ci-dessous :])</f>
        <v>0</v>
      </c>
      <c r="L2">
        <f>MIN(Table1[Points - Si la réponse comporte moins de 2 étoiles OUI, merci de préciser votre réponse dans le champs ci-dessous :])</f>
        <v>0</v>
      </c>
      <c r="M2">
        <f>MIN(Table1[Feedback - Si la réponse comporte moins de 2 étoiles OUI, merci de préciser votre réponse dans le champs ci-dessous :])</f>
        <v>0</v>
      </c>
      <c r="N2">
        <f>MIN(Table1[ALIGNEMENT : Je suis aligné sur l’objectif final du programme])</f>
        <v>2</v>
      </c>
      <c r="O2">
        <f>MIN(Table1[Points - ALIGNEMENT : Je suis aligné sur l’objectif final du programme])</f>
        <v>0</v>
      </c>
      <c r="P2">
        <f>MIN(Table1[Feedback - ALIGNEMENT : Je suis aligné sur l’objectif final du programme])</f>
        <v>0</v>
      </c>
      <c r="Q2">
        <f>MIN(Table1[Si la réponse comporte moins de 2 étoiles OUI, merci de préciser votre réponse dans le champs ci-dessous :2])</f>
        <v>0</v>
      </c>
      <c r="R2">
        <f>MIN(Table1[Points - Si la réponse comporte moins de 2 étoiles OUI, merci de préciser votre réponse dans le champs ci-dessous :2])</f>
        <v>0</v>
      </c>
      <c r="S2">
        <f>MIN(Table1[Feedback - Si la réponse comporte moins de 2 étoiles OUI, merci de préciser votre réponse dans le champs ci-dessous :2])</f>
        <v>0</v>
      </c>
      <c r="T2">
        <f>MIN(Table1[ENGAGEMENT  : Je supporte l’objectif du programme])</f>
        <v>2</v>
      </c>
      <c r="U2">
        <f>MIN(Table1[Points - ENGAGEMENT  : Je supporte l’objectif du programme])</f>
        <v>0</v>
      </c>
      <c r="V2">
        <f>MIN(Table1[Feedback - ENGAGEMENT  : Je supporte l’objectif du programme])</f>
        <v>0</v>
      </c>
      <c r="W2">
        <f>MIN(Table1[Si la réponse comporte moins de 2 étoiles OUI, merci de préciser votre réponse dans le champs ci-dessous :3])</f>
        <v>0</v>
      </c>
      <c r="X2">
        <f>MIN(Table1[Points - Si la réponse comporte moins de 2 étoiles OUI, merci de préciser votre réponse dans le champs ci-dessous :3])</f>
        <v>0</v>
      </c>
      <c r="Y2">
        <f>MIN(Table1[Feedback - Si la réponse comporte moins de 2 étoiles OUI, merci de préciser votre réponse dans le champs ci-dessous :3])</f>
        <v>0</v>
      </c>
      <c r="Z2">
        <f>MIN(Table1[SOLUTION  : L’approche pour atteindre l’objectif du programme est solide])</f>
        <v>2</v>
      </c>
      <c r="AA2">
        <f>MIN(Table1[Points - SOLUTION  : L’approche pour atteindre l’objectif du programme est solide])</f>
        <v>0</v>
      </c>
      <c r="AB2">
        <f>MIN(Table1[Feedback - SOLUTION  : L’approche pour atteindre l’objectif du programme est solide])</f>
        <v>0</v>
      </c>
      <c r="AC2">
        <f>MIN(Table1[Si la réponse comporte moins de 2 étoiles OUI, merci de préciser votre réponse dans le champs ci-dessous :4])</f>
        <v>0</v>
      </c>
      <c r="AD2">
        <f>MIN(Table1[Points - Si la réponse comporte moins de 2 étoiles OUI, merci de préciser votre réponse dans le champs ci-dessous :4])</f>
        <v>0</v>
      </c>
      <c r="AE2">
        <f>MIN(Table1[Feedback - Si la réponse comporte moins de 2 étoiles OUI, merci de préciser votre réponse dans le champs ci-dessous :4])</f>
        <v>0</v>
      </c>
      <c r="AF2">
        <f>MIN(Table1[INTEGRITE : Les objectifs initiaux du programme restent les mêmes])</f>
        <v>1</v>
      </c>
      <c r="AG2">
        <f>MIN(Table1[Points - INTEGRITE : Les objectifs initiaux du programme restent les mêmes])</f>
        <v>0</v>
      </c>
      <c r="AH2">
        <f>MIN(Table1[Feedback - INTEGRITE : Les objectifs initiaux du programme restent les mêmes])</f>
        <v>0</v>
      </c>
      <c r="AI2">
        <f>MIN(Table1[Si la réponse comporte moins de 2 étoiles OUI, merci de préciser votre réponse dans le champs ci-dessous :5])</f>
        <v>0</v>
      </c>
      <c r="AJ2">
        <f>MIN(Table1[Points - Si la réponse comporte moins de 2 étoiles OUI, merci de préciser votre réponse dans le champs ci-dessous :5])</f>
        <v>0</v>
      </c>
      <c r="AK2">
        <f>MIN(Table1[Feedback - Si la réponse comporte moins de 2 étoiles OUI, merci de préciser votre réponse dans le champs ci-dessous :5])</f>
        <v>0</v>
      </c>
      <c r="AL2">
        <f>MIN(Table1[SPONSORSHIP  : Les leaders fournissent le niveau de sponsorship suffisant pour supporter le programme])</f>
        <v>1</v>
      </c>
      <c r="AM2">
        <f>MIN(Table1[Points - SPONSORSHIP  : Les leaders fournissent le niveau de sponsorship suffisant pour supporter le programme])</f>
        <v>0</v>
      </c>
      <c r="AN2">
        <f>MIN(Table1[Feedback - SPONSORSHIP  : Les leaders fournissent le niveau de sponsorship suffisant pour supporter le programme])</f>
        <v>0</v>
      </c>
      <c r="AO2">
        <f>MIN(Table1[Si la réponse comporte moins de 2 étoiles OUI, merci de préciser votre réponse dans le champs ci-dessous :6])</f>
        <v>0</v>
      </c>
      <c r="AP2">
        <f>MIN(Table1[Points - Si la réponse comporte moins de 2 étoiles OUI, merci de préciser votre réponse dans le champs ci-dessous :6])</f>
        <v>0</v>
      </c>
      <c r="AQ2">
        <f>MIN(Table1[Feedback - Si la réponse comporte moins de 2 étoiles OUI, merci de préciser votre réponse dans le champs ci-dessous :6])</f>
        <v>0</v>
      </c>
      <c r="AR2">
        <f>MIN(Table1[CAPACITE : Ce changement entraine une charge de travail que nous pouvons absorber sur le site])</f>
        <v>1</v>
      </c>
      <c r="AS2">
        <f>MIN(Table1[Points - CAPACITE : Ce changement entraine une charge de travail que nous pouvons absorber sur le site])</f>
        <v>0</v>
      </c>
      <c r="AT2">
        <f>MIN(Table1[Feedback - CAPACITE : Ce changement entraine une charge de travail que nous pouvons absorber sur le site])</f>
        <v>0</v>
      </c>
      <c r="AU2">
        <f>MIN(Table1[Si la réponse comporte moins de 2 étoiles OUI, merci de préciser votre réponse dans le champs ci-dessous :7])</f>
        <v>0</v>
      </c>
      <c r="AV2">
        <f>MIN(Table1[Points - Si la réponse comporte moins de 2 étoiles OUI, merci de préciser votre réponse dans le champs ci-dessous :7])</f>
        <v>0</v>
      </c>
      <c r="AW2">
        <f>MIN(Table1[Feedback - Si la réponse comporte moins de 2 étoiles OUI, merci de préciser votre réponse dans le champs ci-dessous :7])</f>
        <v>0</v>
      </c>
      <c r="AX2">
        <f>MIN(Table1[CULTURE  : Nous avons la culture appropriée pour absorber ce changement])</f>
        <v>1</v>
      </c>
      <c r="AY2">
        <f>MIN(Table1[Points - CULTURE  : Nous avons la culture appropriée pour absorber ce changement])</f>
        <v>0</v>
      </c>
      <c r="AZ2">
        <f>MIN(Table1[Feedback - CULTURE  : Nous avons la culture appropriée pour absorber ce changement])</f>
        <v>0</v>
      </c>
      <c r="BA2">
        <f>MIN(Table1[Si la réponse comporte moins de 2 étoiles OUI, merci de préciser votre réponse dans le champs ci-dessous :8])</f>
        <v>0</v>
      </c>
      <c r="BB2">
        <f>MIN(Table1[Feedback - Si la réponse comporte moins de 2 étoiles OUI, merci de préciser votre réponse dans le champs ci-dessous :8])</f>
        <v>0</v>
      </c>
      <c r="BC2">
        <f>MIN(Table1[Points - Si la réponse comporte moins de 2 étoiles OUI, merci de préciser votre réponse dans le champs ci-dessous :8])</f>
        <v>0</v>
      </c>
      <c r="BD2">
        <f>MIN(Table1[RESISTANCE  : Les personnes impactées par ce changement démontrent l''engagement nécessaire pour réussir sa mise en place])</f>
        <v>1</v>
      </c>
      <c r="BE2">
        <f>MIN(Table1[Feedback - RESISTANCE  : Les personnes impactées par ce changement démontrent l''engagement nécessaire pour réussir sa mise en place])</f>
        <v>0</v>
      </c>
      <c r="BF2">
        <f>MIN(Table1[Points - RESISTANCE  : Les personnes impactées par ce changement démontrent l''engagement nécessaire pour réussir sa mise en place])</f>
        <v>0</v>
      </c>
      <c r="BG2">
        <f>MIN(Table1[Si la réponse comporte moins de 2 étoiles OUI, merci de préciser votre réponse dans le champs ci-dessous :9])</f>
        <v>0</v>
      </c>
      <c r="BH2">
        <f>MIN(Table1[Feedback - Si la réponse comporte moins de 2 étoiles OUI, merci de préciser votre réponse dans le champs ci-dessous :9])</f>
        <v>0</v>
      </c>
      <c r="BI2">
        <f>MIN(Table1[Points - Si la réponse comporte moins de 2 étoiles OUI, merci de préciser votre réponse dans le champs ci-dessous :9])</f>
        <v>0</v>
      </c>
      <c r="BJ2">
        <f>MIN(Table1[SYNERGIE : Nos efforts de collaboration pour ce projet nous font gagner du temps plus qu’il n’en coute])</f>
        <v>1</v>
      </c>
      <c r="BK2">
        <f>MIN(Table1[Feedback - SYNERGIE : Nos efforts de collaboration pour ce projet nous font gagner du temps plus qu’il n’en coute])</f>
        <v>0</v>
      </c>
      <c r="BL2">
        <f>MIN(Table1[Points - SYNERGIE : Nos efforts de collaboration pour ce projet nous font gagner du temps plus qu’il n’en coute])</f>
        <v>0</v>
      </c>
      <c r="BM2">
        <f>MIN(Table1[Si la réponse comporte moins de 2 étoiles OUI, merci de préciser votre réponse dans le champs ci-dessous :10])</f>
        <v>0</v>
      </c>
      <c r="BN2">
        <f>MIN(Table1[Feedback - Si la réponse comporte moins de 2 étoiles OUI, merci de préciser votre réponse dans le champs ci-dessous :10])</f>
        <v>0</v>
      </c>
      <c r="BO2">
        <f>MIN(Table1[Points - Si la réponse comporte moins de 2 étoiles OUI, merci de préciser votre réponse dans le champs ci-dessous :10])</f>
        <v>0</v>
      </c>
      <c r="BP2">
        <f>MIN(Table1[PARTENARIAT : Nos interactions avec des partenaires externes sont suffisantes pour supporter ce changement])</f>
        <v>3</v>
      </c>
      <c r="BQ2">
        <f>MIN(Table1[Feedback - PARTENARIAT : Nos interactions avec des partenaires externes sont suffisantes pour supporter ce changement])</f>
        <v>0</v>
      </c>
      <c r="BR2">
        <f>MIN(Table1[Points - PARTENARIAT : Nos interactions avec des partenaires externes sont suffisantes pour supporter ce changement])</f>
        <v>0</v>
      </c>
      <c r="BS2">
        <f>MIN(Table1[Si la réponse comporte moins de 2 étoiles OUI, merci de préciser votre réponse dans le champs ci-dessous :11])</f>
        <v>0</v>
      </c>
      <c r="BT2">
        <f>MIN(Table1[Feedback - Si la réponse comporte moins de 2 étoiles OUI, merci de préciser votre réponse dans le champs ci-dessous :11])</f>
        <v>0</v>
      </c>
      <c r="BU2">
        <f>MIN(Table1[Points - Si la réponse comporte moins de 2 étoiles OUI, merci de préciser votre réponse dans le champs ci-dessous :11])</f>
        <v>0</v>
      </c>
      <c r="BV2">
        <f>MIN(Table1[SUPERVISION : Les instances de pilotage permettent de prendre des décisions rapides et efficaces])</f>
        <v>1</v>
      </c>
      <c r="BW2">
        <f>MIN(Table1[Points - SUPERVISION : Les instances de pilotage permettent de prendre des décisions rapides et efficaces])</f>
        <v>0</v>
      </c>
      <c r="BX2">
        <f>MIN(Table1[Feedback - SUPERVISION : Les instances de pilotage permettent de prendre des décisions rapides et efficaces])</f>
        <v>0</v>
      </c>
      <c r="BY2">
        <f>MIN(Table1[Si la réponse comporte moins de 2 étoiles OUI, merci de préciser votre réponse dans le champs ci-dessous :12])</f>
        <v>0</v>
      </c>
      <c r="BZ2">
        <f>MIN(Table1[Points - Si la réponse comporte moins de 2 étoiles OUI, merci de préciser votre réponse dans le champs ci-dessous :12])</f>
        <v>0</v>
      </c>
      <c r="CA2">
        <f>MIN(Table1[Feedback - Si la réponse comporte moins de 2 étoiles OUI, merci de préciser votre réponse dans le champs ci-dessous :12])</f>
        <v>0</v>
      </c>
      <c r="CB2">
        <f>MIN(Table1[RESSOURCES : Les ressources sont suffisantes pour absorber ce changement])</f>
        <v>1</v>
      </c>
      <c r="CC2">
        <f>MIN(Table1[Points - RESSOURCES : Les ressources sont suffisantes pour absorber ce changement])</f>
        <v>0</v>
      </c>
      <c r="CD2">
        <f>MIN(Table1[Feedback - RESSOURCES : Les ressources sont suffisantes pour absorber ce changement])</f>
        <v>0</v>
      </c>
      <c r="CE2">
        <f>MIN(Table1[Si la réponse comporte moins de 2 étoiles OUI, merci de préciser votre réponse dans le champs ci-dessous :13])</f>
        <v>0</v>
      </c>
      <c r="CF2">
        <f>MIN(Table1[Points - Si la réponse comporte moins de 2 étoiles OUI, merci de préciser votre réponse dans le champs ci-dessous :13])</f>
        <v>0</v>
      </c>
      <c r="CG2">
        <f>MIN(Table1[Feedback - Si la réponse comporte moins de 2 étoiles OUI, merci de préciser votre réponse dans le champs ci-dessous :13])</f>
        <v>0</v>
      </c>
      <c r="CH2">
        <f>MIN(Table1[PORTFOLIO : Les interactions de ce projet avec les autres initiatives sont gérées correctement])</f>
        <v>1</v>
      </c>
      <c r="CI2">
        <f>MIN(Table1[Points - PORTFOLIO : Les interactions de ce projet avec les autres initiatives sont gérées correctement])</f>
        <v>0</v>
      </c>
      <c r="CJ2">
        <f>MIN(Table1[Feedback - PORTFOLIO : Les interactions de ce projet avec les autres initiatives sont gérées correctement])</f>
        <v>0</v>
      </c>
      <c r="CK2">
        <f>MIN(Table1[Si la réponse comporte moins de 2 étoiles OUI, merci de préciser votre réponse dans le champs ci-dessous :14])</f>
        <v>0</v>
      </c>
      <c r="CL2">
        <f>MIN(Table1[Points - Si la réponse comporte moins de 2 étoiles OUI, merci de préciser votre réponse dans le champs ci-dessous :14])</f>
        <v>0</v>
      </c>
      <c r="CM2">
        <f>MIN(Table1[Feedback - Si la réponse comporte moins de 2 étoiles OUI, merci de préciser votre réponse dans le champs ci-dessous :14])</f>
        <v>0</v>
      </c>
      <c r="CN2">
        <f>MIN(Table1[CHEMIN CRITIQUE : Les délais et ressources à travers de ce projet sont gérés efficacement])</f>
        <v>2</v>
      </c>
      <c r="CO2">
        <f>MIN(Table1[Points - CHEMIN CRITIQUE : Les délais et ressources à travers de ce projet sont gérés efficacement])</f>
        <v>0</v>
      </c>
      <c r="CP2">
        <f>MIN(Table1[Feedback - CHEMIN CRITIQUE : Les délais et ressources à travers de ce projet sont gérés efficacement])</f>
        <v>0</v>
      </c>
      <c r="CQ2">
        <f>MIN(Table1[Si la réponse comporte moins de 2 étoiles OUI, merci de préciser votre réponse dans le champs ci-dessous :15])</f>
        <v>0</v>
      </c>
      <c r="CR2">
        <f>MIN(Table1[Points - Si la réponse comporte moins de 2 étoiles OUI, merci de préciser votre réponse dans le champs ci-dessous :15])</f>
        <v>0</v>
      </c>
      <c r="CS2">
        <f>MIN(Table1[Feedback - Si la réponse comporte moins de 2 étoiles OUI, merci de préciser votre réponse dans le champs ci-dessous :15])</f>
        <v>0</v>
      </c>
    </row>
    <row r="3" spans="1:97" x14ac:dyDescent="0.25">
      <c r="A3">
        <f>MAX(Table1[ID])</f>
        <v>30</v>
      </c>
      <c r="B3">
        <f>MAX(Table1[Heure de début])</f>
        <v>44904.683333333298</v>
      </c>
      <c r="C3">
        <f>MAX(Table1[Heure de fin])</f>
        <v>44904.694270833301</v>
      </c>
      <c r="D3">
        <f>MAX(Table1[Adresse de messagerie])</f>
        <v>0</v>
      </c>
      <c r="E3">
        <f>MAX(Table1[Nom])</f>
        <v>0</v>
      </c>
      <c r="F3">
        <f>MAX(Table1[Total points])</f>
        <v>0</v>
      </c>
      <c r="G3">
        <f>MAX(Table1[Quiz feedback])</f>
        <v>0</v>
      </c>
      <c r="H3">
        <f>MAX(Table1[CLARTE : J''ai une vision claire de l’objectif final du programme])</f>
        <v>5</v>
      </c>
      <c r="I3">
        <f>MAX(Table1[Points - CLARTE : J''ai une vision claire de l’objectif final du programme])</f>
        <v>0</v>
      </c>
      <c r="J3">
        <f>MAX(Table1[Feedback - CLARTE : J''ai une vision claire de l’objectif final du programme])</f>
        <v>0</v>
      </c>
      <c r="K3">
        <f>MAX(Table1[Si la réponse comporte moins de 2 étoiles OUI, merci de préciser votre réponse dans le champs ci-dessous :])</f>
        <v>0</v>
      </c>
      <c r="L3">
        <f>MAX(Table1[Points - Si la réponse comporte moins de 2 étoiles OUI, merci de préciser votre réponse dans le champs ci-dessous :])</f>
        <v>0</v>
      </c>
      <c r="M3">
        <f>MAX(Table1[Feedback - Si la réponse comporte moins de 2 étoiles OUI, merci de préciser votre réponse dans le champs ci-dessous :])</f>
        <v>0</v>
      </c>
      <c r="N3">
        <f>MAX(Table1[ALIGNEMENT : Je suis aligné sur l’objectif final du programme])</f>
        <v>5</v>
      </c>
      <c r="O3">
        <f>MAX(Table1[Points - ALIGNEMENT : Je suis aligné sur l’objectif final du programme])</f>
        <v>0</v>
      </c>
      <c r="P3">
        <f>MAX(Table1[Feedback - ALIGNEMENT : Je suis aligné sur l’objectif final du programme])</f>
        <v>0</v>
      </c>
      <c r="Q3">
        <f>MAX(Table1[Si la réponse comporte moins de 2 étoiles OUI, merci de préciser votre réponse dans le champs ci-dessous :2])</f>
        <v>0</v>
      </c>
      <c r="R3">
        <f>MAX(Table1[Points - Si la réponse comporte moins de 2 étoiles OUI, merci de préciser votre réponse dans le champs ci-dessous :2])</f>
        <v>0</v>
      </c>
      <c r="S3">
        <f>MAX(Table1[Feedback - Si la réponse comporte moins de 2 étoiles OUI, merci de préciser votre réponse dans le champs ci-dessous :2])</f>
        <v>0</v>
      </c>
      <c r="T3">
        <f>MAX(Table1[ENGAGEMENT  : Je supporte l’objectif du programme])</f>
        <v>5</v>
      </c>
      <c r="U3">
        <f>MAX(Table1[Points - ENGAGEMENT  : Je supporte l’objectif du programme])</f>
        <v>0</v>
      </c>
      <c r="V3">
        <f>MAX(Table1[Feedback - ENGAGEMENT  : Je supporte l’objectif du programme])</f>
        <v>0</v>
      </c>
      <c r="W3">
        <f>MAX(Table1[Si la réponse comporte moins de 2 étoiles OUI, merci de préciser votre réponse dans le champs ci-dessous :3])</f>
        <v>0</v>
      </c>
      <c r="X3">
        <f>MAX(Table1[Points - Si la réponse comporte moins de 2 étoiles OUI, merci de préciser votre réponse dans le champs ci-dessous :3])</f>
        <v>0</v>
      </c>
      <c r="Y3">
        <f>MAX(Table1[Feedback - Si la réponse comporte moins de 2 étoiles OUI, merci de préciser votre réponse dans le champs ci-dessous :3])</f>
        <v>0</v>
      </c>
      <c r="Z3">
        <f>MAX(Table1[SOLUTION  : L’approche pour atteindre l’objectif du programme est solide])</f>
        <v>5</v>
      </c>
      <c r="AA3">
        <f>MAX(Table1[Points - SOLUTION  : L’approche pour atteindre l’objectif du programme est solide])</f>
        <v>0</v>
      </c>
      <c r="AB3">
        <f>MAX(Table1[Feedback - SOLUTION  : L’approche pour atteindre l’objectif du programme est solide])</f>
        <v>0</v>
      </c>
      <c r="AC3">
        <f>MAX(Table1[Si la réponse comporte moins de 2 étoiles OUI, merci de préciser votre réponse dans le champs ci-dessous :4])</f>
        <v>0</v>
      </c>
      <c r="AD3">
        <f>MAX(Table1[Points - Si la réponse comporte moins de 2 étoiles OUI, merci de préciser votre réponse dans le champs ci-dessous :4])</f>
        <v>0</v>
      </c>
      <c r="AE3">
        <f>MAX(Table1[Feedback - Si la réponse comporte moins de 2 étoiles OUI, merci de préciser votre réponse dans le champs ci-dessous :4])</f>
        <v>0</v>
      </c>
      <c r="AF3">
        <f>MAX(Table1[INTEGRITE : Les objectifs initiaux du programme restent les mêmes])</f>
        <v>5</v>
      </c>
      <c r="AG3">
        <f>MAX(Table1[Points - INTEGRITE : Les objectifs initiaux du programme restent les mêmes])</f>
        <v>0</v>
      </c>
      <c r="AH3">
        <f>MAX(Table1[Feedback - INTEGRITE : Les objectifs initiaux du programme restent les mêmes])</f>
        <v>0</v>
      </c>
      <c r="AI3">
        <f>MAX(Table1[Si la réponse comporte moins de 2 étoiles OUI, merci de préciser votre réponse dans le champs ci-dessous :5])</f>
        <v>0</v>
      </c>
      <c r="AJ3">
        <f>MAX(Table1[Points - Si la réponse comporte moins de 2 étoiles OUI, merci de préciser votre réponse dans le champs ci-dessous :5])</f>
        <v>0</v>
      </c>
      <c r="AK3">
        <f>MAX(Table1[Feedback - Si la réponse comporte moins de 2 étoiles OUI, merci de préciser votre réponse dans le champs ci-dessous :5])</f>
        <v>0</v>
      </c>
      <c r="AL3">
        <f>MAX(Table1[SPONSORSHIP  : Les leaders fournissent le niveau de sponsorship suffisant pour supporter le programme])</f>
        <v>5</v>
      </c>
      <c r="AM3">
        <f>MAX(Table1[Points - SPONSORSHIP  : Les leaders fournissent le niveau de sponsorship suffisant pour supporter le programme])</f>
        <v>0</v>
      </c>
      <c r="AN3">
        <f>MAX(Table1[Feedback - SPONSORSHIP  : Les leaders fournissent le niveau de sponsorship suffisant pour supporter le programme])</f>
        <v>0</v>
      </c>
      <c r="AO3">
        <f>MAX(Table1[Si la réponse comporte moins de 2 étoiles OUI, merci de préciser votre réponse dans le champs ci-dessous :6])</f>
        <v>0</v>
      </c>
      <c r="AP3">
        <f>MAX(Table1[Points - Si la réponse comporte moins de 2 étoiles OUI, merci de préciser votre réponse dans le champs ci-dessous :6])</f>
        <v>0</v>
      </c>
      <c r="AQ3">
        <f>MAX(Table1[Feedback - Si la réponse comporte moins de 2 étoiles OUI, merci de préciser votre réponse dans le champs ci-dessous :6])</f>
        <v>0</v>
      </c>
      <c r="AR3">
        <f>MAX(Table1[CAPACITE : Ce changement entraine une charge de travail que nous pouvons absorber sur le site])</f>
        <v>5</v>
      </c>
      <c r="AS3">
        <f>MAX(Table1[Points - CAPACITE : Ce changement entraine une charge de travail que nous pouvons absorber sur le site])</f>
        <v>0</v>
      </c>
      <c r="AT3">
        <f>MAX(Table1[Feedback - CAPACITE : Ce changement entraine une charge de travail que nous pouvons absorber sur le site])</f>
        <v>0</v>
      </c>
      <c r="AU3">
        <f>MAX(Table1[Si la réponse comporte moins de 2 étoiles OUI, merci de préciser votre réponse dans le champs ci-dessous :7])</f>
        <v>0</v>
      </c>
      <c r="AV3">
        <f>MAX(Table1[Points - Si la réponse comporte moins de 2 étoiles OUI, merci de préciser votre réponse dans le champs ci-dessous :7])</f>
        <v>0</v>
      </c>
      <c r="AW3">
        <f>MAX(Table1[Feedback - Si la réponse comporte moins de 2 étoiles OUI, merci de préciser votre réponse dans le champs ci-dessous :7])</f>
        <v>0</v>
      </c>
      <c r="AX3">
        <f>MAX(Table1[CULTURE  : Nous avons la culture appropriée pour absorber ce changement])</f>
        <v>5</v>
      </c>
      <c r="AY3">
        <f>MAX(Table1[Points - CULTURE  : Nous avons la culture appropriée pour absorber ce changement])</f>
        <v>0</v>
      </c>
      <c r="AZ3">
        <f>MAX(Table1[Feedback - CULTURE  : Nous avons la culture appropriée pour absorber ce changement])</f>
        <v>0</v>
      </c>
      <c r="BA3">
        <f>MAX(Table1[Si la réponse comporte moins de 2 étoiles OUI, merci de préciser votre réponse dans le champs ci-dessous :8])</f>
        <v>0</v>
      </c>
      <c r="BB3">
        <f>MAX(Table1[Feedback - Si la réponse comporte moins de 2 étoiles OUI, merci de préciser votre réponse dans le champs ci-dessous :8])</f>
        <v>0</v>
      </c>
      <c r="BC3">
        <f>MAX(Table1[Points - Si la réponse comporte moins de 2 étoiles OUI, merci de préciser votre réponse dans le champs ci-dessous :8])</f>
        <v>0</v>
      </c>
      <c r="BD3">
        <f>MAX(Table1[RESISTANCE  : Les personnes impactées par ce changement démontrent l''engagement nécessaire pour réussir sa mise en place])</f>
        <v>5</v>
      </c>
      <c r="BE3">
        <f>MAX(Table1[Feedback - RESISTANCE  : Les personnes impactées par ce changement démontrent l''engagement nécessaire pour réussir sa mise en place])</f>
        <v>0</v>
      </c>
      <c r="BF3">
        <f>MAX(Table1[Points - RESISTANCE  : Les personnes impactées par ce changement démontrent l''engagement nécessaire pour réussir sa mise en place])</f>
        <v>0</v>
      </c>
      <c r="BG3">
        <f>MAX(Table1[Si la réponse comporte moins de 2 étoiles OUI, merci de préciser votre réponse dans le champs ci-dessous :9])</f>
        <v>0</v>
      </c>
      <c r="BH3">
        <f>MAX(Table1[Feedback - Si la réponse comporte moins de 2 étoiles OUI, merci de préciser votre réponse dans le champs ci-dessous :9])</f>
        <v>0</v>
      </c>
      <c r="BI3">
        <f>MAX(Table1[Points - Si la réponse comporte moins de 2 étoiles OUI, merci de préciser votre réponse dans le champs ci-dessous :9])</f>
        <v>0</v>
      </c>
      <c r="BJ3">
        <f>MAX(Table1[SYNERGIE : Nos efforts de collaboration pour ce projet nous font gagner du temps plus qu’il n’en coute])</f>
        <v>5</v>
      </c>
      <c r="BK3">
        <f>MAX(Table1[Feedback - SYNERGIE : Nos efforts de collaboration pour ce projet nous font gagner du temps plus qu’il n’en coute])</f>
        <v>0</v>
      </c>
      <c r="BL3">
        <f>MAX(Table1[Points - SYNERGIE : Nos efforts de collaboration pour ce projet nous font gagner du temps plus qu’il n’en coute])</f>
        <v>0</v>
      </c>
      <c r="BM3">
        <f>MAX(Table1[Si la réponse comporte moins de 2 étoiles OUI, merci de préciser votre réponse dans le champs ci-dessous :10])</f>
        <v>0</v>
      </c>
      <c r="BN3">
        <f>MAX(Table1[Feedback - Si la réponse comporte moins de 2 étoiles OUI, merci de préciser votre réponse dans le champs ci-dessous :10])</f>
        <v>0</v>
      </c>
      <c r="BO3">
        <f>MAX(Table1[Points - Si la réponse comporte moins de 2 étoiles OUI, merci de préciser votre réponse dans le champs ci-dessous :10])</f>
        <v>0</v>
      </c>
      <c r="BP3">
        <f>MAX(Table1[PARTENARIAT : Nos interactions avec des partenaires externes sont suffisantes pour supporter ce changement])</f>
        <v>5</v>
      </c>
      <c r="BQ3">
        <f>MAX(Table1[Feedback - PARTENARIAT : Nos interactions avec des partenaires externes sont suffisantes pour supporter ce changement])</f>
        <v>0</v>
      </c>
      <c r="BR3">
        <f>MAX(Table1[Points - PARTENARIAT : Nos interactions avec des partenaires externes sont suffisantes pour supporter ce changement])</f>
        <v>0</v>
      </c>
      <c r="BS3">
        <f>MAX(Table1[Si la réponse comporte moins de 2 étoiles OUI, merci de préciser votre réponse dans le champs ci-dessous :11])</f>
        <v>0</v>
      </c>
      <c r="BT3">
        <f>MAX(Table1[Feedback - Si la réponse comporte moins de 2 étoiles OUI, merci de préciser votre réponse dans le champs ci-dessous :11])</f>
        <v>0</v>
      </c>
      <c r="BU3">
        <f>MAX(Table1[Points - Si la réponse comporte moins de 2 étoiles OUI, merci de préciser votre réponse dans le champs ci-dessous :11])</f>
        <v>0</v>
      </c>
      <c r="BV3">
        <f>MAX(Table1[SUPERVISION : Les instances de pilotage permettent de prendre des décisions rapides et efficaces])</f>
        <v>5</v>
      </c>
      <c r="BW3">
        <f>MAX(Table1[Points - SUPERVISION : Les instances de pilotage permettent de prendre des décisions rapides et efficaces])</f>
        <v>0</v>
      </c>
      <c r="BX3">
        <f>MAX(Table1[Feedback - SUPERVISION : Les instances de pilotage permettent de prendre des décisions rapides et efficaces])</f>
        <v>0</v>
      </c>
      <c r="BY3">
        <f>MAX(Table1[Si la réponse comporte moins de 2 étoiles OUI, merci de préciser votre réponse dans le champs ci-dessous :12])</f>
        <v>0</v>
      </c>
      <c r="BZ3">
        <f>MAX(Table1[Points - Si la réponse comporte moins de 2 étoiles OUI, merci de préciser votre réponse dans le champs ci-dessous :12])</f>
        <v>0</v>
      </c>
      <c r="CA3">
        <f>MAX(Table1[Feedback - Si la réponse comporte moins de 2 étoiles OUI, merci de préciser votre réponse dans le champs ci-dessous :12])</f>
        <v>0</v>
      </c>
      <c r="CB3">
        <f>MAX(Table1[RESSOURCES : Les ressources sont suffisantes pour absorber ce changement])</f>
        <v>5</v>
      </c>
      <c r="CC3">
        <f>MAX(Table1[Points - RESSOURCES : Les ressources sont suffisantes pour absorber ce changement])</f>
        <v>0</v>
      </c>
      <c r="CD3">
        <f>MAX(Table1[Feedback - RESSOURCES : Les ressources sont suffisantes pour absorber ce changement])</f>
        <v>0</v>
      </c>
      <c r="CE3">
        <f>MAX(Table1[Si la réponse comporte moins de 2 étoiles OUI, merci de préciser votre réponse dans le champs ci-dessous :13])</f>
        <v>0</v>
      </c>
      <c r="CF3">
        <f>MAX(Table1[Points - Si la réponse comporte moins de 2 étoiles OUI, merci de préciser votre réponse dans le champs ci-dessous :13])</f>
        <v>0</v>
      </c>
      <c r="CG3">
        <f>MAX(Table1[Feedback - Si la réponse comporte moins de 2 étoiles OUI, merci de préciser votre réponse dans le champs ci-dessous :13])</f>
        <v>0</v>
      </c>
      <c r="CH3">
        <f>MAX(Table1[PORTFOLIO : Les interactions de ce projet avec les autres initiatives sont gérées correctement])</f>
        <v>5</v>
      </c>
      <c r="CI3">
        <f>MAX(Table1[Points - PORTFOLIO : Les interactions de ce projet avec les autres initiatives sont gérées correctement])</f>
        <v>0</v>
      </c>
      <c r="CJ3">
        <f>MAX(Table1[Feedback - PORTFOLIO : Les interactions de ce projet avec les autres initiatives sont gérées correctement])</f>
        <v>0</v>
      </c>
      <c r="CK3">
        <f>MAX(Table1[Si la réponse comporte moins de 2 étoiles OUI, merci de préciser votre réponse dans le champs ci-dessous :14])</f>
        <v>0</v>
      </c>
      <c r="CL3">
        <f>MAX(Table1[Points - Si la réponse comporte moins de 2 étoiles OUI, merci de préciser votre réponse dans le champs ci-dessous :14])</f>
        <v>0</v>
      </c>
      <c r="CM3">
        <f>MAX(Table1[Feedback - Si la réponse comporte moins de 2 étoiles OUI, merci de préciser votre réponse dans le champs ci-dessous :14])</f>
        <v>0</v>
      </c>
      <c r="CN3">
        <f>MAX(Table1[CHEMIN CRITIQUE : Les délais et ressources à travers de ce projet sont gérés efficacement])</f>
        <v>5</v>
      </c>
      <c r="CO3">
        <f>MAX(Table1[Points - CHEMIN CRITIQUE : Les délais et ressources à travers de ce projet sont gérés efficacement])</f>
        <v>0</v>
      </c>
      <c r="CP3">
        <f>MAX(Table1[Feedback - CHEMIN CRITIQUE : Les délais et ressources à travers de ce projet sont gérés efficacement])</f>
        <v>0</v>
      </c>
      <c r="CQ3">
        <f>MAX(Table1[Si la réponse comporte moins de 2 étoiles OUI, merci de préciser votre réponse dans le champs ci-dessous :15])</f>
        <v>0</v>
      </c>
      <c r="CR3">
        <f>MAX(Table1[Points - Si la réponse comporte moins de 2 étoiles OUI, merci de préciser votre réponse dans le champs ci-dessous :15])</f>
        <v>0</v>
      </c>
      <c r="CS3">
        <f>MAX(Table1[Feedback - Si la réponse comporte moins de 2 étoiles OUI, merci de préciser votre réponse dans le champs ci-dessous :15])</f>
        <v>0</v>
      </c>
    </row>
    <row r="4" spans="1:97" x14ac:dyDescent="0.25">
      <c r="A4">
        <f>COUNT(Table1[ID])</f>
        <v>27</v>
      </c>
      <c r="B4">
        <f>COUNT(Table1[Heure de début])</f>
        <v>27</v>
      </c>
      <c r="C4">
        <f>COUNT(Table1[Heure de fin])</f>
        <v>27</v>
      </c>
      <c r="D4">
        <f>COUNT(Table1[Adresse de messagerie])</f>
        <v>0</v>
      </c>
      <c r="E4">
        <f>COUNT(Table1[Nom])</f>
        <v>0</v>
      </c>
      <c r="F4">
        <f>COUNT(Table1[Total points])</f>
        <v>0</v>
      </c>
      <c r="G4">
        <f>COUNT(Table1[Quiz feedback])</f>
        <v>0</v>
      </c>
      <c r="H4">
        <f>COUNT(Table1[CLARTE : J''ai une vision claire de l’objectif final du programme])</f>
        <v>27</v>
      </c>
      <c r="I4">
        <f>COUNT(Table1[Points - CLARTE : J''ai une vision claire de l’objectif final du programme])</f>
        <v>0</v>
      </c>
      <c r="J4">
        <f>COUNT(Table1[Feedback - CLARTE : J''ai une vision claire de l’objectif final du programme])</f>
        <v>0</v>
      </c>
      <c r="K4">
        <f>COUNT(Table1[Si la réponse comporte moins de 2 étoiles OUI, merci de préciser votre réponse dans le champs ci-dessous :])</f>
        <v>0</v>
      </c>
      <c r="L4">
        <f>COUNT(Table1[Points - Si la réponse comporte moins de 2 étoiles OUI, merci de préciser votre réponse dans le champs ci-dessous :])</f>
        <v>0</v>
      </c>
      <c r="M4">
        <f>COUNT(Table1[Feedback - Si la réponse comporte moins de 2 étoiles OUI, merci de préciser votre réponse dans le champs ci-dessous :])</f>
        <v>0</v>
      </c>
      <c r="N4">
        <f>COUNT(Table1[ALIGNEMENT : Je suis aligné sur l’objectif final du programme])</f>
        <v>27</v>
      </c>
      <c r="O4">
        <f>COUNT(Table1[Points - ALIGNEMENT : Je suis aligné sur l’objectif final du programme])</f>
        <v>0</v>
      </c>
      <c r="P4">
        <f>COUNT(Table1[Feedback - ALIGNEMENT : Je suis aligné sur l’objectif final du programme])</f>
        <v>0</v>
      </c>
      <c r="Q4">
        <f>COUNT(Table1[Si la réponse comporte moins de 2 étoiles OUI, merci de préciser votre réponse dans le champs ci-dessous :2])</f>
        <v>0</v>
      </c>
      <c r="R4">
        <f>COUNT(Table1[Points - Si la réponse comporte moins de 2 étoiles OUI, merci de préciser votre réponse dans le champs ci-dessous :2])</f>
        <v>0</v>
      </c>
      <c r="S4">
        <f>COUNT(Table1[Feedback - Si la réponse comporte moins de 2 étoiles OUI, merci de préciser votre réponse dans le champs ci-dessous :2])</f>
        <v>0</v>
      </c>
      <c r="T4">
        <f>COUNT(Table1[ENGAGEMENT  : Je supporte l’objectif du programme])</f>
        <v>27</v>
      </c>
      <c r="U4">
        <f>COUNT(Table1[Points - ENGAGEMENT  : Je supporte l’objectif du programme])</f>
        <v>0</v>
      </c>
      <c r="V4">
        <f>COUNT(Table1[Feedback - ENGAGEMENT  : Je supporte l’objectif du programme])</f>
        <v>0</v>
      </c>
      <c r="W4">
        <f>COUNT(Table1[Si la réponse comporte moins de 2 étoiles OUI, merci de préciser votre réponse dans le champs ci-dessous :3])</f>
        <v>0</v>
      </c>
      <c r="X4">
        <f>COUNT(Table1[Points - Si la réponse comporte moins de 2 étoiles OUI, merci de préciser votre réponse dans le champs ci-dessous :3])</f>
        <v>0</v>
      </c>
      <c r="Y4">
        <f>COUNT(Table1[Feedback - Si la réponse comporte moins de 2 étoiles OUI, merci de préciser votre réponse dans le champs ci-dessous :3])</f>
        <v>0</v>
      </c>
      <c r="Z4">
        <f>COUNT(Table1[SOLUTION  : L’approche pour atteindre l’objectif du programme est solide])</f>
        <v>27</v>
      </c>
      <c r="AA4">
        <f>COUNT(Table1[Points - SOLUTION  : L’approche pour atteindre l’objectif du programme est solide])</f>
        <v>0</v>
      </c>
      <c r="AB4">
        <f>COUNT(Table1[Feedback - SOLUTION  : L’approche pour atteindre l’objectif du programme est solide])</f>
        <v>0</v>
      </c>
      <c r="AC4">
        <f>COUNT(Table1[Si la réponse comporte moins de 2 étoiles OUI, merci de préciser votre réponse dans le champs ci-dessous :4])</f>
        <v>0</v>
      </c>
      <c r="AD4">
        <f>COUNT(Table1[Points - Si la réponse comporte moins de 2 étoiles OUI, merci de préciser votre réponse dans le champs ci-dessous :4])</f>
        <v>0</v>
      </c>
      <c r="AE4">
        <f>COUNT(Table1[Feedback - Si la réponse comporte moins de 2 étoiles OUI, merci de préciser votre réponse dans le champs ci-dessous :4])</f>
        <v>0</v>
      </c>
      <c r="AF4">
        <f>COUNT(Table1[INTEGRITE : Les objectifs initiaux du programme restent les mêmes])</f>
        <v>27</v>
      </c>
      <c r="AG4">
        <f>COUNT(Table1[Points - INTEGRITE : Les objectifs initiaux du programme restent les mêmes])</f>
        <v>0</v>
      </c>
      <c r="AH4">
        <f>COUNT(Table1[Feedback - INTEGRITE : Les objectifs initiaux du programme restent les mêmes])</f>
        <v>0</v>
      </c>
      <c r="AI4">
        <f>COUNT(Table1[Si la réponse comporte moins de 2 étoiles OUI, merci de préciser votre réponse dans le champs ci-dessous :5])</f>
        <v>0</v>
      </c>
      <c r="AJ4">
        <f>COUNT(Table1[Points - Si la réponse comporte moins de 2 étoiles OUI, merci de préciser votre réponse dans le champs ci-dessous :5])</f>
        <v>0</v>
      </c>
      <c r="AK4">
        <f>COUNT(Table1[Feedback - Si la réponse comporte moins de 2 étoiles OUI, merci de préciser votre réponse dans le champs ci-dessous :5])</f>
        <v>0</v>
      </c>
      <c r="AL4">
        <f>COUNT(Table1[SPONSORSHIP  : Les leaders fournissent le niveau de sponsorship suffisant pour supporter le programme])</f>
        <v>27</v>
      </c>
      <c r="AM4">
        <f>COUNT(Table1[Points - SPONSORSHIP  : Les leaders fournissent le niveau de sponsorship suffisant pour supporter le programme])</f>
        <v>0</v>
      </c>
      <c r="AN4">
        <f>COUNT(Table1[Feedback - SPONSORSHIP  : Les leaders fournissent le niveau de sponsorship suffisant pour supporter le programme])</f>
        <v>0</v>
      </c>
      <c r="AO4">
        <f>COUNT(Table1[Si la réponse comporte moins de 2 étoiles OUI, merci de préciser votre réponse dans le champs ci-dessous :6])</f>
        <v>0</v>
      </c>
      <c r="AP4">
        <f>COUNT(Table1[Points - Si la réponse comporte moins de 2 étoiles OUI, merci de préciser votre réponse dans le champs ci-dessous :6])</f>
        <v>0</v>
      </c>
      <c r="AQ4">
        <f>COUNT(Table1[Feedback - Si la réponse comporte moins de 2 étoiles OUI, merci de préciser votre réponse dans le champs ci-dessous :6])</f>
        <v>0</v>
      </c>
      <c r="AR4">
        <f>COUNT(Table1[CAPACITE : Ce changement entraine une charge de travail que nous pouvons absorber sur le site])</f>
        <v>27</v>
      </c>
      <c r="AS4">
        <f>COUNT(Table1[Points - CAPACITE : Ce changement entraine une charge de travail que nous pouvons absorber sur le site])</f>
        <v>0</v>
      </c>
      <c r="AT4">
        <f>COUNT(Table1[Feedback - CAPACITE : Ce changement entraine une charge de travail que nous pouvons absorber sur le site])</f>
        <v>0</v>
      </c>
      <c r="AU4">
        <f>COUNT(Table1[Si la réponse comporte moins de 2 étoiles OUI, merci de préciser votre réponse dans le champs ci-dessous :7])</f>
        <v>0</v>
      </c>
      <c r="AV4">
        <f>COUNT(Table1[Points - Si la réponse comporte moins de 2 étoiles OUI, merci de préciser votre réponse dans le champs ci-dessous :7])</f>
        <v>0</v>
      </c>
      <c r="AW4">
        <f>COUNT(Table1[Feedback - Si la réponse comporte moins de 2 étoiles OUI, merci de préciser votre réponse dans le champs ci-dessous :7])</f>
        <v>0</v>
      </c>
      <c r="AX4">
        <f>COUNT(Table1[CULTURE  : Nous avons la culture appropriée pour absorber ce changement])</f>
        <v>27</v>
      </c>
      <c r="AY4">
        <f>COUNT(Table1[Points - CULTURE  : Nous avons la culture appropriée pour absorber ce changement])</f>
        <v>0</v>
      </c>
      <c r="AZ4">
        <f>COUNT(Table1[Feedback - CULTURE  : Nous avons la culture appropriée pour absorber ce changement])</f>
        <v>0</v>
      </c>
      <c r="BA4">
        <f>COUNT(Table1[Si la réponse comporte moins de 2 étoiles OUI, merci de préciser votre réponse dans le champs ci-dessous :8])</f>
        <v>0</v>
      </c>
      <c r="BB4">
        <f>COUNT(Table1[Feedback - Si la réponse comporte moins de 2 étoiles OUI, merci de préciser votre réponse dans le champs ci-dessous :8])</f>
        <v>0</v>
      </c>
      <c r="BC4">
        <f>COUNT(Table1[Points - Si la réponse comporte moins de 2 étoiles OUI, merci de préciser votre réponse dans le champs ci-dessous :8])</f>
        <v>0</v>
      </c>
      <c r="BD4">
        <f>COUNT(Table1[RESISTANCE  : Les personnes impactées par ce changement démontrent l''engagement nécessaire pour réussir sa mise en place])</f>
        <v>27</v>
      </c>
      <c r="BE4">
        <f>COUNT(Table1[Feedback - RESISTANCE  : Les personnes impactées par ce changement démontrent l''engagement nécessaire pour réussir sa mise en place])</f>
        <v>0</v>
      </c>
      <c r="BF4">
        <f>COUNT(Table1[Points - RESISTANCE  : Les personnes impactées par ce changement démontrent l''engagement nécessaire pour réussir sa mise en place])</f>
        <v>0</v>
      </c>
      <c r="BG4">
        <f>COUNT(Table1[Si la réponse comporte moins de 2 étoiles OUI, merci de préciser votre réponse dans le champs ci-dessous :9])</f>
        <v>0</v>
      </c>
      <c r="BH4">
        <f>COUNT(Table1[Feedback - Si la réponse comporte moins de 2 étoiles OUI, merci de préciser votre réponse dans le champs ci-dessous :9])</f>
        <v>0</v>
      </c>
      <c r="BI4">
        <f>COUNT(Table1[Points - Si la réponse comporte moins de 2 étoiles OUI, merci de préciser votre réponse dans le champs ci-dessous :9])</f>
        <v>0</v>
      </c>
      <c r="BJ4">
        <f>COUNT(Table1[SYNERGIE : Nos efforts de collaboration pour ce projet nous font gagner du temps plus qu’il n’en coute])</f>
        <v>27</v>
      </c>
      <c r="BK4">
        <f>COUNT(Table1[Feedback - SYNERGIE : Nos efforts de collaboration pour ce projet nous font gagner du temps plus qu’il n’en coute])</f>
        <v>0</v>
      </c>
      <c r="BL4">
        <f>COUNT(Table1[Points - SYNERGIE : Nos efforts de collaboration pour ce projet nous font gagner du temps plus qu’il n’en coute])</f>
        <v>0</v>
      </c>
      <c r="BM4">
        <f>COUNT(Table1[Si la réponse comporte moins de 2 étoiles OUI, merci de préciser votre réponse dans le champs ci-dessous :10])</f>
        <v>0</v>
      </c>
      <c r="BN4">
        <f>COUNT(Table1[Feedback - Si la réponse comporte moins de 2 étoiles OUI, merci de préciser votre réponse dans le champs ci-dessous :10])</f>
        <v>0</v>
      </c>
      <c r="BO4">
        <f>COUNT(Table1[Points - Si la réponse comporte moins de 2 étoiles OUI, merci de préciser votre réponse dans le champs ci-dessous :10])</f>
        <v>0</v>
      </c>
      <c r="BP4">
        <f>COUNT(Table1[PARTENARIAT : Nos interactions avec des partenaires externes sont suffisantes pour supporter ce changement])</f>
        <v>27</v>
      </c>
      <c r="BQ4">
        <f>COUNT(Table1[Feedback - PARTENARIAT : Nos interactions avec des partenaires externes sont suffisantes pour supporter ce changement])</f>
        <v>0</v>
      </c>
      <c r="BR4">
        <f>COUNT(Table1[Points - PARTENARIAT : Nos interactions avec des partenaires externes sont suffisantes pour supporter ce changement])</f>
        <v>0</v>
      </c>
      <c r="BS4">
        <f>COUNT(Table1[Si la réponse comporte moins de 2 étoiles OUI, merci de préciser votre réponse dans le champs ci-dessous :11])</f>
        <v>0</v>
      </c>
      <c r="BT4">
        <f>COUNT(Table1[Feedback - Si la réponse comporte moins de 2 étoiles OUI, merci de préciser votre réponse dans le champs ci-dessous :11])</f>
        <v>0</v>
      </c>
      <c r="BU4">
        <f>COUNT(Table1[Points - Si la réponse comporte moins de 2 étoiles OUI, merci de préciser votre réponse dans le champs ci-dessous :11])</f>
        <v>0</v>
      </c>
      <c r="BV4">
        <f>COUNT(Table1[SUPERVISION : Les instances de pilotage permettent de prendre des décisions rapides et efficaces])</f>
        <v>27</v>
      </c>
      <c r="BW4">
        <f>COUNT(Table1[Points - SUPERVISION : Les instances de pilotage permettent de prendre des décisions rapides et efficaces])</f>
        <v>0</v>
      </c>
      <c r="BX4">
        <f>COUNT(Table1[Feedback - SUPERVISION : Les instances de pilotage permettent de prendre des décisions rapides et efficaces])</f>
        <v>0</v>
      </c>
      <c r="BY4">
        <f>COUNT(Table1[Si la réponse comporte moins de 2 étoiles OUI, merci de préciser votre réponse dans le champs ci-dessous :12])</f>
        <v>0</v>
      </c>
      <c r="BZ4">
        <f>COUNT(Table1[Points - Si la réponse comporte moins de 2 étoiles OUI, merci de préciser votre réponse dans le champs ci-dessous :12])</f>
        <v>0</v>
      </c>
      <c r="CA4">
        <f>COUNT(Table1[Feedback - Si la réponse comporte moins de 2 étoiles OUI, merci de préciser votre réponse dans le champs ci-dessous :12])</f>
        <v>0</v>
      </c>
      <c r="CB4">
        <f>COUNT(Table1[RESSOURCES : Les ressources sont suffisantes pour absorber ce changement])</f>
        <v>27</v>
      </c>
      <c r="CC4">
        <f>COUNT(Table1[Points - RESSOURCES : Les ressources sont suffisantes pour absorber ce changement])</f>
        <v>0</v>
      </c>
      <c r="CD4">
        <f>COUNT(Table1[Feedback - RESSOURCES : Les ressources sont suffisantes pour absorber ce changement])</f>
        <v>0</v>
      </c>
      <c r="CE4">
        <f>COUNT(Table1[Si la réponse comporte moins de 2 étoiles OUI, merci de préciser votre réponse dans le champs ci-dessous :13])</f>
        <v>0</v>
      </c>
      <c r="CF4">
        <f>COUNT(Table1[Points - Si la réponse comporte moins de 2 étoiles OUI, merci de préciser votre réponse dans le champs ci-dessous :13])</f>
        <v>0</v>
      </c>
      <c r="CG4">
        <f>COUNT(Table1[Feedback - Si la réponse comporte moins de 2 étoiles OUI, merci de préciser votre réponse dans le champs ci-dessous :13])</f>
        <v>0</v>
      </c>
      <c r="CH4">
        <f>COUNT(Table1[PORTFOLIO : Les interactions de ce projet avec les autres initiatives sont gérées correctement])</f>
        <v>27</v>
      </c>
      <c r="CI4">
        <f>COUNT(Table1[Points - PORTFOLIO : Les interactions de ce projet avec les autres initiatives sont gérées correctement])</f>
        <v>0</v>
      </c>
      <c r="CJ4">
        <f>COUNT(Table1[Feedback - PORTFOLIO : Les interactions de ce projet avec les autres initiatives sont gérées correctement])</f>
        <v>0</v>
      </c>
      <c r="CK4">
        <f>COUNT(Table1[Si la réponse comporte moins de 2 étoiles OUI, merci de préciser votre réponse dans le champs ci-dessous :14])</f>
        <v>0</v>
      </c>
      <c r="CL4">
        <f>COUNT(Table1[Points - Si la réponse comporte moins de 2 étoiles OUI, merci de préciser votre réponse dans le champs ci-dessous :14])</f>
        <v>0</v>
      </c>
      <c r="CM4">
        <f>COUNT(Table1[Feedback - Si la réponse comporte moins de 2 étoiles OUI, merci de préciser votre réponse dans le champs ci-dessous :14])</f>
        <v>0</v>
      </c>
      <c r="CN4">
        <f>COUNT(Table1[CHEMIN CRITIQUE : Les délais et ressources à travers de ce projet sont gérés efficacement])</f>
        <v>27</v>
      </c>
      <c r="CO4">
        <f>COUNT(Table1[Points - CHEMIN CRITIQUE : Les délais et ressources à travers de ce projet sont gérés efficacement])</f>
        <v>0</v>
      </c>
      <c r="CP4">
        <f>COUNT(Table1[Feedback - CHEMIN CRITIQUE : Les délais et ressources à travers de ce projet sont gérés efficacement])</f>
        <v>0</v>
      </c>
      <c r="CQ4">
        <f>COUNT(Table1[Si la réponse comporte moins de 2 étoiles OUI, merci de préciser votre réponse dans le champs ci-dessous :15])</f>
        <v>0</v>
      </c>
      <c r="CR4">
        <f>COUNT(Table1[Points - Si la réponse comporte moins de 2 étoiles OUI, merci de préciser votre réponse dans le champs ci-dessous :15])</f>
        <v>0</v>
      </c>
      <c r="CS4">
        <f>COUNT(Table1[Feedback - Si la réponse comporte moins de 2 étoiles OUI, merci de préciser votre réponse dans le champs ci-dessous :15])</f>
        <v>0</v>
      </c>
    </row>
    <row r="5" spans="1:97" x14ac:dyDescent="0.25">
      <c r="A5" t="s">
        <v>0</v>
      </c>
      <c r="B5" t="s">
        <v>1</v>
      </c>
      <c r="C5" t="s">
        <v>2</v>
      </c>
      <c r="D5" t="s">
        <v>3</v>
      </c>
      <c r="E5" t="s">
        <v>4</v>
      </c>
      <c r="F5" t="s">
        <v>5</v>
      </c>
      <c r="G5" t="s">
        <v>6</v>
      </c>
      <c r="H5" t="s">
        <v>7</v>
      </c>
      <c r="I5" t="s">
        <v>8</v>
      </c>
      <c r="J5" t="s">
        <v>9</v>
      </c>
      <c r="K5" t="s">
        <v>10</v>
      </c>
      <c r="L5" t="s">
        <v>11</v>
      </c>
      <c r="M5" t="s">
        <v>12</v>
      </c>
      <c r="N5" t="s">
        <v>13</v>
      </c>
      <c r="O5" t="s">
        <v>14</v>
      </c>
      <c r="P5" t="s">
        <v>15</v>
      </c>
      <c r="Q5" t="s">
        <v>16</v>
      </c>
      <c r="R5" t="s">
        <v>17</v>
      </c>
      <c r="S5" t="s">
        <v>18</v>
      </c>
      <c r="T5" t="s">
        <v>19</v>
      </c>
      <c r="U5" t="s">
        <v>20</v>
      </c>
      <c r="V5" t="s">
        <v>21</v>
      </c>
      <c r="W5" t="s">
        <v>22</v>
      </c>
      <c r="X5" t="s">
        <v>23</v>
      </c>
      <c r="Y5" t="s">
        <v>24</v>
      </c>
      <c r="Z5" t="s">
        <v>25</v>
      </c>
      <c r="AA5" t="s">
        <v>26</v>
      </c>
      <c r="AB5" t="s">
        <v>27</v>
      </c>
      <c r="AC5" t="s">
        <v>28</v>
      </c>
      <c r="AD5" t="s">
        <v>29</v>
      </c>
      <c r="AE5" t="s">
        <v>30</v>
      </c>
      <c r="AF5" t="s">
        <v>31</v>
      </c>
      <c r="AG5" t="s">
        <v>32</v>
      </c>
      <c r="AH5" t="s">
        <v>33</v>
      </c>
      <c r="AI5" t="s">
        <v>34</v>
      </c>
      <c r="AJ5" t="s">
        <v>35</v>
      </c>
      <c r="AK5" t="s">
        <v>36</v>
      </c>
      <c r="AL5" t="s">
        <v>37</v>
      </c>
      <c r="AM5" t="s">
        <v>38</v>
      </c>
      <c r="AN5" t="s">
        <v>39</v>
      </c>
      <c r="AO5" t="s">
        <v>40</v>
      </c>
      <c r="AP5" t="s">
        <v>41</v>
      </c>
      <c r="AQ5" t="s">
        <v>42</v>
      </c>
      <c r="AR5" t="s">
        <v>43</v>
      </c>
      <c r="AS5" t="s">
        <v>44</v>
      </c>
      <c r="AT5" t="s">
        <v>45</v>
      </c>
      <c r="AU5" t="s">
        <v>46</v>
      </c>
      <c r="AV5" t="s">
        <v>47</v>
      </c>
      <c r="AW5" t="s">
        <v>48</v>
      </c>
      <c r="AX5" t="s">
        <v>49</v>
      </c>
      <c r="AY5" t="s">
        <v>50</v>
      </c>
      <c r="AZ5" t="s">
        <v>51</v>
      </c>
      <c r="BA5" t="s">
        <v>52</v>
      </c>
      <c r="BB5" t="s">
        <v>53</v>
      </c>
      <c r="BC5" t="s">
        <v>54</v>
      </c>
      <c r="BD5" t="s">
        <v>55</v>
      </c>
      <c r="BE5" t="s">
        <v>56</v>
      </c>
      <c r="BF5" t="s">
        <v>57</v>
      </c>
      <c r="BG5" t="s">
        <v>58</v>
      </c>
      <c r="BH5" t="s">
        <v>59</v>
      </c>
      <c r="BI5" t="s">
        <v>60</v>
      </c>
      <c r="BJ5" t="s">
        <v>61</v>
      </c>
      <c r="BK5" t="s">
        <v>62</v>
      </c>
      <c r="BL5" t="s">
        <v>63</v>
      </c>
      <c r="BM5" t="s">
        <v>64</v>
      </c>
      <c r="BN5" t="s">
        <v>65</v>
      </c>
      <c r="BO5" t="s">
        <v>66</v>
      </c>
      <c r="BP5" t="s">
        <v>67</v>
      </c>
      <c r="BQ5" t="s">
        <v>68</v>
      </c>
      <c r="BR5" t="s">
        <v>69</v>
      </c>
      <c r="BS5" t="s">
        <v>70</v>
      </c>
      <c r="BT5" t="s">
        <v>71</v>
      </c>
      <c r="BU5" t="s">
        <v>72</v>
      </c>
      <c r="BV5" t="s">
        <v>73</v>
      </c>
      <c r="BW5" t="s">
        <v>74</v>
      </c>
      <c r="BX5" t="s">
        <v>75</v>
      </c>
      <c r="BY5" t="s">
        <v>76</v>
      </c>
      <c r="BZ5" t="s">
        <v>77</v>
      </c>
      <c r="CA5" t="s">
        <v>78</v>
      </c>
      <c r="CB5" t="s">
        <v>79</v>
      </c>
      <c r="CC5" t="s">
        <v>80</v>
      </c>
      <c r="CD5" t="s">
        <v>81</v>
      </c>
      <c r="CE5" t="s">
        <v>82</v>
      </c>
      <c r="CF5" t="s">
        <v>83</v>
      </c>
      <c r="CG5" t="s">
        <v>84</v>
      </c>
      <c r="CH5" t="s">
        <v>85</v>
      </c>
      <c r="CI5" t="s">
        <v>86</v>
      </c>
      <c r="CJ5" t="s">
        <v>87</v>
      </c>
      <c r="CK5" t="s">
        <v>88</v>
      </c>
      <c r="CL5" t="s">
        <v>89</v>
      </c>
      <c r="CM5" t="s">
        <v>90</v>
      </c>
      <c r="CN5" t="s">
        <v>91</v>
      </c>
      <c r="CO5" t="s">
        <v>92</v>
      </c>
      <c r="CP5" t="s">
        <v>93</v>
      </c>
      <c r="CQ5" t="s">
        <v>94</v>
      </c>
      <c r="CR5" t="s">
        <v>95</v>
      </c>
      <c r="CS5" t="s">
        <v>96</v>
      </c>
    </row>
    <row r="6" spans="1:97" x14ac:dyDescent="0.25">
      <c r="A6">
        <v>4</v>
      </c>
      <c r="B6" s="1">
        <v>44896.704687500001</v>
      </c>
      <c r="C6" s="1">
        <v>44896.705277777801</v>
      </c>
      <c r="D6" t="s">
        <v>97</v>
      </c>
      <c r="H6">
        <v>4</v>
      </c>
      <c r="N6">
        <v>2</v>
      </c>
      <c r="T6">
        <v>5</v>
      </c>
      <c r="Z6">
        <v>3</v>
      </c>
      <c r="AF6">
        <v>5</v>
      </c>
      <c r="AL6">
        <v>3</v>
      </c>
      <c r="AR6">
        <v>5</v>
      </c>
      <c r="AX6">
        <v>4</v>
      </c>
      <c r="BD6">
        <v>5</v>
      </c>
      <c r="BJ6">
        <v>5</v>
      </c>
      <c r="BP6">
        <v>3</v>
      </c>
      <c r="BV6">
        <v>2</v>
      </c>
      <c r="CB6">
        <v>2</v>
      </c>
      <c r="CH6">
        <v>4</v>
      </c>
      <c r="CN6">
        <v>2</v>
      </c>
    </row>
    <row r="7" spans="1:97" x14ac:dyDescent="0.25">
      <c r="A7">
        <v>5</v>
      </c>
      <c r="B7" s="1">
        <v>44900.486053240696</v>
      </c>
      <c r="C7" s="1">
        <v>44900.487129629597</v>
      </c>
      <c r="D7" t="s">
        <v>97</v>
      </c>
      <c r="H7">
        <v>4</v>
      </c>
      <c r="N7">
        <v>5</v>
      </c>
      <c r="T7">
        <v>5</v>
      </c>
      <c r="Z7">
        <v>4</v>
      </c>
      <c r="AF7">
        <v>4</v>
      </c>
      <c r="AL7">
        <v>4</v>
      </c>
      <c r="AR7">
        <v>4</v>
      </c>
      <c r="AX7">
        <v>4</v>
      </c>
      <c r="BD7">
        <v>4</v>
      </c>
      <c r="BJ7">
        <v>4</v>
      </c>
      <c r="BP7">
        <v>4</v>
      </c>
      <c r="BV7">
        <v>4</v>
      </c>
      <c r="CB7">
        <v>4</v>
      </c>
      <c r="CH7">
        <v>4</v>
      </c>
      <c r="CN7">
        <v>4</v>
      </c>
    </row>
    <row r="8" spans="1:97" x14ac:dyDescent="0.25">
      <c r="A8">
        <v>6</v>
      </c>
      <c r="B8" s="1">
        <v>44900.486655092602</v>
      </c>
      <c r="C8" s="1">
        <v>44900.489108796297</v>
      </c>
      <c r="D8" t="s">
        <v>97</v>
      </c>
      <c r="H8">
        <v>5</v>
      </c>
      <c r="N8">
        <v>5</v>
      </c>
      <c r="T8">
        <v>5</v>
      </c>
      <c r="Z8">
        <v>3</v>
      </c>
      <c r="AF8">
        <v>5</v>
      </c>
      <c r="AL8">
        <v>4</v>
      </c>
      <c r="AR8">
        <v>2</v>
      </c>
      <c r="AX8">
        <v>3</v>
      </c>
      <c r="BD8">
        <v>4</v>
      </c>
      <c r="BJ8">
        <v>3</v>
      </c>
      <c r="BP8">
        <v>3</v>
      </c>
      <c r="BV8">
        <v>4</v>
      </c>
      <c r="CB8">
        <v>2</v>
      </c>
      <c r="CH8">
        <v>4</v>
      </c>
      <c r="CN8">
        <v>3</v>
      </c>
    </row>
    <row r="9" spans="1:97" x14ac:dyDescent="0.25">
      <c r="A9">
        <v>7</v>
      </c>
      <c r="B9" s="1">
        <v>44900.487106481502</v>
      </c>
      <c r="C9" s="1">
        <v>44900.4900694444</v>
      </c>
      <c r="D9" t="s">
        <v>97</v>
      </c>
      <c r="H9">
        <v>5</v>
      </c>
      <c r="N9">
        <v>4</v>
      </c>
      <c r="T9">
        <v>5</v>
      </c>
      <c r="Z9">
        <v>5</v>
      </c>
      <c r="AF9">
        <v>4</v>
      </c>
      <c r="AL9">
        <v>5</v>
      </c>
      <c r="AR9">
        <v>4</v>
      </c>
      <c r="AX9">
        <v>5</v>
      </c>
      <c r="BD9">
        <v>5</v>
      </c>
      <c r="BJ9">
        <v>4</v>
      </c>
      <c r="BP9">
        <v>4</v>
      </c>
      <c r="BV9">
        <v>5</v>
      </c>
      <c r="CB9">
        <v>4</v>
      </c>
      <c r="CH9">
        <v>5</v>
      </c>
      <c r="CN9">
        <v>4</v>
      </c>
    </row>
    <row r="10" spans="1:97" x14ac:dyDescent="0.25">
      <c r="A10">
        <v>8</v>
      </c>
      <c r="B10" s="1">
        <v>44900.489143518498</v>
      </c>
      <c r="C10" s="1">
        <v>44900.493634259299</v>
      </c>
      <c r="D10" t="s">
        <v>97</v>
      </c>
      <c r="H10">
        <v>3</v>
      </c>
      <c r="N10">
        <v>3</v>
      </c>
      <c r="T10">
        <v>3</v>
      </c>
      <c r="Z10">
        <v>2</v>
      </c>
      <c r="AF10">
        <v>1</v>
      </c>
      <c r="AI10" t="s">
        <v>98</v>
      </c>
      <c r="AL10">
        <v>4</v>
      </c>
      <c r="AR10">
        <v>1</v>
      </c>
      <c r="AU10" t="s">
        <v>99</v>
      </c>
      <c r="AX10">
        <v>2</v>
      </c>
      <c r="BD10">
        <v>2</v>
      </c>
      <c r="BJ10">
        <v>4</v>
      </c>
      <c r="BP10">
        <v>3</v>
      </c>
      <c r="BV10">
        <v>3</v>
      </c>
      <c r="CB10">
        <v>2</v>
      </c>
      <c r="CH10">
        <v>1</v>
      </c>
      <c r="CK10" t="s">
        <v>100</v>
      </c>
      <c r="CN10">
        <v>2</v>
      </c>
    </row>
    <row r="11" spans="1:97" x14ac:dyDescent="0.25">
      <c r="A11">
        <v>9</v>
      </c>
      <c r="B11" s="1">
        <v>44900.509212962999</v>
      </c>
      <c r="C11" s="1">
        <v>44900.515011574098</v>
      </c>
      <c r="D11" t="s">
        <v>97</v>
      </c>
      <c r="H11">
        <v>5</v>
      </c>
      <c r="N11">
        <v>5</v>
      </c>
      <c r="T11">
        <v>5</v>
      </c>
      <c r="Z11">
        <v>5</v>
      </c>
      <c r="AF11">
        <v>5</v>
      </c>
      <c r="AL11">
        <v>5</v>
      </c>
      <c r="AR11">
        <v>5</v>
      </c>
      <c r="AX11">
        <v>5</v>
      </c>
      <c r="BD11">
        <v>5</v>
      </c>
      <c r="BJ11">
        <v>5</v>
      </c>
      <c r="BP11">
        <v>5</v>
      </c>
      <c r="BV11">
        <v>4</v>
      </c>
      <c r="BY11" t="s">
        <v>101</v>
      </c>
      <c r="CB11">
        <v>5</v>
      </c>
      <c r="CH11">
        <v>5</v>
      </c>
      <c r="CN11">
        <v>4</v>
      </c>
      <c r="CQ11" t="s">
        <v>102</v>
      </c>
    </row>
    <row r="12" spans="1:97" x14ac:dyDescent="0.25">
      <c r="A12">
        <v>10</v>
      </c>
      <c r="B12" s="1">
        <v>44900.543784722198</v>
      </c>
      <c r="C12" s="1">
        <v>44900.549768518496</v>
      </c>
      <c r="D12" t="s">
        <v>97</v>
      </c>
      <c r="H12">
        <v>5</v>
      </c>
      <c r="N12">
        <v>5</v>
      </c>
      <c r="T12">
        <v>5</v>
      </c>
      <c r="Z12">
        <v>4</v>
      </c>
      <c r="AC12" t="s">
        <v>103</v>
      </c>
      <c r="AF12">
        <v>4</v>
      </c>
      <c r="AI12" t="s">
        <v>104</v>
      </c>
      <c r="AL12">
        <v>5</v>
      </c>
      <c r="AR12">
        <v>4</v>
      </c>
      <c r="AX12">
        <v>5</v>
      </c>
      <c r="BD12">
        <v>4</v>
      </c>
      <c r="BJ12">
        <v>4</v>
      </c>
      <c r="BP12">
        <v>5</v>
      </c>
      <c r="BV12">
        <v>5</v>
      </c>
      <c r="CB12">
        <v>4</v>
      </c>
      <c r="CH12">
        <v>4</v>
      </c>
      <c r="CK12" t="s">
        <v>105</v>
      </c>
      <c r="CN12">
        <v>5</v>
      </c>
    </row>
    <row r="13" spans="1:97" x14ac:dyDescent="0.25">
      <c r="A13">
        <v>11</v>
      </c>
      <c r="B13" s="1">
        <v>44900.551736111098</v>
      </c>
      <c r="C13" s="1">
        <v>44900.555081018501</v>
      </c>
      <c r="D13" t="s">
        <v>97</v>
      </c>
      <c r="H13">
        <v>5</v>
      </c>
      <c r="N13">
        <v>5</v>
      </c>
      <c r="T13">
        <v>5</v>
      </c>
      <c r="Z13">
        <v>5</v>
      </c>
      <c r="AF13">
        <v>5</v>
      </c>
      <c r="AL13">
        <v>5</v>
      </c>
      <c r="AR13">
        <v>5</v>
      </c>
      <c r="AX13">
        <v>4</v>
      </c>
      <c r="BD13">
        <v>5</v>
      </c>
      <c r="BJ13">
        <v>3</v>
      </c>
      <c r="BP13">
        <v>5</v>
      </c>
      <c r="BV13">
        <v>4</v>
      </c>
      <c r="CB13">
        <v>4</v>
      </c>
      <c r="CH13">
        <v>5</v>
      </c>
      <c r="CN13">
        <v>5</v>
      </c>
    </row>
    <row r="14" spans="1:97" x14ac:dyDescent="0.25">
      <c r="A14">
        <v>12</v>
      </c>
      <c r="B14" s="1">
        <v>44900.562013888899</v>
      </c>
      <c r="C14" s="1">
        <v>44900.564398148097</v>
      </c>
      <c r="D14" t="s">
        <v>97</v>
      </c>
      <c r="H14">
        <v>4</v>
      </c>
      <c r="N14">
        <v>4</v>
      </c>
      <c r="T14">
        <v>5</v>
      </c>
      <c r="Z14">
        <v>5</v>
      </c>
      <c r="AF14">
        <v>5</v>
      </c>
      <c r="AL14">
        <v>5</v>
      </c>
      <c r="AR14">
        <v>5</v>
      </c>
      <c r="AX14">
        <v>5</v>
      </c>
      <c r="BD14">
        <v>5</v>
      </c>
      <c r="BJ14">
        <v>5</v>
      </c>
      <c r="BP14">
        <v>4</v>
      </c>
      <c r="BV14">
        <v>5</v>
      </c>
      <c r="CB14">
        <v>4</v>
      </c>
      <c r="CH14">
        <v>4</v>
      </c>
      <c r="CN14">
        <v>5</v>
      </c>
    </row>
    <row r="15" spans="1:97" x14ac:dyDescent="0.25">
      <c r="A15">
        <v>13</v>
      </c>
      <c r="B15" s="1">
        <v>44900.561886574098</v>
      </c>
      <c r="C15" s="1">
        <v>44900.564606481501</v>
      </c>
      <c r="D15" t="s">
        <v>97</v>
      </c>
      <c r="H15">
        <v>5</v>
      </c>
      <c r="N15">
        <v>4</v>
      </c>
      <c r="T15">
        <v>5</v>
      </c>
      <c r="Z15">
        <v>3</v>
      </c>
      <c r="AF15">
        <v>4</v>
      </c>
      <c r="AL15">
        <v>5</v>
      </c>
      <c r="AR15">
        <v>4</v>
      </c>
      <c r="AX15">
        <v>4</v>
      </c>
      <c r="BD15">
        <v>5</v>
      </c>
      <c r="BJ15">
        <v>5</v>
      </c>
      <c r="BP15">
        <v>5</v>
      </c>
      <c r="BV15">
        <v>2</v>
      </c>
      <c r="BY15" t="s">
        <v>106</v>
      </c>
      <c r="CB15">
        <v>4</v>
      </c>
      <c r="CH15">
        <v>4</v>
      </c>
      <c r="CN15">
        <v>3</v>
      </c>
    </row>
    <row r="16" spans="1:97" x14ac:dyDescent="0.25">
      <c r="A16">
        <v>14</v>
      </c>
      <c r="B16" s="1">
        <v>44900.571053240703</v>
      </c>
      <c r="C16" s="1">
        <v>44900.573391203703</v>
      </c>
      <c r="D16" t="s">
        <v>97</v>
      </c>
      <c r="H16">
        <v>3</v>
      </c>
      <c r="N16">
        <v>3</v>
      </c>
      <c r="T16">
        <v>3</v>
      </c>
      <c r="Z16">
        <v>3</v>
      </c>
      <c r="AF16">
        <v>3</v>
      </c>
      <c r="AL16">
        <v>3</v>
      </c>
      <c r="AR16">
        <v>2</v>
      </c>
      <c r="AX16">
        <v>4</v>
      </c>
      <c r="BD16">
        <v>3</v>
      </c>
      <c r="BJ16">
        <v>2</v>
      </c>
      <c r="BP16">
        <v>3</v>
      </c>
      <c r="BV16">
        <v>2</v>
      </c>
      <c r="CB16">
        <v>3</v>
      </c>
      <c r="CH16">
        <v>3</v>
      </c>
      <c r="CN16">
        <v>3</v>
      </c>
    </row>
    <row r="17" spans="1:95" x14ac:dyDescent="0.25">
      <c r="A17">
        <v>15</v>
      </c>
      <c r="B17" s="1">
        <v>44900.581909722197</v>
      </c>
      <c r="C17" s="1">
        <v>44900.583206018498</v>
      </c>
      <c r="D17" t="s">
        <v>97</v>
      </c>
      <c r="H17">
        <v>3</v>
      </c>
      <c r="N17">
        <v>3</v>
      </c>
      <c r="T17">
        <v>5</v>
      </c>
      <c r="Z17">
        <v>3</v>
      </c>
      <c r="AF17">
        <v>3</v>
      </c>
      <c r="AL17">
        <v>3</v>
      </c>
      <c r="AR17">
        <v>5</v>
      </c>
      <c r="AX17">
        <v>3</v>
      </c>
      <c r="BD17">
        <v>5</v>
      </c>
      <c r="BJ17">
        <v>5</v>
      </c>
      <c r="BP17">
        <v>3</v>
      </c>
      <c r="BV17">
        <v>3</v>
      </c>
      <c r="CB17">
        <v>3</v>
      </c>
      <c r="CH17">
        <v>3</v>
      </c>
      <c r="CN17">
        <v>3</v>
      </c>
    </row>
    <row r="18" spans="1:95" x14ac:dyDescent="0.25">
      <c r="A18">
        <v>16</v>
      </c>
      <c r="B18" s="1">
        <v>44900.596388888902</v>
      </c>
      <c r="C18" s="1">
        <v>44900.598263888904</v>
      </c>
      <c r="D18" t="s">
        <v>97</v>
      </c>
      <c r="H18">
        <v>5</v>
      </c>
      <c r="N18">
        <v>5</v>
      </c>
      <c r="T18">
        <v>5</v>
      </c>
      <c r="Z18">
        <v>4</v>
      </c>
      <c r="AF18">
        <v>4</v>
      </c>
      <c r="AL18">
        <v>3</v>
      </c>
      <c r="AR18">
        <v>2</v>
      </c>
      <c r="AX18">
        <v>4</v>
      </c>
      <c r="BD18">
        <v>4</v>
      </c>
      <c r="BJ18">
        <v>3</v>
      </c>
      <c r="BP18">
        <v>3</v>
      </c>
      <c r="BV18">
        <v>3</v>
      </c>
      <c r="CB18">
        <v>2</v>
      </c>
      <c r="CH18">
        <v>4</v>
      </c>
      <c r="CN18">
        <v>2</v>
      </c>
    </row>
    <row r="19" spans="1:95" x14ac:dyDescent="0.25">
      <c r="A19">
        <v>17</v>
      </c>
      <c r="B19" s="1">
        <v>44900.612858796303</v>
      </c>
      <c r="C19" s="1">
        <v>44900.6143981481</v>
      </c>
      <c r="D19" t="s">
        <v>97</v>
      </c>
      <c r="H19">
        <v>4</v>
      </c>
      <c r="N19">
        <v>3</v>
      </c>
      <c r="T19">
        <v>4</v>
      </c>
      <c r="Z19">
        <v>4</v>
      </c>
      <c r="AF19">
        <v>4</v>
      </c>
      <c r="AL19">
        <v>3</v>
      </c>
      <c r="AR19">
        <v>2</v>
      </c>
      <c r="AX19">
        <v>4</v>
      </c>
      <c r="BD19">
        <v>4</v>
      </c>
      <c r="BJ19">
        <v>4</v>
      </c>
      <c r="BP19">
        <v>3</v>
      </c>
      <c r="BV19">
        <v>3</v>
      </c>
      <c r="CB19">
        <v>2</v>
      </c>
      <c r="CH19">
        <v>2</v>
      </c>
      <c r="CN19">
        <v>3</v>
      </c>
    </row>
    <row r="20" spans="1:95" x14ac:dyDescent="0.25">
      <c r="A20">
        <v>18</v>
      </c>
      <c r="B20" s="1">
        <v>44900.623946759297</v>
      </c>
      <c r="C20" s="1">
        <v>44900.625081018501</v>
      </c>
      <c r="D20" t="s">
        <v>97</v>
      </c>
      <c r="H20">
        <v>4</v>
      </c>
      <c r="N20">
        <v>4</v>
      </c>
      <c r="T20">
        <v>4</v>
      </c>
      <c r="Z20">
        <v>3</v>
      </c>
      <c r="AF20">
        <v>3</v>
      </c>
      <c r="AL20">
        <v>3</v>
      </c>
      <c r="AR20">
        <v>3</v>
      </c>
      <c r="AX20">
        <v>4</v>
      </c>
      <c r="BD20">
        <v>4</v>
      </c>
      <c r="BJ20">
        <v>3</v>
      </c>
      <c r="BP20">
        <v>3</v>
      </c>
      <c r="BV20">
        <v>2</v>
      </c>
      <c r="CB20">
        <v>3</v>
      </c>
      <c r="CH20">
        <v>3</v>
      </c>
      <c r="CN20">
        <v>3</v>
      </c>
    </row>
    <row r="21" spans="1:95" x14ac:dyDescent="0.25">
      <c r="A21">
        <v>19</v>
      </c>
      <c r="B21" s="1">
        <v>44900.618252314802</v>
      </c>
      <c r="C21" s="1">
        <v>44900.643263888902</v>
      </c>
      <c r="D21" t="s">
        <v>97</v>
      </c>
      <c r="H21">
        <v>3</v>
      </c>
      <c r="K21" t="s">
        <v>107</v>
      </c>
      <c r="N21">
        <v>3</v>
      </c>
      <c r="T21">
        <v>4</v>
      </c>
      <c r="Z21">
        <v>3</v>
      </c>
      <c r="AF21">
        <v>3</v>
      </c>
      <c r="AL21">
        <v>1</v>
      </c>
      <c r="AO21" t="s">
        <v>108</v>
      </c>
      <c r="AR21">
        <v>1</v>
      </c>
      <c r="AU21" t="s">
        <v>109</v>
      </c>
      <c r="AX21">
        <v>1</v>
      </c>
      <c r="BA21" t="s">
        <v>110</v>
      </c>
      <c r="BD21">
        <v>1</v>
      </c>
      <c r="BG21" t="s">
        <v>111</v>
      </c>
      <c r="BJ21">
        <v>3</v>
      </c>
      <c r="BP21">
        <v>3</v>
      </c>
      <c r="BV21">
        <v>2</v>
      </c>
      <c r="CB21">
        <v>1</v>
      </c>
      <c r="CE21" t="s">
        <v>112</v>
      </c>
      <c r="CH21">
        <v>1</v>
      </c>
      <c r="CK21" t="s">
        <v>113</v>
      </c>
      <c r="CN21">
        <v>2</v>
      </c>
    </row>
    <row r="22" spans="1:95" x14ac:dyDescent="0.25">
      <c r="A22">
        <v>20</v>
      </c>
      <c r="B22" s="1">
        <v>44900.6877662037</v>
      </c>
      <c r="C22" s="1">
        <v>44900.689826388902</v>
      </c>
      <c r="D22" t="s">
        <v>97</v>
      </c>
      <c r="H22">
        <v>5</v>
      </c>
      <c r="N22">
        <v>5</v>
      </c>
      <c r="T22">
        <v>5</v>
      </c>
      <c r="Z22">
        <v>5</v>
      </c>
      <c r="AF22">
        <v>5</v>
      </c>
      <c r="AL22">
        <v>5</v>
      </c>
      <c r="AR22">
        <v>4</v>
      </c>
      <c r="AX22">
        <v>3</v>
      </c>
      <c r="BD22">
        <v>5</v>
      </c>
      <c r="BJ22">
        <v>3</v>
      </c>
      <c r="BP22">
        <v>4</v>
      </c>
      <c r="BV22">
        <v>4</v>
      </c>
      <c r="CB22">
        <v>3</v>
      </c>
      <c r="CH22">
        <v>3</v>
      </c>
      <c r="CN22">
        <v>4</v>
      </c>
    </row>
    <row r="23" spans="1:95" x14ac:dyDescent="0.25">
      <c r="A23">
        <v>21</v>
      </c>
      <c r="B23" s="1">
        <v>44900.493483796301</v>
      </c>
      <c r="C23" s="1">
        <v>44900.714837963002</v>
      </c>
      <c r="D23" t="s">
        <v>97</v>
      </c>
      <c r="H23">
        <v>4</v>
      </c>
      <c r="N23">
        <v>4</v>
      </c>
      <c r="T23">
        <v>5</v>
      </c>
      <c r="Z23">
        <v>4</v>
      </c>
      <c r="AF23">
        <v>1</v>
      </c>
      <c r="AI23" t="s">
        <v>114</v>
      </c>
      <c r="AL23">
        <v>3</v>
      </c>
      <c r="AR23">
        <v>1</v>
      </c>
      <c r="AU23" t="s">
        <v>115</v>
      </c>
      <c r="AX23">
        <v>1</v>
      </c>
      <c r="BA23" t="s">
        <v>116</v>
      </c>
      <c r="BD23">
        <v>5</v>
      </c>
      <c r="BJ23">
        <v>4</v>
      </c>
      <c r="BP23">
        <v>4</v>
      </c>
      <c r="BV23">
        <v>4</v>
      </c>
      <c r="CB23">
        <v>1</v>
      </c>
      <c r="CE23" t="s">
        <v>117</v>
      </c>
      <c r="CH23">
        <v>3</v>
      </c>
      <c r="CN23">
        <v>4</v>
      </c>
    </row>
    <row r="24" spans="1:95" x14ac:dyDescent="0.25">
      <c r="A24">
        <v>22</v>
      </c>
      <c r="B24" s="1">
        <v>44901.378043981502</v>
      </c>
      <c r="C24" s="1">
        <v>44901.384097222202</v>
      </c>
      <c r="D24" t="s">
        <v>97</v>
      </c>
      <c r="H24">
        <v>3</v>
      </c>
      <c r="N24">
        <v>5</v>
      </c>
      <c r="T24">
        <v>5</v>
      </c>
      <c r="Z24">
        <v>3</v>
      </c>
      <c r="AF24">
        <v>3</v>
      </c>
      <c r="AL24">
        <v>3</v>
      </c>
      <c r="AR24">
        <v>1</v>
      </c>
      <c r="AU24" t="s">
        <v>118</v>
      </c>
      <c r="AX24">
        <v>4</v>
      </c>
      <c r="BD24">
        <v>4</v>
      </c>
      <c r="BJ24">
        <v>1</v>
      </c>
      <c r="BM24" t="s">
        <v>119</v>
      </c>
      <c r="BP24">
        <v>3</v>
      </c>
      <c r="BS24" t="s">
        <v>120</v>
      </c>
      <c r="BV24">
        <v>3</v>
      </c>
      <c r="BY24" t="s">
        <v>121</v>
      </c>
      <c r="CB24">
        <v>3</v>
      </c>
      <c r="CH24">
        <v>3</v>
      </c>
      <c r="CN24">
        <v>3</v>
      </c>
    </row>
    <row r="25" spans="1:95" x14ac:dyDescent="0.25">
      <c r="A25">
        <v>23</v>
      </c>
      <c r="B25" s="1">
        <v>44901.3957407407</v>
      </c>
      <c r="C25" s="1">
        <v>44901.398275462998</v>
      </c>
      <c r="D25" t="s">
        <v>97</v>
      </c>
      <c r="H25">
        <v>4</v>
      </c>
      <c r="N25">
        <v>3</v>
      </c>
      <c r="T25">
        <v>4</v>
      </c>
      <c r="Z25">
        <v>3</v>
      </c>
      <c r="AF25">
        <v>3</v>
      </c>
      <c r="AL25">
        <v>2</v>
      </c>
      <c r="AR25">
        <v>4</v>
      </c>
      <c r="AX25">
        <v>3</v>
      </c>
      <c r="BD25">
        <v>4</v>
      </c>
      <c r="BJ25">
        <v>3</v>
      </c>
      <c r="BP25">
        <v>4</v>
      </c>
      <c r="BV25">
        <v>4</v>
      </c>
      <c r="CB25">
        <v>3</v>
      </c>
      <c r="CH25">
        <v>4</v>
      </c>
      <c r="CN25">
        <v>3</v>
      </c>
    </row>
    <row r="26" spans="1:95" x14ac:dyDescent="0.25">
      <c r="A26">
        <v>24</v>
      </c>
      <c r="B26" s="1">
        <v>44901.4363773148</v>
      </c>
      <c r="C26" s="1">
        <v>44901.4445949074</v>
      </c>
      <c r="D26" t="s">
        <v>97</v>
      </c>
      <c r="H26">
        <v>5</v>
      </c>
      <c r="N26">
        <v>5</v>
      </c>
      <c r="T26">
        <v>5</v>
      </c>
      <c r="Z26">
        <v>4</v>
      </c>
      <c r="AF26">
        <v>4</v>
      </c>
      <c r="AL26">
        <v>4</v>
      </c>
      <c r="AR26">
        <v>4</v>
      </c>
      <c r="AX26">
        <v>4</v>
      </c>
      <c r="BD26">
        <v>4</v>
      </c>
      <c r="BJ26">
        <v>4</v>
      </c>
      <c r="BP26">
        <v>4</v>
      </c>
      <c r="BV26">
        <v>4</v>
      </c>
      <c r="CB26">
        <v>4</v>
      </c>
      <c r="CH26">
        <v>4</v>
      </c>
      <c r="CN26">
        <v>4</v>
      </c>
    </row>
    <row r="27" spans="1:95" x14ac:dyDescent="0.25">
      <c r="A27">
        <v>25</v>
      </c>
      <c r="B27" s="1">
        <v>44901.5686921296</v>
      </c>
      <c r="C27" s="1">
        <v>44901.5713888889</v>
      </c>
      <c r="D27" t="s">
        <v>97</v>
      </c>
      <c r="H27">
        <v>5</v>
      </c>
      <c r="N27">
        <v>5</v>
      </c>
      <c r="T27">
        <v>5</v>
      </c>
      <c r="Z27">
        <v>4</v>
      </c>
      <c r="AF27">
        <v>5</v>
      </c>
      <c r="AL27">
        <v>4</v>
      </c>
      <c r="AR27">
        <v>2</v>
      </c>
      <c r="AX27">
        <v>3</v>
      </c>
      <c r="BD27">
        <v>5</v>
      </c>
      <c r="BJ27">
        <v>5</v>
      </c>
      <c r="BP27">
        <v>4</v>
      </c>
      <c r="BV27">
        <v>3</v>
      </c>
      <c r="CB27">
        <v>3</v>
      </c>
      <c r="CH27">
        <v>3</v>
      </c>
      <c r="CN27">
        <v>3</v>
      </c>
    </row>
    <row r="28" spans="1:95" x14ac:dyDescent="0.25">
      <c r="A28">
        <v>26</v>
      </c>
      <c r="B28" s="1">
        <v>44902.368125000001</v>
      </c>
      <c r="C28" s="1">
        <v>44902.376400462999</v>
      </c>
      <c r="D28" t="s">
        <v>97</v>
      </c>
      <c r="H28">
        <v>5</v>
      </c>
      <c r="N28">
        <v>5</v>
      </c>
      <c r="T28">
        <v>5</v>
      </c>
      <c r="Z28">
        <v>5</v>
      </c>
      <c r="AF28">
        <v>5</v>
      </c>
      <c r="AL28">
        <v>5</v>
      </c>
      <c r="AR28">
        <v>2</v>
      </c>
      <c r="AU28" t="s">
        <v>122</v>
      </c>
      <c r="AX28">
        <v>4</v>
      </c>
      <c r="BD28">
        <v>5</v>
      </c>
      <c r="BJ28">
        <v>5</v>
      </c>
      <c r="BP28">
        <v>3</v>
      </c>
      <c r="BS28" t="s">
        <v>123</v>
      </c>
      <c r="BV28">
        <v>5</v>
      </c>
      <c r="CB28">
        <v>2</v>
      </c>
      <c r="CE28" t="s">
        <v>124</v>
      </c>
      <c r="CH28">
        <v>2</v>
      </c>
      <c r="CK28" t="s">
        <v>125</v>
      </c>
      <c r="CN28">
        <v>4</v>
      </c>
    </row>
    <row r="29" spans="1:95" x14ac:dyDescent="0.25">
      <c r="A29">
        <v>27</v>
      </c>
      <c r="B29" s="1">
        <v>44902.750011574099</v>
      </c>
      <c r="C29" s="1">
        <v>44902.753240740698</v>
      </c>
      <c r="D29" t="s">
        <v>97</v>
      </c>
      <c r="H29">
        <v>5</v>
      </c>
      <c r="N29">
        <v>4</v>
      </c>
      <c r="T29">
        <v>5</v>
      </c>
      <c r="Z29">
        <v>4</v>
      </c>
      <c r="AF29">
        <v>5</v>
      </c>
      <c r="AL29">
        <v>5</v>
      </c>
      <c r="AR29">
        <v>4</v>
      </c>
      <c r="AX29">
        <v>5</v>
      </c>
      <c r="BD29">
        <v>4</v>
      </c>
      <c r="BJ29">
        <v>4</v>
      </c>
      <c r="BP29">
        <v>5</v>
      </c>
      <c r="BV29">
        <v>5</v>
      </c>
      <c r="CB29">
        <v>3</v>
      </c>
      <c r="CE29" t="s">
        <v>126</v>
      </c>
      <c r="CH29">
        <v>3</v>
      </c>
      <c r="CN29">
        <v>3</v>
      </c>
    </row>
    <row r="30" spans="1:95" x14ac:dyDescent="0.25">
      <c r="A30">
        <v>28</v>
      </c>
      <c r="B30" s="1">
        <v>44903.564062500001</v>
      </c>
      <c r="C30" s="1">
        <v>44903.744837963</v>
      </c>
      <c r="D30" t="s">
        <v>97</v>
      </c>
      <c r="H30">
        <v>5</v>
      </c>
      <c r="N30">
        <v>5</v>
      </c>
      <c r="T30">
        <v>5</v>
      </c>
      <c r="Z30">
        <v>3</v>
      </c>
      <c r="AF30">
        <v>3</v>
      </c>
      <c r="AI30" t="s">
        <v>127</v>
      </c>
      <c r="AL30">
        <v>1</v>
      </c>
      <c r="AO30" t="s">
        <v>128</v>
      </c>
      <c r="AR30">
        <v>1</v>
      </c>
      <c r="AU30" t="s">
        <v>129</v>
      </c>
      <c r="AX30">
        <v>2</v>
      </c>
      <c r="BA30" t="s">
        <v>130</v>
      </c>
      <c r="BD30">
        <v>3</v>
      </c>
      <c r="BG30" t="s">
        <v>131</v>
      </c>
      <c r="BJ30">
        <v>4</v>
      </c>
      <c r="BP30">
        <v>4</v>
      </c>
      <c r="BS30" t="s">
        <v>132</v>
      </c>
      <c r="BV30">
        <v>1</v>
      </c>
      <c r="BY30" t="s">
        <v>133</v>
      </c>
      <c r="CB30">
        <v>1</v>
      </c>
      <c r="CE30" t="s">
        <v>134</v>
      </c>
      <c r="CH30">
        <v>1</v>
      </c>
      <c r="CK30" t="s">
        <v>135</v>
      </c>
      <c r="CN30">
        <v>2</v>
      </c>
      <c r="CQ30" t="s">
        <v>136</v>
      </c>
    </row>
    <row r="31" spans="1:95" x14ac:dyDescent="0.25">
      <c r="A31">
        <v>29</v>
      </c>
      <c r="B31" s="1">
        <v>44904.511979166702</v>
      </c>
      <c r="C31" s="1">
        <v>44904.521539351903</v>
      </c>
      <c r="D31" t="s">
        <v>97</v>
      </c>
      <c r="H31">
        <v>3</v>
      </c>
      <c r="N31">
        <v>2</v>
      </c>
      <c r="Q31" t="s">
        <v>137</v>
      </c>
      <c r="T31">
        <v>2</v>
      </c>
      <c r="W31" t="s">
        <v>138</v>
      </c>
      <c r="Z31">
        <v>3</v>
      </c>
      <c r="AF31">
        <v>4</v>
      </c>
      <c r="AL31">
        <v>2</v>
      </c>
      <c r="AO31" t="s">
        <v>139</v>
      </c>
      <c r="AR31">
        <v>2</v>
      </c>
      <c r="AU31" t="s">
        <v>140</v>
      </c>
      <c r="AX31">
        <v>3</v>
      </c>
      <c r="BD31">
        <v>3</v>
      </c>
      <c r="BJ31">
        <v>3</v>
      </c>
      <c r="BP31">
        <v>3</v>
      </c>
      <c r="BV31">
        <v>2</v>
      </c>
      <c r="BY31" t="s">
        <v>141</v>
      </c>
      <c r="CB31">
        <v>2</v>
      </c>
      <c r="CE31" t="s">
        <v>142</v>
      </c>
      <c r="CH31">
        <v>3</v>
      </c>
      <c r="CN31">
        <v>3</v>
      </c>
    </row>
    <row r="32" spans="1:95" x14ac:dyDescent="0.25">
      <c r="A32">
        <v>30</v>
      </c>
      <c r="B32" s="1">
        <v>44904.683333333298</v>
      </c>
      <c r="C32" s="1">
        <v>44904.694270833301</v>
      </c>
      <c r="D32" t="s">
        <v>97</v>
      </c>
      <c r="H32">
        <v>5</v>
      </c>
      <c r="N32">
        <v>5</v>
      </c>
      <c r="T32">
        <v>5</v>
      </c>
      <c r="Z32">
        <v>3</v>
      </c>
      <c r="AF32">
        <v>4</v>
      </c>
      <c r="AL32">
        <v>4</v>
      </c>
      <c r="AR32">
        <v>3</v>
      </c>
      <c r="AU32" t="s">
        <v>143</v>
      </c>
      <c r="AX32">
        <v>5</v>
      </c>
      <c r="BD32">
        <v>4</v>
      </c>
      <c r="BG32" t="s">
        <v>144</v>
      </c>
      <c r="BJ32">
        <v>4</v>
      </c>
      <c r="BP32">
        <v>3</v>
      </c>
      <c r="BV32">
        <v>3</v>
      </c>
      <c r="CB32">
        <v>3</v>
      </c>
      <c r="CH32">
        <v>3</v>
      </c>
      <c r="CN32">
        <v>3</v>
      </c>
    </row>
  </sheetData>
  <pageMargins left="0.7" right="0.7" top="0.75" bottom="0.75" header="0.3" footer="0.3"/>
  <pageSetup paperSize="9" orientation="portrait" r:id="rId1"/>
  <tableParts count="1">
    <tablePart r:id="rId2"/>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E04E00-56CA-4E5D-9404-7F4D5189C187}">
  <sheetPr codeName="Blad3" filterMode="1"/>
  <dimension ref="A1:J98"/>
  <sheetViews>
    <sheetView workbookViewId="0">
      <selection activeCell="E98" sqref="E98"/>
    </sheetView>
  </sheetViews>
  <sheetFormatPr defaultRowHeight="15" x14ac:dyDescent="0.25"/>
  <cols>
    <col min="1" max="1" width="16.7109375" bestFit="1" customWidth="1"/>
    <col min="2" max="3" width="12" bestFit="1" customWidth="1"/>
    <col min="4" max="4" width="2" bestFit="1" customWidth="1"/>
    <col min="5" max="5" width="31.7109375" style="2" customWidth="1"/>
    <col min="6" max="6" width="16.7109375" bestFit="1" customWidth="1"/>
    <col min="7" max="8" width="12" bestFit="1" customWidth="1"/>
    <col min="9" max="9" width="3" bestFit="1" customWidth="1"/>
    <col min="10" max="10" width="29.42578125" customWidth="1"/>
    <col min="11" max="12" width="12" bestFit="1" customWidth="1"/>
  </cols>
  <sheetData>
    <row r="1" spans="1:10" x14ac:dyDescent="0.25">
      <c r="A1" t="s">
        <v>149</v>
      </c>
      <c r="B1" t="s">
        <v>150</v>
      </c>
      <c r="C1" t="s">
        <v>151</v>
      </c>
      <c r="D1" t="s">
        <v>152</v>
      </c>
      <c r="E1" s="2" t="s">
        <v>153</v>
      </c>
      <c r="F1" t="s">
        <v>149</v>
      </c>
      <c r="G1" t="s">
        <v>150</v>
      </c>
      <c r="H1" t="s">
        <v>151</v>
      </c>
      <c r="I1" t="s">
        <v>152</v>
      </c>
      <c r="J1" s="2" t="s">
        <v>153</v>
      </c>
    </row>
    <row r="2" spans="1:10" hidden="1" x14ac:dyDescent="0.25">
      <c r="A2" cm="1">
        <f t="array" aca="1" ref="A2" ca="1">OFFSET('Sheet1 (2)'!$A$1,COLUMN()-1,ROW()-2,,)</f>
        <v>4</v>
      </c>
      <c r="B2" cm="1">
        <f t="array" aca="1" ref="B2" ca="1">OFFSET('Sheet1 (2)'!$A$1,COLUMN()-1,ROW()-2,,)</f>
        <v>1</v>
      </c>
      <c r="C2" cm="1">
        <f t="array" aca="1" ref="C2" ca="1">OFFSET('Sheet1 (2)'!$A$1,COLUMN()-1,ROW()-2,,)</f>
        <v>7</v>
      </c>
      <c r="D2" cm="1">
        <f t="array" aca="1" ref="D2" ca="1">OFFSET('Sheet1 (2)'!$A$1,COLUMN()-1,ROW()-2,,)</f>
        <v>7</v>
      </c>
      <c r="E2" t="str" cm="1">
        <f t="array" aca="1" ref="E2" ca="1">OFFSET('Sheet1 (2)'!$A$1,COLUMN()-1,ROW()-2,,)</f>
        <v>ID</v>
      </c>
      <c r="F2" cm="1">
        <f t="array" aca="1" ref="F2" ca="1">OFFSET(Sheet1!$A$1,COLUMN()-6,ROW()-2,,)</f>
        <v>17</v>
      </c>
      <c r="G2" cm="1">
        <f t="array" aca="1" ref="G2" ca="1">OFFSET(Sheet1!$A$1,COLUMN()-6,ROW()-2,,)</f>
        <v>4</v>
      </c>
      <c r="H2" cm="1">
        <f t="array" aca="1" ref="H2" ca="1">OFFSET(Sheet1!$A$1,COLUMN()-6,ROW()-2,,)</f>
        <v>30</v>
      </c>
      <c r="I2" cm="1">
        <f t="array" aca="1" ref="I2" ca="1">OFFSET(Sheet1!$A$1,COLUMN()-6,ROW()-2,,)</f>
        <v>27</v>
      </c>
      <c r="J2" t="str" cm="1">
        <f t="array" aca="1" ref="J2" ca="1">OFFSET(Sheet1!$A$1,COLUMN()-6,ROW()-2,,)</f>
        <v>ID</v>
      </c>
    </row>
    <row r="3" spans="1:10" hidden="1" x14ac:dyDescent="0.25">
      <c r="A3" cm="1">
        <f t="array" aca="1" ref="A3" ca="1">OFFSET('Sheet1 (2)'!$A$1,COLUMN()-1,ROW()-1,,)</f>
        <v>44901.60087962963</v>
      </c>
      <c r="B3" cm="1">
        <f t="array" aca="1" ref="B3" ca="1">OFFSET('Sheet1 (2)'!$A$1,COLUMN()-1,ROW()-1,,)</f>
        <v>44900.358483796299</v>
      </c>
      <c r="C3" cm="1">
        <f t="array" aca="1" ref="C3" ca="1">OFFSET('Sheet1 (2)'!$A$1,COLUMN()-1,ROW()-1,,)</f>
        <v>44903.491678240702</v>
      </c>
      <c r="D3" cm="1">
        <f t="array" aca="1" ref="D3" ca="1">OFFSET('Sheet1 (2)'!$A$1,COLUMN()-1,ROW()-1,,)</f>
        <v>7</v>
      </c>
      <c r="E3" s="2" t="str" cm="1">
        <f t="array" aca="1" ref="E3" ca="1">OFFSET('Sheet1 (2)'!$A$1,COLUMN()-1,ROW()-1,,)</f>
        <v>Heure de fin</v>
      </c>
      <c r="F3" cm="1">
        <f t="array" aca="1" ref="F3" ca="1">OFFSET(Sheet1!$A$1,COLUMN()-6,ROW()-1,,)</f>
        <v>44901.123888888898</v>
      </c>
      <c r="G3" cm="1">
        <f t="array" aca="1" ref="G3" ca="1">OFFSET(Sheet1!$A$1,COLUMN()-6,ROW()-1,,)</f>
        <v>44896.705277777801</v>
      </c>
      <c r="H3" cm="1">
        <f t="array" aca="1" ref="H3" ca="1">OFFSET(Sheet1!$A$1,COLUMN()-6,ROW()-1,,)</f>
        <v>44904.694270833301</v>
      </c>
      <c r="I3" cm="1">
        <f t="array" aca="1" ref="I3" ca="1">OFFSET(Sheet1!$A$1,COLUMN()-6,ROW()-1,,)</f>
        <v>27</v>
      </c>
      <c r="J3" t="str" cm="1">
        <f t="array" aca="1" ref="J3" ca="1">OFFSET(Sheet1!$A$1,COLUMN()-6,ROW()-1,,)</f>
        <v>Heure de fin</v>
      </c>
    </row>
    <row r="4" spans="1:10" hidden="1" x14ac:dyDescent="0.25">
      <c r="A4" t="e" cm="1">
        <f t="array" aca="1" ref="A4" ca="1">OFFSET('Sheet1 (2)'!$A$1,COLUMN()-1,ROW()-1,,)</f>
        <v>#DIV/0!</v>
      </c>
      <c r="B4" cm="1">
        <f t="array" aca="1" ref="B4" ca="1">OFFSET('Sheet1 (2)'!$A$1,COLUMN()-1,ROW()-1,,)</f>
        <v>0</v>
      </c>
      <c r="C4" cm="1">
        <f t="array" aca="1" ref="C4" ca="1">OFFSET('Sheet1 (2)'!$A$1,COLUMN()-1,ROW()-1,,)</f>
        <v>0</v>
      </c>
      <c r="D4" cm="1">
        <f t="array" aca="1" ref="D4" ca="1">OFFSET('Sheet1 (2)'!$A$1,COLUMN()-1,ROW()-1,,)</f>
        <v>0</v>
      </c>
      <c r="E4" s="2" t="str" cm="1">
        <f t="array" aca="1" ref="E4" ca="1">OFFSET('Sheet1 (2)'!$A$1,COLUMN()-1,ROW()-1,,)</f>
        <v>Adresse de messagerie</v>
      </c>
      <c r="F4" t="e" cm="1">
        <f t="array" aca="1" ref="F4" ca="1">OFFSET(Sheet1!$A$1,COLUMN()-6,ROW()-1,,)</f>
        <v>#DIV/0!</v>
      </c>
      <c r="G4" cm="1">
        <f t="array" aca="1" ref="G4" ca="1">OFFSET(Sheet1!$A$1,COLUMN()-6,ROW()-1,,)</f>
        <v>0</v>
      </c>
      <c r="H4" cm="1">
        <f t="array" aca="1" ref="H4" ca="1">OFFSET(Sheet1!$A$1,COLUMN()-6,ROW()-1,,)</f>
        <v>0</v>
      </c>
      <c r="I4" cm="1">
        <f t="array" aca="1" ref="I4" ca="1">OFFSET(Sheet1!$A$1,COLUMN()-6,ROW()-1,,)</f>
        <v>0</v>
      </c>
      <c r="J4" t="str" cm="1">
        <f t="array" aca="1" ref="J4" ca="1">OFFSET(Sheet1!$A$1,COLUMN()-6,ROW()-1,,)</f>
        <v>Adresse de messagerie</v>
      </c>
    </row>
    <row r="5" spans="1:10" hidden="1" x14ac:dyDescent="0.25">
      <c r="A5" t="e" cm="1">
        <f t="array" aca="1" ref="A5" ca="1">OFFSET('Sheet1 (2)'!$A$1,COLUMN()-1,ROW()-1,,)</f>
        <v>#DIV/0!</v>
      </c>
      <c r="B5" cm="1">
        <f t="array" aca="1" ref="B5" ca="1">OFFSET('Sheet1 (2)'!$A$1,COLUMN()-1,ROW()-1,,)</f>
        <v>0</v>
      </c>
      <c r="C5" cm="1">
        <f t="array" aca="1" ref="C5" ca="1">OFFSET('Sheet1 (2)'!$A$1,COLUMN()-1,ROW()-1,,)</f>
        <v>0</v>
      </c>
      <c r="D5" cm="1">
        <f t="array" aca="1" ref="D5" ca="1">OFFSET('Sheet1 (2)'!$A$1,COLUMN()-1,ROW()-1,,)</f>
        <v>0</v>
      </c>
      <c r="E5" s="2" t="str" cm="1">
        <f t="array" aca="1" ref="E5" ca="1">OFFSET('Sheet1 (2)'!$A$1,COLUMN()-1,ROW()-1,,)</f>
        <v>Nom</v>
      </c>
      <c r="F5" t="e" cm="1">
        <f t="array" aca="1" ref="F5" ca="1">OFFSET(Sheet1!$A$1,COLUMN()-6,ROW()-1,,)</f>
        <v>#DIV/0!</v>
      </c>
      <c r="G5" cm="1">
        <f t="array" aca="1" ref="G5" ca="1">OFFSET(Sheet1!$A$1,COLUMN()-6,ROW()-1,,)</f>
        <v>0</v>
      </c>
      <c r="H5" cm="1">
        <f t="array" aca="1" ref="H5" ca="1">OFFSET(Sheet1!$A$1,COLUMN()-6,ROW()-1,,)</f>
        <v>0</v>
      </c>
      <c r="I5" cm="1">
        <f t="array" aca="1" ref="I5" ca="1">OFFSET(Sheet1!$A$1,COLUMN()-6,ROW()-1,,)</f>
        <v>0</v>
      </c>
      <c r="J5" t="str" cm="1">
        <f t="array" aca="1" ref="J5" ca="1">OFFSET(Sheet1!$A$1,COLUMN()-6,ROW()-1,,)</f>
        <v>Nom</v>
      </c>
    </row>
    <row r="6" spans="1:10" hidden="1" x14ac:dyDescent="0.25">
      <c r="A6" t="e" cm="1">
        <f t="array" aca="1" ref="A6" ca="1">OFFSET('Sheet1 (2)'!$A$1,COLUMN()-1,ROW()-1,,)</f>
        <v>#DIV/0!</v>
      </c>
      <c r="B6" cm="1">
        <f t="array" aca="1" ref="B6" ca="1">OFFSET('Sheet1 (2)'!$A$1,COLUMN()-1,ROW()-1,,)</f>
        <v>0</v>
      </c>
      <c r="C6" cm="1">
        <f t="array" aca="1" ref="C6" ca="1">OFFSET('Sheet1 (2)'!$A$1,COLUMN()-1,ROW()-1,,)</f>
        <v>0</v>
      </c>
      <c r="D6" cm="1">
        <f t="array" aca="1" ref="D6" ca="1">OFFSET('Sheet1 (2)'!$A$1,COLUMN()-1,ROW()-1,,)</f>
        <v>0</v>
      </c>
      <c r="E6" s="2" t="str" cm="1">
        <f t="array" aca="1" ref="E6" ca="1">OFFSET('Sheet1 (2)'!$A$1,COLUMN()-1,ROW()-1,,)</f>
        <v>Total points</v>
      </c>
      <c r="F6" t="e" cm="1">
        <f t="array" aca="1" ref="F6" ca="1">OFFSET(Sheet1!$A$1,COLUMN()-6,ROW()-1,,)</f>
        <v>#DIV/0!</v>
      </c>
      <c r="G6" cm="1">
        <f t="array" aca="1" ref="G6" ca="1">OFFSET(Sheet1!$A$1,COLUMN()-6,ROW()-1,,)</f>
        <v>0</v>
      </c>
      <c r="H6" cm="1">
        <f t="array" aca="1" ref="H6" ca="1">OFFSET(Sheet1!$A$1,COLUMN()-6,ROW()-1,,)</f>
        <v>0</v>
      </c>
      <c r="I6" cm="1">
        <f t="array" aca="1" ref="I6" ca="1">OFFSET(Sheet1!$A$1,COLUMN()-6,ROW()-1,,)</f>
        <v>0</v>
      </c>
      <c r="J6" t="str" cm="1">
        <f t="array" aca="1" ref="J6" ca="1">OFFSET(Sheet1!$A$1,COLUMN()-6,ROW()-1,,)</f>
        <v>Total points</v>
      </c>
    </row>
    <row r="7" spans="1:10" hidden="1" x14ac:dyDescent="0.25">
      <c r="A7" t="e" cm="1">
        <f t="array" aca="1" ref="A7" ca="1">OFFSET('Sheet1 (2)'!$A$1,COLUMN()-1,ROW()-1,,)</f>
        <v>#DIV/0!</v>
      </c>
      <c r="B7" cm="1">
        <f t="array" aca="1" ref="B7" ca="1">OFFSET('Sheet1 (2)'!$A$1,COLUMN()-1,ROW()-1,,)</f>
        <v>0</v>
      </c>
      <c r="C7" cm="1">
        <f t="array" aca="1" ref="C7" ca="1">OFFSET('Sheet1 (2)'!$A$1,COLUMN()-1,ROW()-1,,)</f>
        <v>0</v>
      </c>
      <c r="D7" cm="1">
        <f t="array" aca="1" ref="D7" ca="1">OFFSET('Sheet1 (2)'!$A$1,COLUMN()-1,ROW()-1,,)</f>
        <v>0</v>
      </c>
      <c r="E7" s="2" t="str" cm="1">
        <f t="array" aca="1" ref="E7" ca="1">OFFSET('Sheet1 (2)'!$A$1,COLUMN()-1,ROW()-1,,)</f>
        <v>Quiz feedback</v>
      </c>
      <c r="F7" t="e" cm="1">
        <f t="array" aca="1" ref="F7" ca="1">OFFSET(Sheet1!$A$1,COLUMN()-6,ROW()-1,,)</f>
        <v>#DIV/0!</v>
      </c>
      <c r="G7" cm="1">
        <f t="array" aca="1" ref="G7" ca="1">OFFSET(Sheet1!$A$1,COLUMN()-6,ROW()-1,,)</f>
        <v>0</v>
      </c>
      <c r="H7" cm="1">
        <f t="array" aca="1" ref="H7" ca="1">OFFSET(Sheet1!$A$1,COLUMN()-6,ROW()-1,,)</f>
        <v>0</v>
      </c>
      <c r="I7" cm="1">
        <f t="array" aca="1" ref="I7" ca="1">OFFSET(Sheet1!$A$1,COLUMN()-6,ROW()-1,,)</f>
        <v>0</v>
      </c>
      <c r="J7" t="str" cm="1">
        <f t="array" aca="1" ref="J7" ca="1">OFFSET(Sheet1!$A$1,COLUMN()-6,ROW()-1,,)</f>
        <v>Quiz feedback</v>
      </c>
    </row>
    <row r="8" spans="1:10" x14ac:dyDescent="0.25">
      <c r="A8" cm="1">
        <f t="array" aca="1" ref="A8" ca="1">OFFSET('Sheet1 (2)'!$A$1,COLUMN()-1,ROW()-1,,)</f>
        <v>5</v>
      </c>
      <c r="B8" cm="1">
        <f t="array" aca="1" ref="B8" ca="1">OFFSET('Sheet1 (2)'!$A$1,COLUMN()-1,ROW()-1,,)</f>
        <v>5</v>
      </c>
      <c r="C8" cm="1">
        <f t="array" aca="1" ref="C8" ca="1">OFFSET('Sheet1 (2)'!$A$1,COLUMN()-1,ROW()-1,,)</f>
        <v>5</v>
      </c>
      <c r="D8" cm="1">
        <f t="array" aca="1" ref="D8" ca="1">OFFSET('Sheet1 (2)'!$A$1,COLUMN()-1,ROW()-1,,)</f>
        <v>7</v>
      </c>
      <c r="E8" s="2" t="str" cm="1">
        <f t="array" aca="1" ref="E8" ca="1">OFFSET('Sheet1 (2)'!$A$1,COLUMN()-1,ROW()-1,,)</f>
        <v>CLARTE : J'ai une vision claire de l’objectif final du programme</v>
      </c>
      <c r="F8" cm="1">
        <f t="array" aca="1" ref="F8" ca="1">OFFSET(Sheet1!$A$1,COLUMN()-6,ROW()-1,,)</f>
        <v>4.2962962962962967</v>
      </c>
      <c r="G8" cm="1">
        <f t="array" aca="1" ref="G8" ca="1">OFFSET(Sheet1!$A$1,COLUMN()-6,ROW()-1,,)</f>
        <v>3</v>
      </c>
      <c r="H8" cm="1">
        <f t="array" aca="1" ref="H8" ca="1">OFFSET(Sheet1!$A$1,COLUMN()-6,ROW()-1,,)</f>
        <v>5</v>
      </c>
      <c r="I8" cm="1">
        <f t="array" aca="1" ref="I8" ca="1">OFFSET(Sheet1!$A$1,COLUMN()-6,ROW()-1,,)</f>
        <v>27</v>
      </c>
      <c r="J8" t="str" cm="1">
        <f t="array" aca="1" ref="J8" ca="1">OFFSET(Sheet1!$A$1,COLUMN()-6,ROW()-1,,)</f>
        <v>CLARTE : J'ai une vision claire de l’objectif final du programme</v>
      </c>
    </row>
    <row r="9" spans="1:10" hidden="1" x14ac:dyDescent="0.25">
      <c r="A9" t="e" cm="1">
        <f t="array" aca="1" ref="A9" ca="1">OFFSET('Sheet1 (2)'!$A$1,COLUMN()-1,ROW()-1,,)</f>
        <v>#DIV/0!</v>
      </c>
      <c r="B9" cm="1">
        <f t="array" aca="1" ref="B9" ca="1">OFFSET('Sheet1 (2)'!$A$1,COLUMN()-1,ROW()-1,,)</f>
        <v>0</v>
      </c>
      <c r="C9" cm="1">
        <f t="array" aca="1" ref="C9" ca="1">OFFSET('Sheet1 (2)'!$A$1,COLUMN()-1,ROW()-1,,)</f>
        <v>0</v>
      </c>
      <c r="D9" cm="1">
        <f t="array" aca="1" ref="D9" ca="1">OFFSET('Sheet1 (2)'!$A$1,COLUMN()-1,ROW()-1,,)</f>
        <v>0</v>
      </c>
      <c r="E9" s="2" t="str" cm="1">
        <f t="array" aca="1" ref="E9" ca="1">OFFSET('Sheet1 (2)'!$A$1,COLUMN()-1,ROW()-1,,)</f>
        <v>Points - CLARTE : J'ai une vision claire de l’objectif final du programme</v>
      </c>
      <c r="F9" t="e" cm="1">
        <f t="array" aca="1" ref="F9" ca="1">OFFSET(Sheet1!$A$1,COLUMN()-6,ROW()-1,,)</f>
        <v>#DIV/0!</v>
      </c>
      <c r="G9" cm="1">
        <f t="array" aca="1" ref="G9" ca="1">OFFSET(Sheet1!$A$1,COLUMN()-6,ROW()-1,,)</f>
        <v>0</v>
      </c>
      <c r="H9" cm="1">
        <f t="array" aca="1" ref="H9" ca="1">OFFSET(Sheet1!$A$1,COLUMN()-6,ROW()-1,,)</f>
        <v>0</v>
      </c>
      <c r="I9" cm="1">
        <f t="array" aca="1" ref="I9" ca="1">OFFSET(Sheet1!$A$1,COLUMN()-6,ROW()-1,,)</f>
        <v>0</v>
      </c>
      <c r="J9" t="str" cm="1">
        <f t="array" aca="1" ref="J9" ca="1">OFFSET(Sheet1!$A$1,COLUMN()-6,ROW()-1,,)</f>
        <v>Points - CLARTE : J'ai une vision claire de l’objectif final du programme</v>
      </c>
    </row>
    <row r="10" spans="1:10" hidden="1" x14ac:dyDescent="0.25">
      <c r="A10" t="e" cm="1">
        <f t="array" aca="1" ref="A10" ca="1">OFFSET('Sheet1 (2)'!$A$1,COLUMN()-1,ROW()-1,,)</f>
        <v>#DIV/0!</v>
      </c>
      <c r="B10" cm="1">
        <f t="array" aca="1" ref="B10" ca="1">OFFSET('Sheet1 (2)'!$A$1,COLUMN()-1,ROW()-1,,)</f>
        <v>0</v>
      </c>
      <c r="C10" cm="1">
        <f t="array" aca="1" ref="C10" ca="1">OFFSET('Sheet1 (2)'!$A$1,COLUMN()-1,ROW()-1,,)</f>
        <v>0</v>
      </c>
      <c r="D10" cm="1">
        <f t="array" aca="1" ref="D10" ca="1">OFFSET('Sheet1 (2)'!$A$1,COLUMN()-1,ROW()-1,,)</f>
        <v>0</v>
      </c>
      <c r="E10" s="2" t="str" cm="1">
        <f t="array" aca="1" ref="E10" ca="1">OFFSET('Sheet1 (2)'!$A$1,COLUMN()-1,ROW()-1,,)</f>
        <v>Feedback - CLARTE : J'ai une vision claire de l’objectif final du programme</v>
      </c>
      <c r="F10" t="e" cm="1">
        <f t="array" aca="1" ref="F10" ca="1">OFFSET(Sheet1!$A$1,COLUMN()-6,ROW()-1,,)</f>
        <v>#DIV/0!</v>
      </c>
      <c r="G10" cm="1">
        <f t="array" aca="1" ref="G10" ca="1">OFFSET(Sheet1!$A$1,COLUMN()-6,ROW()-1,,)</f>
        <v>0</v>
      </c>
      <c r="H10" cm="1">
        <f t="array" aca="1" ref="H10" ca="1">OFFSET(Sheet1!$A$1,COLUMN()-6,ROW()-1,,)</f>
        <v>0</v>
      </c>
      <c r="I10" cm="1">
        <f t="array" aca="1" ref="I10" ca="1">OFFSET(Sheet1!$A$1,COLUMN()-6,ROW()-1,,)</f>
        <v>0</v>
      </c>
      <c r="J10" t="str" cm="1">
        <f t="array" aca="1" ref="J10" ca="1">OFFSET(Sheet1!$A$1,COLUMN()-6,ROW()-1,,)</f>
        <v>Feedback - CLARTE : J'ai une vision claire de l’objectif final du programme</v>
      </c>
    </row>
    <row r="11" spans="1:10" hidden="1" x14ac:dyDescent="0.25">
      <c r="A11" t="e" cm="1">
        <f t="array" aca="1" ref="A11" ca="1">OFFSET('Sheet1 (2)'!$A$1,COLUMN()-1,ROW()-1,,)</f>
        <v>#DIV/0!</v>
      </c>
      <c r="B11" cm="1">
        <f t="array" aca="1" ref="B11" ca="1">OFFSET('Sheet1 (2)'!$A$1,COLUMN()-1,ROW()-1,,)</f>
        <v>0</v>
      </c>
      <c r="C11" cm="1">
        <f t="array" aca="1" ref="C11" ca="1">OFFSET('Sheet1 (2)'!$A$1,COLUMN()-1,ROW()-1,,)</f>
        <v>0</v>
      </c>
      <c r="D11" cm="1">
        <f t="array" aca="1" ref="D11" ca="1">OFFSET('Sheet1 (2)'!$A$1,COLUMN()-1,ROW()-1,,)</f>
        <v>0</v>
      </c>
      <c r="E11" s="2" t="str" cm="1">
        <f t="array" aca="1" ref="E11" ca="1">OFFSET('Sheet1 (2)'!$A$1,COLUMN()-1,ROW()-1,,)</f>
        <v>Si la réponse comporte moins de 2 étoiles OUI, merci de préciser votre réponse dans le champs ci-dessous :</v>
      </c>
      <c r="F11" t="e" cm="1">
        <f t="array" aca="1" ref="F11" ca="1">OFFSET(Sheet1!$A$1,COLUMN()-6,ROW()-1,,)</f>
        <v>#DIV/0!</v>
      </c>
      <c r="G11" cm="1">
        <f t="array" aca="1" ref="G11" ca="1">OFFSET(Sheet1!$A$1,COLUMN()-6,ROW()-1,,)</f>
        <v>0</v>
      </c>
      <c r="H11" cm="1">
        <f t="array" aca="1" ref="H11" ca="1">OFFSET(Sheet1!$A$1,COLUMN()-6,ROW()-1,,)</f>
        <v>0</v>
      </c>
      <c r="I11" cm="1">
        <f t="array" aca="1" ref="I11" ca="1">OFFSET(Sheet1!$A$1,COLUMN()-6,ROW()-1,,)</f>
        <v>0</v>
      </c>
      <c r="J11" t="str" cm="1">
        <f t="array" aca="1" ref="J11" ca="1">OFFSET(Sheet1!$A$1,COLUMN()-6,ROW()-1,,)</f>
        <v>Si la réponse comporte moins de 2 étoiles OUI, merci de préciser votre réponse dans le champs ci-dessous :</v>
      </c>
    </row>
    <row r="12" spans="1:10" hidden="1" x14ac:dyDescent="0.25">
      <c r="A12" t="e" cm="1">
        <f t="array" aca="1" ref="A12" ca="1">OFFSET('Sheet1 (2)'!$A$1,COLUMN()-1,ROW()-1,,)</f>
        <v>#DIV/0!</v>
      </c>
      <c r="B12" cm="1">
        <f t="array" aca="1" ref="B12" ca="1">OFFSET('Sheet1 (2)'!$A$1,COLUMN()-1,ROW()-1,,)</f>
        <v>0</v>
      </c>
      <c r="C12" cm="1">
        <f t="array" aca="1" ref="C12" ca="1">OFFSET('Sheet1 (2)'!$A$1,COLUMN()-1,ROW()-1,,)</f>
        <v>0</v>
      </c>
      <c r="D12" cm="1">
        <f t="array" aca="1" ref="D12" ca="1">OFFSET('Sheet1 (2)'!$A$1,COLUMN()-1,ROW()-1,,)</f>
        <v>0</v>
      </c>
      <c r="E12" s="2" t="str" cm="1">
        <f t="array" aca="1" ref="E12" ca="1">OFFSET('Sheet1 (2)'!$A$1,COLUMN()-1,ROW()-1,,)</f>
        <v>Points - Si la réponse comporte moins de 2 étoiles OUI, merci de préciser votre réponse dans le champs ci-dessous :</v>
      </c>
      <c r="F12" t="e" cm="1">
        <f t="array" aca="1" ref="F12" ca="1">OFFSET(Sheet1!$A$1,COLUMN()-6,ROW()-1,,)</f>
        <v>#DIV/0!</v>
      </c>
      <c r="G12" cm="1">
        <f t="array" aca="1" ref="G12" ca="1">OFFSET(Sheet1!$A$1,COLUMN()-6,ROW()-1,,)</f>
        <v>0</v>
      </c>
      <c r="H12" cm="1">
        <f t="array" aca="1" ref="H12" ca="1">OFFSET(Sheet1!$A$1,COLUMN()-6,ROW()-1,,)</f>
        <v>0</v>
      </c>
      <c r="I12" cm="1">
        <f t="array" aca="1" ref="I12" ca="1">OFFSET(Sheet1!$A$1,COLUMN()-6,ROW()-1,,)</f>
        <v>0</v>
      </c>
      <c r="J12" t="str" cm="1">
        <f t="array" aca="1" ref="J12" ca="1">OFFSET(Sheet1!$A$1,COLUMN()-6,ROW()-1,,)</f>
        <v>Points - Si la réponse comporte moins de 2 étoiles OUI, merci de préciser votre réponse dans le champs ci-dessous :</v>
      </c>
    </row>
    <row r="13" spans="1:10" hidden="1" x14ac:dyDescent="0.25">
      <c r="A13" t="e" cm="1">
        <f t="array" aca="1" ref="A13" ca="1">OFFSET('Sheet1 (2)'!$A$1,COLUMN()-1,ROW()-1,,)</f>
        <v>#DIV/0!</v>
      </c>
      <c r="B13" cm="1">
        <f t="array" aca="1" ref="B13" ca="1">OFFSET('Sheet1 (2)'!$A$1,COLUMN()-1,ROW()-1,,)</f>
        <v>0</v>
      </c>
      <c r="C13" cm="1">
        <f t="array" aca="1" ref="C13" ca="1">OFFSET('Sheet1 (2)'!$A$1,COLUMN()-1,ROW()-1,,)</f>
        <v>0</v>
      </c>
      <c r="D13" cm="1">
        <f t="array" aca="1" ref="D13" ca="1">OFFSET('Sheet1 (2)'!$A$1,COLUMN()-1,ROW()-1,,)</f>
        <v>0</v>
      </c>
      <c r="E13" s="2" t="str" cm="1">
        <f t="array" aca="1" ref="E13" ca="1">OFFSET('Sheet1 (2)'!$A$1,COLUMN()-1,ROW()-1,,)</f>
        <v>Feedback - Si la réponse comporte moins de 2 étoiles OUI, merci de préciser votre réponse dans le champs ci-dessous :</v>
      </c>
      <c r="F13" t="e" cm="1">
        <f t="array" aca="1" ref="F13" ca="1">OFFSET(Sheet1!$A$1,COLUMN()-6,ROW()-1,,)</f>
        <v>#DIV/0!</v>
      </c>
      <c r="G13" cm="1">
        <f t="array" aca="1" ref="G13" ca="1">OFFSET(Sheet1!$A$1,COLUMN()-6,ROW()-1,,)</f>
        <v>0</v>
      </c>
      <c r="H13" cm="1">
        <f t="array" aca="1" ref="H13" ca="1">OFFSET(Sheet1!$A$1,COLUMN()-6,ROW()-1,,)</f>
        <v>0</v>
      </c>
      <c r="I13" cm="1">
        <f t="array" aca="1" ref="I13" ca="1">OFFSET(Sheet1!$A$1,COLUMN()-6,ROW()-1,,)</f>
        <v>0</v>
      </c>
      <c r="J13" t="str" cm="1">
        <f t="array" aca="1" ref="J13" ca="1">OFFSET(Sheet1!$A$1,COLUMN()-6,ROW()-1,,)</f>
        <v>Feedback - Si la réponse comporte moins de 2 étoiles OUI, merci de préciser votre réponse dans le champs ci-dessous :</v>
      </c>
    </row>
    <row r="14" spans="1:10" x14ac:dyDescent="0.25">
      <c r="A14" cm="1">
        <f t="array" aca="1" ref="A14" ca="1">OFFSET('Sheet1 (2)'!$A$1,COLUMN()-1,ROW()-1,,)</f>
        <v>5</v>
      </c>
      <c r="B14" cm="1">
        <f t="array" aca="1" ref="B14" ca="1">OFFSET('Sheet1 (2)'!$A$1,COLUMN()-1,ROW()-1,,)</f>
        <v>5</v>
      </c>
      <c r="C14" cm="1">
        <f t="array" aca="1" ref="C14" ca="1">OFFSET('Sheet1 (2)'!$A$1,COLUMN()-1,ROW()-1,,)</f>
        <v>5</v>
      </c>
      <c r="D14" cm="1">
        <f t="array" aca="1" ref="D14" ca="1">OFFSET('Sheet1 (2)'!$A$1,COLUMN()-1,ROW()-1,,)</f>
        <v>7</v>
      </c>
      <c r="E14" s="2" t="str" cm="1">
        <f t="array" aca="1" ref="E14" ca="1">OFFSET('Sheet1 (2)'!$A$1,COLUMN()-1,ROW()-1,,)</f>
        <v>ALIGNEMENT : Je suis aligné sur l’objectif final du programme</v>
      </c>
      <c r="F14" cm="1">
        <f t="array" aca="1" ref="F14" ca="1">OFFSET(Sheet1!$A$1,COLUMN()-6,ROW()-1,,)</f>
        <v>4.1111111111111107</v>
      </c>
      <c r="G14" cm="1">
        <f t="array" aca="1" ref="G14" ca="1">OFFSET(Sheet1!$A$1,COLUMN()-6,ROW()-1,,)</f>
        <v>2</v>
      </c>
      <c r="H14" cm="1">
        <f t="array" aca="1" ref="H14" ca="1">OFFSET(Sheet1!$A$1,COLUMN()-6,ROW()-1,,)</f>
        <v>5</v>
      </c>
      <c r="I14" cm="1">
        <f t="array" aca="1" ref="I14" ca="1">OFFSET(Sheet1!$A$1,COLUMN()-6,ROW()-1,,)</f>
        <v>27</v>
      </c>
      <c r="J14" t="str" cm="1">
        <f t="array" aca="1" ref="J14" ca="1">OFFSET(Sheet1!$A$1,COLUMN()-6,ROW()-1,,)</f>
        <v>ALIGNEMENT : Je suis aligné sur l’objectif final du programme</v>
      </c>
    </row>
    <row r="15" spans="1:10" hidden="1" x14ac:dyDescent="0.25">
      <c r="A15" t="e" cm="1">
        <f t="array" aca="1" ref="A15" ca="1">OFFSET('Sheet1 (2)'!$A$1,COLUMN()-1,ROW()-1,,)</f>
        <v>#DIV/0!</v>
      </c>
      <c r="B15" cm="1">
        <f t="array" aca="1" ref="B15" ca="1">OFFSET('Sheet1 (2)'!$A$1,COLUMN()-1,ROW()-1,,)</f>
        <v>0</v>
      </c>
      <c r="C15" cm="1">
        <f t="array" aca="1" ref="C15" ca="1">OFFSET('Sheet1 (2)'!$A$1,COLUMN()-1,ROW()-1,,)</f>
        <v>0</v>
      </c>
      <c r="D15" cm="1">
        <f t="array" aca="1" ref="D15" ca="1">OFFSET('Sheet1 (2)'!$A$1,COLUMN()-1,ROW()-1,,)</f>
        <v>0</v>
      </c>
      <c r="E15" s="2" t="str" cm="1">
        <f t="array" aca="1" ref="E15" ca="1">OFFSET('Sheet1 (2)'!$A$1,COLUMN()-1,ROW()-1,,)</f>
        <v>Points - ALIGNEMENT : Je suis aligné sur l’objectif final du programme</v>
      </c>
      <c r="F15" t="e" cm="1">
        <f t="array" aca="1" ref="F15" ca="1">OFFSET(Sheet1!$A$1,COLUMN()-6,ROW()-1,,)</f>
        <v>#DIV/0!</v>
      </c>
      <c r="G15" cm="1">
        <f t="array" aca="1" ref="G15" ca="1">OFFSET(Sheet1!$A$1,COLUMN()-6,ROW()-1,,)</f>
        <v>0</v>
      </c>
      <c r="H15" cm="1">
        <f t="array" aca="1" ref="H15" ca="1">OFFSET(Sheet1!$A$1,COLUMN()-6,ROW()-1,,)</f>
        <v>0</v>
      </c>
      <c r="I15" cm="1">
        <f t="array" aca="1" ref="I15" ca="1">OFFSET(Sheet1!$A$1,COLUMN()-6,ROW()-1,,)</f>
        <v>0</v>
      </c>
      <c r="J15" t="str" cm="1">
        <f t="array" aca="1" ref="J15" ca="1">OFFSET(Sheet1!$A$1,COLUMN()-6,ROW()-1,,)</f>
        <v>Points - ALIGNEMENT : Je suis aligné sur l’objectif final du programme</v>
      </c>
    </row>
    <row r="16" spans="1:10" hidden="1" x14ac:dyDescent="0.25">
      <c r="A16" t="e" cm="1">
        <f t="array" aca="1" ref="A16" ca="1">OFFSET('Sheet1 (2)'!$A$1,COLUMN()-1,ROW()-1,,)</f>
        <v>#DIV/0!</v>
      </c>
      <c r="B16" cm="1">
        <f t="array" aca="1" ref="B16" ca="1">OFFSET('Sheet1 (2)'!$A$1,COLUMN()-1,ROW()-1,,)</f>
        <v>0</v>
      </c>
      <c r="C16" cm="1">
        <f t="array" aca="1" ref="C16" ca="1">OFFSET('Sheet1 (2)'!$A$1,COLUMN()-1,ROW()-1,,)</f>
        <v>0</v>
      </c>
      <c r="D16" cm="1">
        <f t="array" aca="1" ref="D16" ca="1">OFFSET('Sheet1 (2)'!$A$1,COLUMN()-1,ROW()-1,,)</f>
        <v>0</v>
      </c>
      <c r="E16" s="2" t="str" cm="1">
        <f t="array" aca="1" ref="E16" ca="1">OFFSET('Sheet1 (2)'!$A$1,COLUMN()-1,ROW()-1,,)</f>
        <v>Feedback - ALIGNEMENT : Je suis aligné sur l’objectif final du programme</v>
      </c>
      <c r="F16" t="e" cm="1">
        <f t="array" aca="1" ref="F16" ca="1">OFFSET(Sheet1!$A$1,COLUMN()-6,ROW()-1,,)</f>
        <v>#DIV/0!</v>
      </c>
      <c r="G16" cm="1">
        <f t="array" aca="1" ref="G16" ca="1">OFFSET(Sheet1!$A$1,COLUMN()-6,ROW()-1,,)</f>
        <v>0</v>
      </c>
      <c r="H16" cm="1">
        <f t="array" aca="1" ref="H16" ca="1">OFFSET(Sheet1!$A$1,COLUMN()-6,ROW()-1,,)</f>
        <v>0</v>
      </c>
      <c r="I16" cm="1">
        <f t="array" aca="1" ref="I16" ca="1">OFFSET(Sheet1!$A$1,COLUMN()-6,ROW()-1,,)</f>
        <v>0</v>
      </c>
      <c r="J16" t="str" cm="1">
        <f t="array" aca="1" ref="J16" ca="1">OFFSET(Sheet1!$A$1,COLUMN()-6,ROW()-1,,)</f>
        <v>Feedback - ALIGNEMENT : Je suis aligné sur l’objectif final du programme</v>
      </c>
    </row>
    <row r="17" spans="1:10" hidden="1" x14ac:dyDescent="0.25">
      <c r="A17" t="e" cm="1">
        <f t="array" aca="1" ref="A17" ca="1">OFFSET('Sheet1 (2)'!$A$1,COLUMN()-1,ROW()-1,,)</f>
        <v>#DIV/0!</v>
      </c>
      <c r="B17" cm="1">
        <f t="array" aca="1" ref="B17" ca="1">OFFSET('Sheet1 (2)'!$A$1,COLUMN()-1,ROW()-1,,)</f>
        <v>0</v>
      </c>
      <c r="C17" cm="1">
        <f t="array" aca="1" ref="C17" ca="1">OFFSET('Sheet1 (2)'!$A$1,COLUMN()-1,ROW()-1,,)</f>
        <v>0</v>
      </c>
      <c r="D17" cm="1">
        <f t="array" aca="1" ref="D17" ca="1">OFFSET('Sheet1 (2)'!$A$1,COLUMN()-1,ROW()-1,,)</f>
        <v>0</v>
      </c>
      <c r="E17" s="2" t="str" cm="1">
        <f t="array" aca="1" ref="E17" ca="1">OFFSET('Sheet1 (2)'!$A$1,COLUMN()-1,ROW()-1,,)</f>
        <v>Si la réponse comporte moins de 2 étoiles OUI, merci de préciser votre réponse dans le champs ci-dessous :2</v>
      </c>
      <c r="F17" t="e" cm="1">
        <f t="array" aca="1" ref="F17" ca="1">OFFSET(Sheet1!$A$1,COLUMN()-6,ROW()-1,,)</f>
        <v>#DIV/0!</v>
      </c>
      <c r="G17" cm="1">
        <f t="array" aca="1" ref="G17" ca="1">OFFSET(Sheet1!$A$1,COLUMN()-6,ROW()-1,,)</f>
        <v>0</v>
      </c>
      <c r="H17" cm="1">
        <f t="array" aca="1" ref="H17" ca="1">OFFSET(Sheet1!$A$1,COLUMN()-6,ROW()-1,,)</f>
        <v>0</v>
      </c>
      <c r="I17" cm="1">
        <f t="array" aca="1" ref="I17" ca="1">OFFSET(Sheet1!$A$1,COLUMN()-6,ROW()-1,,)</f>
        <v>0</v>
      </c>
      <c r="J17" t="str" cm="1">
        <f t="array" aca="1" ref="J17" ca="1">OFFSET(Sheet1!$A$1,COLUMN()-6,ROW()-1,,)</f>
        <v>Si la réponse comporte moins de 2 étoiles OUI, merci de préciser votre réponse dans le champs ci-dessous :2</v>
      </c>
    </row>
    <row r="18" spans="1:10" hidden="1" x14ac:dyDescent="0.25">
      <c r="A18" t="e" cm="1">
        <f t="array" aca="1" ref="A18" ca="1">OFFSET('Sheet1 (2)'!$A$1,COLUMN()-1,ROW()-1,,)</f>
        <v>#DIV/0!</v>
      </c>
      <c r="B18" cm="1">
        <f t="array" aca="1" ref="B18" ca="1">OFFSET('Sheet1 (2)'!$A$1,COLUMN()-1,ROW()-1,,)</f>
        <v>0</v>
      </c>
      <c r="C18" cm="1">
        <f t="array" aca="1" ref="C18" ca="1">OFFSET('Sheet1 (2)'!$A$1,COLUMN()-1,ROW()-1,,)</f>
        <v>0</v>
      </c>
      <c r="D18" cm="1">
        <f t="array" aca="1" ref="D18" ca="1">OFFSET('Sheet1 (2)'!$A$1,COLUMN()-1,ROW()-1,,)</f>
        <v>0</v>
      </c>
      <c r="E18" s="2" t="str" cm="1">
        <f t="array" aca="1" ref="E18" ca="1">OFFSET('Sheet1 (2)'!$A$1,COLUMN()-1,ROW()-1,,)</f>
        <v>Points - Si la réponse comporte moins de 2 étoiles OUI, merci de préciser votre réponse dans le champs ci-dessous :2</v>
      </c>
      <c r="F18" t="e" cm="1">
        <f t="array" aca="1" ref="F18" ca="1">OFFSET(Sheet1!$A$1,COLUMN()-6,ROW()-1,,)</f>
        <v>#DIV/0!</v>
      </c>
      <c r="G18" cm="1">
        <f t="array" aca="1" ref="G18" ca="1">OFFSET(Sheet1!$A$1,COLUMN()-6,ROW()-1,,)</f>
        <v>0</v>
      </c>
      <c r="H18" cm="1">
        <f t="array" aca="1" ref="H18" ca="1">OFFSET(Sheet1!$A$1,COLUMN()-6,ROW()-1,,)</f>
        <v>0</v>
      </c>
      <c r="I18" cm="1">
        <f t="array" aca="1" ref="I18" ca="1">OFFSET(Sheet1!$A$1,COLUMN()-6,ROW()-1,,)</f>
        <v>0</v>
      </c>
      <c r="J18" t="str" cm="1">
        <f t="array" aca="1" ref="J18" ca="1">OFFSET(Sheet1!$A$1,COLUMN()-6,ROW()-1,,)</f>
        <v>Points - Si la réponse comporte moins de 2 étoiles OUI, merci de préciser votre réponse dans le champs ci-dessous :2</v>
      </c>
    </row>
    <row r="19" spans="1:10" hidden="1" x14ac:dyDescent="0.25">
      <c r="A19" t="e" cm="1">
        <f t="array" aca="1" ref="A19" ca="1">OFFSET('Sheet1 (2)'!$A$1,COLUMN()-1,ROW()-1,,)</f>
        <v>#DIV/0!</v>
      </c>
      <c r="B19" cm="1">
        <f t="array" aca="1" ref="B19" ca="1">OFFSET('Sheet1 (2)'!$A$1,COLUMN()-1,ROW()-1,,)</f>
        <v>0</v>
      </c>
      <c r="C19" cm="1">
        <f t="array" aca="1" ref="C19" ca="1">OFFSET('Sheet1 (2)'!$A$1,COLUMN()-1,ROW()-1,,)</f>
        <v>0</v>
      </c>
      <c r="D19" cm="1">
        <f t="array" aca="1" ref="D19" ca="1">OFFSET('Sheet1 (2)'!$A$1,COLUMN()-1,ROW()-1,,)</f>
        <v>0</v>
      </c>
      <c r="E19" s="2" t="str" cm="1">
        <f t="array" aca="1" ref="E19" ca="1">OFFSET('Sheet1 (2)'!$A$1,COLUMN()-1,ROW()-1,,)</f>
        <v>Feedback - Si la réponse comporte moins de 2 étoiles OUI, merci de préciser votre réponse dans le champs ci-dessous :2</v>
      </c>
      <c r="F19" t="e" cm="1">
        <f t="array" aca="1" ref="F19" ca="1">OFFSET(Sheet1!$A$1,COLUMN()-6,ROW()-1,,)</f>
        <v>#DIV/0!</v>
      </c>
      <c r="G19" cm="1">
        <f t="array" aca="1" ref="G19" ca="1">OFFSET(Sheet1!$A$1,COLUMN()-6,ROW()-1,,)</f>
        <v>0</v>
      </c>
      <c r="H19" cm="1">
        <f t="array" aca="1" ref="H19" ca="1">OFFSET(Sheet1!$A$1,COLUMN()-6,ROW()-1,,)</f>
        <v>0</v>
      </c>
      <c r="I19" cm="1">
        <f t="array" aca="1" ref="I19" ca="1">OFFSET(Sheet1!$A$1,COLUMN()-6,ROW()-1,,)</f>
        <v>0</v>
      </c>
      <c r="J19" t="str" cm="1">
        <f t="array" aca="1" ref="J19" ca="1">OFFSET(Sheet1!$A$1,COLUMN()-6,ROW()-1,,)</f>
        <v>Feedback - Si la réponse comporte moins de 2 étoiles OUI, merci de préciser votre réponse dans le champs ci-dessous :2</v>
      </c>
    </row>
    <row r="20" spans="1:10" x14ac:dyDescent="0.25">
      <c r="A20" cm="1">
        <f t="array" aca="1" ref="A20" ca="1">OFFSET('Sheet1 (2)'!$A$1,COLUMN()-1,ROW()-1,,)</f>
        <v>5</v>
      </c>
      <c r="B20" cm="1">
        <f t="array" aca="1" ref="B20" ca="1">OFFSET('Sheet1 (2)'!$A$1,COLUMN()-1,ROW()-1,,)</f>
        <v>5</v>
      </c>
      <c r="C20" cm="1">
        <f t="array" aca="1" ref="C20" ca="1">OFFSET('Sheet1 (2)'!$A$1,COLUMN()-1,ROW()-1,,)</f>
        <v>5</v>
      </c>
      <c r="D20" cm="1">
        <f t="array" aca="1" ref="D20" ca="1">OFFSET('Sheet1 (2)'!$A$1,COLUMN()-1,ROW()-1,,)</f>
        <v>7</v>
      </c>
      <c r="E20" s="2" t="str" cm="1">
        <f t="array" aca="1" ref="E20" ca="1">OFFSET('Sheet1 (2)'!$A$1,COLUMN()-1,ROW()-1,,)</f>
        <v>ENGAGEMENT  : Je supporte l’objectif du programme</v>
      </c>
      <c r="F20" cm="1">
        <f t="array" aca="1" ref="F20" ca="1">OFFSET(Sheet1!$A$1,COLUMN()-6,ROW()-1,,)</f>
        <v>4.5925925925925926</v>
      </c>
      <c r="G20" cm="1">
        <f t="array" aca="1" ref="G20" ca="1">OFFSET(Sheet1!$A$1,COLUMN()-6,ROW()-1,,)</f>
        <v>2</v>
      </c>
      <c r="H20" cm="1">
        <f t="array" aca="1" ref="H20" ca="1">OFFSET(Sheet1!$A$1,COLUMN()-6,ROW()-1,,)</f>
        <v>5</v>
      </c>
      <c r="I20" cm="1">
        <f t="array" aca="1" ref="I20" ca="1">OFFSET(Sheet1!$A$1,COLUMN()-6,ROW()-1,,)</f>
        <v>27</v>
      </c>
      <c r="J20" t="str" cm="1">
        <f t="array" aca="1" ref="J20" ca="1">OFFSET(Sheet1!$A$1,COLUMN()-6,ROW()-1,,)</f>
        <v>ENGAGEMENT  : Je supporte l’objectif du programme</v>
      </c>
    </row>
    <row r="21" spans="1:10" hidden="1" x14ac:dyDescent="0.25">
      <c r="A21" t="e" cm="1">
        <f t="array" aca="1" ref="A21" ca="1">OFFSET('Sheet1 (2)'!$A$1,COLUMN()-1,ROW()-1,,)</f>
        <v>#DIV/0!</v>
      </c>
      <c r="B21" cm="1">
        <f t="array" aca="1" ref="B21" ca="1">OFFSET('Sheet1 (2)'!$A$1,COLUMN()-1,ROW()-1,,)</f>
        <v>0</v>
      </c>
      <c r="C21" cm="1">
        <f t="array" aca="1" ref="C21" ca="1">OFFSET('Sheet1 (2)'!$A$1,COLUMN()-1,ROW()-1,,)</f>
        <v>0</v>
      </c>
      <c r="D21" cm="1">
        <f t="array" aca="1" ref="D21" ca="1">OFFSET('Sheet1 (2)'!$A$1,COLUMN()-1,ROW()-1,,)</f>
        <v>0</v>
      </c>
      <c r="E21" s="2" t="str" cm="1">
        <f t="array" aca="1" ref="E21" ca="1">OFFSET('Sheet1 (2)'!$A$1,COLUMN()-1,ROW()-1,,)</f>
        <v>Points - ENGAGEMENT  : Je supporte l’objectif du programme</v>
      </c>
      <c r="F21" t="e" cm="1">
        <f t="array" aca="1" ref="F21" ca="1">OFFSET(Sheet1!$A$1,COLUMN()-6,ROW()-1,,)</f>
        <v>#DIV/0!</v>
      </c>
      <c r="G21" cm="1">
        <f t="array" aca="1" ref="G21" ca="1">OFFSET(Sheet1!$A$1,COLUMN()-6,ROW()-1,,)</f>
        <v>0</v>
      </c>
      <c r="H21" cm="1">
        <f t="array" aca="1" ref="H21" ca="1">OFFSET(Sheet1!$A$1,COLUMN()-6,ROW()-1,,)</f>
        <v>0</v>
      </c>
      <c r="I21" cm="1">
        <f t="array" aca="1" ref="I21" ca="1">OFFSET(Sheet1!$A$1,COLUMN()-6,ROW()-1,,)</f>
        <v>0</v>
      </c>
      <c r="J21" t="str" cm="1">
        <f t="array" aca="1" ref="J21" ca="1">OFFSET(Sheet1!$A$1,COLUMN()-6,ROW()-1,,)</f>
        <v>Points - ENGAGEMENT  : Je supporte l’objectif du programme</v>
      </c>
    </row>
    <row r="22" spans="1:10" hidden="1" x14ac:dyDescent="0.25">
      <c r="A22" t="e" cm="1">
        <f t="array" aca="1" ref="A22" ca="1">OFFSET('Sheet1 (2)'!$A$1,COLUMN()-1,ROW()-1,,)</f>
        <v>#DIV/0!</v>
      </c>
      <c r="B22" cm="1">
        <f t="array" aca="1" ref="B22" ca="1">OFFSET('Sheet1 (2)'!$A$1,COLUMN()-1,ROW()-1,,)</f>
        <v>0</v>
      </c>
      <c r="C22" cm="1">
        <f t="array" aca="1" ref="C22" ca="1">OFFSET('Sheet1 (2)'!$A$1,COLUMN()-1,ROW()-1,,)</f>
        <v>0</v>
      </c>
      <c r="D22" cm="1">
        <f t="array" aca="1" ref="D22" ca="1">OFFSET('Sheet1 (2)'!$A$1,COLUMN()-1,ROW()-1,,)</f>
        <v>0</v>
      </c>
      <c r="E22" s="2" t="str" cm="1">
        <f t="array" aca="1" ref="E22" ca="1">OFFSET('Sheet1 (2)'!$A$1,COLUMN()-1,ROW()-1,,)</f>
        <v>Feedback - ENGAGEMENT  : Je supporte l’objectif du programme</v>
      </c>
      <c r="F22" t="e" cm="1">
        <f t="array" aca="1" ref="F22" ca="1">OFFSET(Sheet1!$A$1,COLUMN()-6,ROW()-1,,)</f>
        <v>#DIV/0!</v>
      </c>
      <c r="G22" cm="1">
        <f t="array" aca="1" ref="G22" ca="1">OFFSET(Sheet1!$A$1,COLUMN()-6,ROW()-1,,)</f>
        <v>0</v>
      </c>
      <c r="H22" cm="1">
        <f t="array" aca="1" ref="H22" ca="1">OFFSET(Sheet1!$A$1,COLUMN()-6,ROW()-1,,)</f>
        <v>0</v>
      </c>
      <c r="I22" cm="1">
        <f t="array" aca="1" ref="I22" ca="1">OFFSET(Sheet1!$A$1,COLUMN()-6,ROW()-1,,)</f>
        <v>0</v>
      </c>
      <c r="J22" t="str" cm="1">
        <f t="array" aca="1" ref="J22" ca="1">OFFSET(Sheet1!$A$1,COLUMN()-6,ROW()-1,,)</f>
        <v>Feedback - ENGAGEMENT  : Je supporte l’objectif du programme</v>
      </c>
    </row>
    <row r="23" spans="1:10" hidden="1" x14ac:dyDescent="0.25">
      <c r="A23" t="e" cm="1">
        <f t="array" aca="1" ref="A23" ca="1">OFFSET('Sheet1 (2)'!$A$1,COLUMN()-1,ROW()-1,,)</f>
        <v>#DIV/0!</v>
      </c>
      <c r="B23" cm="1">
        <f t="array" aca="1" ref="B23" ca="1">OFFSET('Sheet1 (2)'!$A$1,COLUMN()-1,ROW()-1,,)</f>
        <v>0</v>
      </c>
      <c r="C23" cm="1">
        <f t="array" aca="1" ref="C23" ca="1">OFFSET('Sheet1 (2)'!$A$1,COLUMN()-1,ROW()-1,,)</f>
        <v>0</v>
      </c>
      <c r="D23" cm="1">
        <f t="array" aca="1" ref="D23" ca="1">OFFSET('Sheet1 (2)'!$A$1,COLUMN()-1,ROW()-1,,)</f>
        <v>0</v>
      </c>
      <c r="E23" s="2" t="str" cm="1">
        <f t="array" aca="1" ref="E23" ca="1">OFFSET('Sheet1 (2)'!$A$1,COLUMN()-1,ROW()-1,,)</f>
        <v>Si la réponse comporte moins de 2 étoiles OUI, merci de préciser votre réponse dans le champs ci-dessous :3</v>
      </c>
      <c r="F23" t="e" cm="1">
        <f t="array" aca="1" ref="F23" ca="1">OFFSET(Sheet1!$A$1,COLUMN()-6,ROW()-1,,)</f>
        <v>#DIV/0!</v>
      </c>
      <c r="G23" cm="1">
        <f t="array" aca="1" ref="G23" ca="1">OFFSET(Sheet1!$A$1,COLUMN()-6,ROW()-1,,)</f>
        <v>0</v>
      </c>
      <c r="H23" cm="1">
        <f t="array" aca="1" ref="H23" ca="1">OFFSET(Sheet1!$A$1,COLUMN()-6,ROW()-1,,)</f>
        <v>0</v>
      </c>
      <c r="I23" cm="1">
        <f t="array" aca="1" ref="I23" ca="1">OFFSET(Sheet1!$A$1,COLUMN()-6,ROW()-1,,)</f>
        <v>0</v>
      </c>
      <c r="J23" t="str" cm="1">
        <f t="array" aca="1" ref="J23" ca="1">OFFSET(Sheet1!$A$1,COLUMN()-6,ROW()-1,,)</f>
        <v>Si la réponse comporte moins de 2 étoiles OUI, merci de préciser votre réponse dans le champs ci-dessous :3</v>
      </c>
    </row>
    <row r="24" spans="1:10" hidden="1" x14ac:dyDescent="0.25">
      <c r="A24" t="e" cm="1">
        <f t="array" aca="1" ref="A24" ca="1">OFFSET('Sheet1 (2)'!$A$1,COLUMN()-1,ROW()-1,,)</f>
        <v>#DIV/0!</v>
      </c>
      <c r="B24" cm="1">
        <f t="array" aca="1" ref="B24" ca="1">OFFSET('Sheet1 (2)'!$A$1,COLUMN()-1,ROW()-1,,)</f>
        <v>0</v>
      </c>
      <c r="C24" cm="1">
        <f t="array" aca="1" ref="C24" ca="1">OFFSET('Sheet1 (2)'!$A$1,COLUMN()-1,ROW()-1,,)</f>
        <v>0</v>
      </c>
      <c r="D24" cm="1">
        <f t="array" aca="1" ref="D24" ca="1">OFFSET('Sheet1 (2)'!$A$1,COLUMN()-1,ROW()-1,,)</f>
        <v>0</v>
      </c>
      <c r="E24" s="2" t="str" cm="1">
        <f t="array" aca="1" ref="E24" ca="1">OFFSET('Sheet1 (2)'!$A$1,COLUMN()-1,ROW()-1,,)</f>
        <v>Points - Si la réponse comporte moins de 2 étoiles OUI, merci de préciser votre réponse dans le champs ci-dessous :3</v>
      </c>
      <c r="F24" t="e" cm="1">
        <f t="array" aca="1" ref="F24" ca="1">OFFSET(Sheet1!$A$1,COLUMN()-6,ROW()-1,,)</f>
        <v>#DIV/0!</v>
      </c>
      <c r="G24" cm="1">
        <f t="array" aca="1" ref="G24" ca="1">OFFSET(Sheet1!$A$1,COLUMN()-6,ROW()-1,,)</f>
        <v>0</v>
      </c>
      <c r="H24" cm="1">
        <f t="array" aca="1" ref="H24" ca="1">OFFSET(Sheet1!$A$1,COLUMN()-6,ROW()-1,,)</f>
        <v>0</v>
      </c>
      <c r="I24" cm="1">
        <f t="array" aca="1" ref="I24" ca="1">OFFSET(Sheet1!$A$1,COLUMN()-6,ROW()-1,,)</f>
        <v>0</v>
      </c>
      <c r="J24" t="str" cm="1">
        <f t="array" aca="1" ref="J24" ca="1">OFFSET(Sheet1!$A$1,COLUMN()-6,ROW()-1,,)</f>
        <v>Points - Si la réponse comporte moins de 2 étoiles OUI, merci de préciser votre réponse dans le champs ci-dessous :3</v>
      </c>
    </row>
    <row r="25" spans="1:10" hidden="1" x14ac:dyDescent="0.25">
      <c r="A25" t="e" cm="1">
        <f t="array" aca="1" ref="A25" ca="1">OFFSET('Sheet1 (2)'!$A$1,COLUMN()-1,ROW()-1,,)</f>
        <v>#DIV/0!</v>
      </c>
      <c r="B25" cm="1">
        <f t="array" aca="1" ref="B25" ca="1">OFFSET('Sheet1 (2)'!$A$1,COLUMN()-1,ROW()-1,,)</f>
        <v>0</v>
      </c>
      <c r="C25" cm="1">
        <f t="array" aca="1" ref="C25" ca="1">OFFSET('Sheet1 (2)'!$A$1,COLUMN()-1,ROW()-1,,)</f>
        <v>0</v>
      </c>
      <c r="D25" cm="1">
        <f t="array" aca="1" ref="D25" ca="1">OFFSET('Sheet1 (2)'!$A$1,COLUMN()-1,ROW()-1,,)</f>
        <v>0</v>
      </c>
      <c r="E25" s="2" t="str" cm="1">
        <f t="array" aca="1" ref="E25" ca="1">OFFSET('Sheet1 (2)'!$A$1,COLUMN()-1,ROW()-1,,)</f>
        <v>Feedback - Si la réponse comporte moins de 2 étoiles OUI, merci de préciser votre réponse dans le champs ci-dessous :3</v>
      </c>
      <c r="F25" t="e" cm="1">
        <f t="array" aca="1" ref="F25" ca="1">OFFSET(Sheet1!$A$1,COLUMN()-6,ROW()-1,,)</f>
        <v>#DIV/0!</v>
      </c>
      <c r="G25" cm="1">
        <f t="array" aca="1" ref="G25" ca="1">OFFSET(Sheet1!$A$1,COLUMN()-6,ROW()-1,,)</f>
        <v>0</v>
      </c>
      <c r="H25" cm="1">
        <f t="array" aca="1" ref="H25" ca="1">OFFSET(Sheet1!$A$1,COLUMN()-6,ROW()-1,,)</f>
        <v>0</v>
      </c>
      <c r="I25" cm="1">
        <f t="array" aca="1" ref="I25" ca="1">OFFSET(Sheet1!$A$1,COLUMN()-6,ROW()-1,,)</f>
        <v>0</v>
      </c>
      <c r="J25" t="str" cm="1">
        <f t="array" aca="1" ref="J25" ca="1">OFFSET(Sheet1!$A$1,COLUMN()-6,ROW()-1,,)</f>
        <v>Feedback - Si la réponse comporte moins de 2 étoiles OUI, merci de préciser votre réponse dans le champs ci-dessous :3</v>
      </c>
    </row>
    <row r="26" spans="1:10" x14ac:dyDescent="0.25">
      <c r="A26" cm="1">
        <f t="array" aca="1" ref="A26" ca="1">OFFSET('Sheet1 (2)'!$A$1,COLUMN()-1,ROW()-1,,)</f>
        <v>4.7142857142857144</v>
      </c>
      <c r="B26" cm="1">
        <f t="array" aca="1" ref="B26" ca="1">OFFSET('Sheet1 (2)'!$A$1,COLUMN()-1,ROW()-1,,)</f>
        <v>4</v>
      </c>
      <c r="C26" cm="1">
        <f t="array" aca="1" ref="C26" ca="1">OFFSET('Sheet1 (2)'!$A$1,COLUMN()-1,ROW()-1,,)</f>
        <v>5</v>
      </c>
      <c r="D26" cm="1">
        <f t="array" aca="1" ref="D26" ca="1">OFFSET('Sheet1 (2)'!$A$1,COLUMN()-1,ROW()-1,,)</f>
        <v>7</v>
      </c>
      <c r="E26" s="2" t="str" cm="1">
        <f t="array" aca="1" ref="E26" ca="1">OFFSET('Sheet1 (2)'!$A$1,COLUMN()-1,ROW()-1,,)</f>
        <v>SOLUTION  : L’approche pour atteindre l’objectif du programme est solide</v>
      </c>
      <c r="F26" cm="1">
        <f t="array" aca="1" ref="F26" ca="1">OFFSET(Sheet1!$A$1,COLUMN()-6,ROW()-1,,)</f>
        <v>3.7037037037037037</v>
      </c>
      <c r="G26" cm="1">
        <f t="array" aca="1" ref="G26" ca="1">OFFSET(Sheet1!$A$1,COLUMN()-6,ROW()-1,,)</f>
        <v>2</v>
      </c>
      <c r="H26" cm="1">
        <f t="array" aca="1" ref="H26" ca="1">OFFSET(Sheet1!$A$1,COLUMN()-6,ROW()-1,,)</f>
        <v>5</v>
      </c>
      <c r="I26" cm="1">
        <f t="array" aca="1" ref="I26" ca="1">OFFSET(Sheet1!$A$1,COLUMN()-6,ROW()-1,,)</f>
        <v>27</v>
      </c>
      <c r="J26" t="str" cm="1">
        <f t="array" aca="1" ref="J26" ca="1">OFFSET(Sheet1!$A$1,COLUMN()-6,ROW()-1,,)</f>
        <v>SOLUTION  : L’approche pour atteindre l’objectif du programme est solide</v>
      </c>
    </row>
    <row r="27" spans="1:10" hidden="1" x14ac:dyDescent="0.25">
      <c r="A27" t="e" cm="1">
        <f t="array" aca="1" ref="A27" ca="1">OFFSET('Sheet1 (2)'!$A$1,COLUMN()-1,ROW()-1,,)</f>
        <v>#DIV/0!</v>
      </c>
      <c r="B27" cm="1">
        <f t="array" aca="1" ref="B27" ca="1">OFFSET('Sheet1 (2)'!$A$1,COLUMN()-1,ROW()-1,,)</f>
        <v>0</v>
      </c>
      <c r="C27" cm="1">
        <f t="array" aca="1" ref="C27" ca="1">OFFSET('Sheet1 (2)'!$A$1,COLUMN()-1,ROW()-1,,)</f>
        <v>0</v>
      </c>
      <c r="D27" cm="1">
        <f t="array" aca="1" ref="D27" ca="1">OFFSET('Sheet1 (2)'!$A$1,COLUMN()-1,ROW()-1,,)</f>
        <v>0</v>
      </c>
      <c r="E27" s="2" t="str" cm="1">
        <f t="array" aca="1" ref="E27" ca="1">OFFSET('Sheet1 (2)'!$A$1,COLUMN()-1,ROW()-1,,)</f>
        <v>Points - SOLUTION  : L’approche pour atteindre l’objectif du programme est solide</v>
      </c>
      <c r="F27" t="e" cm="1">
        <f t="array" aca="1" ref="F27" ca="1">OFFSET(Sheet1!$A$1,COLUMN()-6,ROW()-1,,)</f>
        <v>#DIV/0!</v>
      </c>
      <c r="G27" cm="1">
        <f t="array" aca="1" ref="G27" ca="1">OFFSET(Sheet1!$A$1,COLUMN()-6,ROW()-1,,)</f>
        <v>0</v>
      </c>
      <c r="H27" cm="1">
        <f t="array" aca="1" ref="H27" ca="1">OFFSET(Sheet1!$A$1,COLUMN()-6,ROW()-1,,)</f>
        <v>0</v>
      </c>
      <c r="I27" cm="1">
        <f t="array" aca="1" ref="I27" ca="1">OFFSET(Sheet1!$A$1,COLUMN()-6,ROW()-1,,)</f>
        <v>0</v>
      </c>
      <c r="J27" t="str" cm="1">
        <f t="array" aca="1" ref="J27" ca="1">OFFSET(Sheet1!$A$1,COLUMN()-6,ROW()-1,,)</f>
        <v>Points - SOLUTION  : L’approche pour atteindre l’objectif du programme est solide</v>
      </c>
    </row>
    <row r="28" spans="1:10" hidden="1" x14ac:dyDescent="0.25">
      <c r="A28" t="e" cm="1">
        <f t="array" aca="1" ref="A28" ca="1">OFFSET('Sheet1 (2)'!$A$1,COLUMN()-1,ROW()-1,,)</f>
        <v>#DIV/0!</v>
      </c>
      <c r="B28" cm="1">
        <f t="array" aca="1" ref="B28" ca="1">OFFSET('Sheet1 (2)'!$A$1,COLUMN()-1,ROW()-1,,)</f>
        <v>0</v>
      </c>
      <c r="C28" cm="1">
        <f t="array" aca="1" ref="C28" ca="1">OFFSET('Sheet1 (2)'!$A$1,COLUMN()-1,ROW()-1,,)</f>
        <v>0</v>
      </c>
      <c r="D28" cm="1">
        <f t="array" aca="1" ref="D28" ca="1">OFFSET('Sheet1 (2)'!$A$1,COLUMN()-1,ROW()-1,,)</f>
        <v>0</v>
      </c>
      <c r="E28" s="2" t="str" cm="1">
        <f t="array" aca="1" ref="E28" ca="1">OFFSET('Sheet1 (2)'!$A$1,COLUMN()-1,ROW()-1,,)</f>
        <v>Feedback - SOLUTION  : L’approche pour atteindre l’objectif du programme est solide</v>
      </c>
      <c r="F28" t="e" cm="1">
        <f t="array" aca="1" ref="F28" ca="1">OFFSET(Sheet1!$A$1,COLUMN()-6,ROW()-1,,)</f>
        <v>#DIV/0!</v>
      </c>
      <c r="G28" cm="1">
        <f t="array" aca="1" ref="G28" ca="1">OFFSET(Sheet1!$A$1,COLUMN()-6,ROW()-1,,)</f>
        <v>0</v>
      </c>
      <c r="H28" cm="1">
        <f t="array" aca="1" ref="H28" ca="1">OFFSET(Sheet1!$A$1,COLUMN()-6,ROW()-1,,)</f>
        <v>0</v>
      </c>
      <c r="I28" cm="1">
        <f t="array" aca="1" ref="I28" ca="1">OFFSET(Sheet1!$A$1,COLUMN()-6,ROW()-1,,)</f>
        <v>0</v>
      </c>
      <c r="J28" t="str" cm="1">
        <f t="array" aca="1" ref="J28" ca="1">OFFSET(Sheet1!$A$1,COLUMN()-6,ROW()-1,,)</f>
        <v>Feedback - SOLUTION  : L’approche pour atteindre l’objectif du programme est solide</v>
      </c>
    </row>
    <row r="29" spans="1:10" hidden="1" x14ac:dyDescent="0.25">
      <c r="A29" t="e" cm="1">
        <f t="array" aca="1" ref="A29" ca="1">OFFSET('Sheet1 (2)'!$A$1,COLUMN()-1,ROW()-1,,)</f>
        <v>#DIV/0!</v>
      </c>
      <c r="B29" cm="1">
        <f t="array" aca="1" ref="B29" ca="1">OFFSET('Sheet1 (2)'!$A$1,COLUMN()-1,ROW()-1,,)</f>
        <v>0</v>
      </c>
      <c r="C29" cm="1">
        <f t="array" aca="1" ref="C29" ca="1">OFFSET('Sheet1 (2)'!$A$1,COLUMN()-1,ROW()-1,,)</f>
        <v>0</v>
      </c>
      <c r="D29" cm="1">
        <f t="array" aca="1" ref="D29" ca="1">OFFSET('Sheet1 (2)'!$A$1,COLUMN()-1,ROW()-1,,)</f>
        <v>0</v>
      </c>
      <c r="E29" s="2" t="str" cm="1">
        <f t="array" aca="1" ref="E29" ca="1">OFFSET('Sheet1 (2)'!$A$1,COLUMN()-1,ROW()-1,,)</f>
        <v>Si la réponse comporte moins de 2 étoiles OUI, merci de préciser votre réponse dans le champs ci-dessous :4</v>
      </c>
      <c r="F29" t="e" cm="1">
        <f t="array" aca="1" ref="F29" ca="1">OFFSET(Sheet1!$A$1,COLUMN()-6,ROW()-1,,)</f>
        <v>#DIV/0!</v>
      </c>
      <c r="G29" cm="1">
        <f t="array" aca="1" ref="G29" ca="1">OFFSET(Sheet1!$A$1,COLUMN()-6,ROW()-1,,)</f>
        <v>0</v>
      </c>
      <c r="H29" cm="1">
        <f t="array" aca="1" ref="H29" ca="1">OFFSET(Sheet1!$A$1,COLUMN()-6,ROW()-1,,)</f>
        <v>0</v>
      </c>
      <c r="I29" cm="1">
        <f t="array" aca="1" ref="I29" ca="1">OFFSET(Sheet1!$A$1,COLUMN()-6,ROW()-1,,)</f>
        <v>0</v>
      </c>
      <c r="J29" t="str" cm="1">
        <f t="array" aca="1" ref="J29" ca="1">OFFSET(Sheet1!$A$1,COLUMN()-6,ROW()-1,,)</f>
        <v>Si la réponse comporte moins de 2 étoiles OUI, merci de préciser votre réponse dans le champs ci-dessous :4</v>
      </c>
    </row>
    <row r="30" spans="1:10" hidden="1" x14ac:dyDescent="0.25">
      <c r="A30" t="e" cm="1">
        <f t="array" aca="1" ref="A30" ca="1">OFFSET('Sheet1 (2)'!$A$1,COLUMN()-1,ROW()-1,,)</f>
        <v>#DIV/0!</v>
      </c>
      <c r="B30" cm="1">
        <f t="array" aca="1" ref="B30" ca="1">OFFSET('Sheet1 (2)'!$A$1,COLUMN()-1,ROW()-1,,)</f>
        <v>0</v>
      </c>
      <c r="C30" cm="1">
        <f t="array" aca="1" ref="C30" ca="1">OFFSET('Sheet1 (2)'!$A$1,COLUMN()-1,ROW()-1,,)</f>
        <v>0</v>
      </c>
      <c r="D30" cm="1">
        <f t="array" aca="1" ref="D30" ca="1">OFFSET('Sheet1 (2)'!$A$1,COLUMN()-1,ROW()-1,,)</f>
        <v>0</v>
      </c>
      <c r="E30" s="2" t="str" cm="1">
        <f t="array" aca="1" ref="E30" ca="1">OFFSET('Sheet1 (2)'!$A$1,COLUMN()-1,ROW()-1,,)</f>
        <v>Points - Si la réponse comporte moins de 2 étoiles OUI, merci de préciser votre réponse dans le champs ci-dessous :4</v>
      </c>
      <c r="F30" t="e" cm="1">
        <f t="array" aca="1" ref="F30" ca="1">OFFSET(Sheet1!$A$1,COLUMN()-6,ROW()-1,,)</f>
        <v>#DIV/0!</v>
      </c>
      <c r="G30" cm="1">
        <f t="array" aca="1" ref="G30" ca="1">OFFSET(Sheet1!$A$1,COLUMN()-6,ROW()-1,,)</f>
        <v>0</v>
      </c>
      <c r="H30" cm="1">
        <f t="array" aca="1" ref="H30" ca="1">OFFSET(Sheet1!$A$1,COLUMN()-6,ROW()-1,,)</f>
        <v>0</v>
      </c>
      <c r="I30" cm="1">
        <f t="array" aca="1" ref="I30" ca="1">OFFSET(Sheet1!$A$1,COLUMN()-6,ROW()-1,,)</f>
        <v>0</v>
      </c>
      <c r="J30" t="str" cm="1">
        <f t="array" aca="1" ref="J30" ca="1">OFFSET(Sheet1!$A$1,COLUMN()-6,ROW()-1,,)</f>
        <v>Points - Si la réponse comporte moins de 2 étoiles OUI, merci de préciser votre réponse dans le champs ci-dessous :4</v>
      </c>
    </row>
    <row r="31" spans="1:10" hidden="1" x14ac:dyDescent="0.25">
      <c r="A31" t="e" cm="1">
        <f t="array" aca="1" ref="A31" ca="1">OFFSET('Sheet1 (2)'!$A$1,COLUMN()-1,ROW()-1,,)</f>
        <v>#DIV/0!</v>
      </c>
      <c r="B31" cm="1">
        <f t="array" aca="1" ref="B31" ca="1">OFFSET('Sheet1 (2)'!$A$1,COLUMN()-1,ROW()-1,,)</f>
        <v>0</v>
      </c>
      <c r="C31" cm="1">
        <f t="array" aca="1" ref="C31" ca="1">OFFSET('Sheet1 (2)'!$A$1,COLUMN()-1,ROW()-1,,)</f>
        <v>0</v>
      </c>
      <c r="D31" cm="1">
        <f t="array" aca="1" ref="D31" ca="1">OFFSET('Sheet1 (2)'!$A$1,COLUMN()-1,ROW()-1,,)</f>
        <v>0</v>
      </c>
      <c r="E31" s="2" t="str" cm="1">
        <f t="array" aca="1" ref="E31" ca="1">OFFSET('Sheet1 (2)'!$A$1,COLUMN()-1,ROW()-1,,)</f>
        <v>Feedback - Si la réponse comporte moins de 2 étoiles OUI, merci de préciser votre réponse dans le champs ci-dessous :4</v>
      </c>
      <c r="F31" t="e" cm="1">
        <f t="array" aca="1" ref="F31" ca="1">OFFSET(Sheet1!$A$1,COLUMN()-6,ROW()-1,,)</f>
        <v>#DIV/0!</v>
      </c>
      <c r="G31" cm="1">
        <f t="array" aca="1" ref="G31" ca="1">OFFSET(Sheet1!$A$1,COLUMN()-6,ROW()-1,,)</f>
        <v>0</v>
      </c>
      <c r="H31" cm="1">
        <f t="array" aca="1" ref="H31" ca="1">OFFSET(Sheet1!$A$1,COLUMN()-6,ROW()-1,,)</f>
        <v>0</v>
      </c>
      <c r="I31" cm="1">
        <f t="array" aca="1" ref="I31" ca="1">OFFSET(Sheet1!$A$1,COLUMN()-6,ROW()-1,,)</f>
        <v>0</v>
      </c>
      <c r="J31" t="str" cm="1">
        <f t="array" aca="1" ref="J31" ca="1">OFFSET(Sheet1!$A$1,COLUMN()-6,ROW()-1,,)</f>
        <v>Feedback - Si la réponse comporte moins de 2 étoiles OUI, merci de préciser votre réponse dans le champs ci-dessous :4</v>
      </c>
    </row>
    <row r="32" spans="1:10" x14ac:dyDescent="0.25">
      <c r="A32" cm="1">
        <f t="array" aca="1" ref="A32" ca="1">OFFSET('Sheet1 (2)'!$A$1,COLUMN()-1,ROW()-1,,)</f>
        <v>5</v>
      </c>
      <c r="B32" cm="1">
        <f t="array" aca="1" ref="B32" ca="1">OFFSET('Sheet1 (2)'!$A$1,COLUMN()-1,ROW()-1,,)</f>
        <v>5</v>
      </c>
      <c r="C32" cm="1">
        <f t="array" aca="1" ref="C32" ca="1">OFFSET('Sheet1 (2)'!$A$1,COLUMN()-1,ROW()-1,,)</f>
        <v>5</v>
      </c>
      <c r="D32" cm="1">
        <f t="array" aca="1" ref="D32" ca="1">OFFSET('Sheet1 (2)'!$A$1,COLUMN()-1,ROW()-1,,)</f>
        <v>7</v>
      </c>
      <c r="E32" s="2" t="str" cm="1">
        <f t="array" aca="1" ref="E32" ca="1">OFFSET('Sheet1 (2)'!$A$1,COLUMN()-1,ROW()-1,,)</f>
        <v>INTEGRITE : Les objectifs initiaux du programme restent les mêmes</v>
      </c>
      <c r="F32" cm="1">
        <f t="array" aca="1" ref="F32" ca="1">OFFSET(Sheet1!$A$1,COLUMN()-6,ROW()-1,,)</f>
        <v>3.8518518518518516</v>
      </c>
      <c r="G32" cm="1">
        <f t="array" aca="1" ref="G32" ca="1">OFFSET(Sheet1!$A$1,COLUMN()-6,ROW()-1,,)</f>
        <v>1</v>
      </c>
      <c r="H32" cm="1">
        <f t="array" aca="1" ref="H32" ca="1">OFFSET(Sheet1!$A$1,COLUMN()-6,ROW()-1,,)</f>
        <v>5</v>
      </c>
      <c r="I32" cm="1">
        <f t="array" aca="1" ref="I32" ca="1">OFFSET(Sheet1!$A$1,COLUMN()-6,ROW()-1,,)</f>
        <v>27</v>
      </c>
      <c r="J32" t="str" cm="1">
        <f t="array" aca="1" ref="J32" ca="1">OFFSET(Sheet1!$A$1,COLUMN()-6,ROW()-1,,)</f>
        <v>INTEGRITE : Les objectifs initiaux du programme restent les mêmes</v>
      </c>
    </row>
    <row r="33" spans="1:10" hidden="1" x14ac:dyDescent="0.25">
      <c r="A33" t="e" cm="1">
        <f t="array" aca="1" ref="A33" ca="1">OFFSET('Sheet1 (2)'!$A$1,COLUMN()-1,ROW()-1,,)</f>
        <v>#DIV/0!</v>
      </c>
      <c r="B33" cm="1">
        <f t="array" aca="1" ref="B33" ca="1">OFFSET('Sheet1 (2)'!$A$1,COLUMN()-1,ROW()-1,,)</f>
        <v>0</v>
      </c>
      <c r="C33" cm="1">
        <f t="array" aca="1" ref="C33" ca="1">OFFSET('Sheet1 (2)'!$A$1,COLUMN()-1,ROW()-1,,)</f>
        <v>0</v>
      </c>
      <c r="D33" cm="1">
        <f t="array" aca="1" ref="D33" ca="1">OFFSET('Sheet1 (2)'!$A$1,COLUMN()-1,ROW()-1,,)</f>
        <v>0</v>
      </c>
      <c r="E33" s="2" t="str" cm="1">
        <f t="array" aca="1" ref="E33" ca="1">OFFSET('Sheet1 (2)'!$A$1,COLUMN()-1,ROW()-1,,)</f>
        <v>Points - INTEGRITE : Les objectifs initiaux du programme restent les mêmes</v>
      </c>
      <c r="F33" t="e" cm="1">
        <f t="array" aca="1" ref="F33" ca="1">OFFSET(Sheet1!$A$1,COLUMN()-6,ROW()-1,,)</f>
        <v>#DIV/0!</v>
      </c>
      <c r="G33" cm="1">
        <f t="array" aca="1" ref="G33" ca="1">OFFSET(Sheet1!$A$1,COLUMN()-6,ROW()-1,,)</f>
        <v>0</v>
      </c>
      <c r="H33" cm="1">
        <f t="array" aca="1" ref="H33" ca="1">OFFSET(Sheet1!$A$1,COLUMN()-6,ROW()-1,,)</f>
        <v>0</v>
      </c>
      <c r="I33" cm="1">
        <f t="array" aca="1" ref="I33" ca="1">OFFSET(Sheet1!$A$1,COLUMN()-6,ROW()-1,,)</f>
        <v>0</v>
      </c>
      <c r="J33" t="str" cm="1">
        <f t="array" aca="1" ref="J33" ca="1">OFFSET(Sheet1!$A$1,COLUMN()-6,ROW()-1,,)</f>
        <v>Points - INTEGRITE : Les objectifs initiaux du programme restent les mêmes</v>
      </c>
    </row>
    <row r="34" spans="1:10" hidden="1" x14ac:dyDescent="0.25">
      <c r="A34" t="e" cm="1">
        <f t="array" aca="1" ref="A34" ca="1">OFFSET('Sheet1 (2)'!$A$1,COLUMN()-1,ROW()-1,,)</f>
        <v>#DIV/0!</v>
      </c>
      <c r="B34" cm="1">
        <f t="array" aca="1" ref="B34" ca="1">OFFSET('Sheet1 (2)'!$A$1,COLUMN()-1,ROW()-1,,)</f>
        <v>0</v>
      </c>
      <c r="C34" cm="1">
        <f t="array" aca="1" ref="C34" ca="1">OFFSET('Sheet1 (2)'!$A$1,COLUMN()-1,ROW()-1,,)</f>
        <v>0</v>
      </c>
      <c r="D34" cm="1">
        <f t="array" aca="1" ref="D34" ca="1">OFFSET('Sheet1 (2)'!$A$1,COLUMN()-1,ROW()-1,,)</f>
        <v>0</v>
      </c>
      <c r="E34" s="2" t="str" cm="1">
        <f t="array" aca="1" ref="E34" ca="1">OFFSET('Sheet1 (2)'!$A$1,COLUMN()-1,ROW()-1,,)</f>
        <v>Feedback - INTEGRITE : Les objectifs initiaux du programme restent les mêmes</v>
      </c>
      <c r="F34" t="e" cm="1">
        <f t="array" aca="1" ref="F34" ca="1">OFFSET(Sheet1!$A$1,COLUMN()-6,ROW()-1,,)</f>
        <v>#DIV/0!</v>
      </c>
      <c r="G34" cm="1">
        <f t="array" aca="1" ref="G34" ca="1">OFFSET(Sheet1!$A$1,COLUMN()-6,ROW()-1,,)</f>
        <v>0</v>
      </c>
      <c r="H34" cm="1">
        <f t="array" aca="1" ref="H34" ca="1">OFFSET(Sheet1!$A$1,COLUMN()-6,ROW()-1,,)</f>
        <v>0</v>
      </c>
      <c r="I34" cm="1">
        <f t="array" aca="1" ref="I34" ca="1">OFFSET(Sheet1!$A$1,COLUMN()-6,ROW()-1,,)</f>
        <v>0</v>
      </c>
      <c r="J34" t="str" cm="1">
        <f t="array" aca="1" ref="J34" ca="1">OFFSET(Sheet1!$A$1,COLUMN()-6,ROW()-1,,)</f>
        <v>Feedback - INTEGRITE : Les objectifs initiaux du programme restent les mêmes</v>
      </c>
    </row>
    <row r="35" spans="1:10" hidden="1" x14ac:dyDescent="0.25">
      <c r="A35" t="e" cm="1">
        <f t="array" aca="1" ref="A35" ca="1">OFFSET('Sheet1 (2)'!$A$1,COLUMN()-1,ROW()-1,,)</f>
        <v>#DIV/0!</v>
      </c>
      <c r="B35" cm="1">
        <f t="array" aca="1" ref="B35" ca="1">OFFSET('Sheet1 (2)'!$A$1,COLUMN()-1,ROW()-1,,)</f>
        <v>0</v>
      </c>
      <c r="C35" cm="1">
        <f t="array" aca="1" ref="C35" ca="1">OFFSET('Sheet1 (2)'!$A$1,COLUMN()-1,ROW()-1,,)</f>
        <v>0</v>
      </c>
      <c r="D35" cm="1">
        <f t="array" aca="1" ref="D35" ca="1">OFFSET('Sheet1 (2)'!$A$1,COLUMN()-1,ROW()-1,,)</f>
        <v>0</v>
      </c>
      <c r="E35" s="2" t="str" cm="1">
        <f t="array" aca="1" ref="E35" ca="1">OFFSET('Sheet1 (2)'!$A$1,COLUMN()-1,ROW()-1,,)</f>
        <v>Si la réponse comporte moins de 2 étoiles OUI, merci de préciser votre réponse dans le champs ci-dessous :5</v>
      </c>
      <c r="F35" t="e" cm="1">
        <f t="array" aca="1" ref="F35" ca="1">OFFSET(Sheet1!$A$1,COLUMN()-6,ROW()-1,,)</f>
        <v>#DIV/0!</v>
      </c>
      <c r="G35" cm="1">
        <f t="array" aca="1" ref="G35" ca="1">OFFSET(Sheet1!$A$1,COLUMN()-6,ROW()-1,,)</f>
        <v>0</v>
      </c>
      <c r="H35" cm="1">
        <f t="array" aca="1" ref="H35" ca="1">OFFSET(Sheet1!$A$1,COLUMN()-6,ROW()-1,,)</f>
        <v>0</v>
      </c>
      <c r="I35" cm="1">
        <f t="array" aca="1" ref="I35" ca="1">OFFSET(Sheet1!$A$1,COLUMN()-6,ROW()-1,,)</f>
        <v>0</v>
      </c>
      <c r="J35" t="str" cm="1">
        <f t="array" aca="1" ref="J35" ca="1">OFFSET(Sheet1!$A$1,COLUMN()-6,ROW()-1,,)</f>
        <v>Si la réponse comporte moins de 2 étoiles OUI, merci de préciser votre réponse dans le champs ci-dessous :5</v>
      </c>
    </row>
    <row r="36" spans="1:10" hidden="1" x14ac:dyDescent="0.25">
      <c r="A36" t="e" cm="1">
        <f t="array" aca="1" ref="A36" ca="1">OFFSET('Sheet1 (2)'!$A$1,COLUMN()-1,ROW()-1,,)</f>
        <v>#DIV/0!</v>
      </c>
      <c r="B36" cm="1">
        <f t="array" aca="1" ref="B36" ca="1">OFFSET('Sheet1 (2)'!$A$1,COLUMN()-1,ROW()-1,,)</f>
        <v>0</v>
      </c>
      <c r="C36" cm="1">
        <f t="array" aca="1" ref="C36" ca="1">OFFSET('Sheet1 (2)'!$A$1,COLUMN()-1,ROW()-1,,)</f>
        <v>0</v>
      </c>
      <c r="D36" cm="1">
        <f t="array" aca="1" ref="D36" ca="1">OFFSET('Sheet1 (2)'!$A$1,COLUMN()-1,ROW()-1,,)</f>
        <v>0</v>
      </c>
      <c r="E36" s="2" t="str" cm="1">
        <f t="array" aca="1" ref="E36" ca="1">OFFSET('Sheet1 (2)'!$A$1,COLUMN()-1,ROW()-1,,)</f>
        <v>Points - Si la réponse comporte moins de 2 étoiles OUI, merci de préciser votre réponse dans le champs ci-dessous :5</v>
      </c>
      <c r="F36" t="e" cm="1">
        <f t="array" aca="1" ref="F36" ca="1">OFFSET(Sheet1!$A$1,COLUMN()-6,ROW()-1,,)</f>
        <v>#DIV/0!</v>
      </c>
      <c r="G36" cm="1">
        <f t="array" aca="1" ref="G36" ca="1">OFFSET(Sheet1!$A$1,COLUMN()-6,ROW()-1,,)</f>
        <v>0</v>
      </c>
      <c r="H36" cm="1">
        <f t="array" aca="1" ref="H36" ca="1">OFFSET(Sheet1!$A$1,COLUMN()-6,ROW()-1,,)</f>
        <v>0</v>
      </c>
      <c r="I36" cm="1">
        <f t="array" aca="1" ref="I36" ca="1">OFFSET(Sheet1!$A$1,COLUMN()-6,ROW()-1,,)</f>
        <v>0</v>
      </c>
      <c r="J36" t="str" cm="1">
        <f t="array" aca="1" ref="J36" ca="1">OFFSET(Sheet1!$A$1,COLUMN()-6,ROW()-1,,)</f>
        <v>Points - Si la réponse comporte moins de 2 étoiles OUI, merci de préciser votre réponse dans le champs ci-dessous :5</v>
      </c>
    </row>
    <row r="37" spans="1:10" hidden="1" x14ac:dyDescent="0.25">
      <c r="A37" t="e" cm="1">
        <f t="array" aca="1" ref="A37" ca="1">OFFSET('Sheet1 (2)'!$A$1,COLUMN()-1,ROW()-1,,)</f>
        <v>#DIV/0!</v>
      </c>
      <c r="B37" cm="1">
        <f t="array" aca="1" ref="B37" ca="1">OFFSET('Sheet1 (2)'!$A$1,COLUMN()-1,ROW()-1,,)</f>
        <v>0</v>
      </c>
      <c r="C37" cm="1">
        <f t="array" aca="1" ref="C37" ca="1">OFFSET('Sheet1 (2)'!$A$1,COLUMN()-1,ROW()-1,,)</f>
        <v>0</v>
      </c>
      <c r="D37" cm="1">
        <f t="array" aca="1" ref="D37" ca="1">OFFSET('Sheet1 (2)'!$A$1,COLUMN()-1,ROW()-1,,)</f>
        <v>0</v>
      </c>
      <c r="E37" s="2" t="str" cm="1">
        <f t="array" aca="1" ref="E37" ca="1">OFFSET('Sheet1 (2)'!$A$1,COLUMN()-1,ROW()-1,,)</f>
        <v>Feedback - Si la réponse comporte moins de 2 étoiles OUI, merci de préciser votre réponse dans le champs ci-dessous :5</v>
      </c>
      <c r="F37" t="e" cm="1">
        <f t="array" aca="1" ref="F37" ca="1">OFFSET(Sheet1!$A$1,COLUMN()-6,ROW()-1,,)</f>
        <v>#DIV/0!</v>
      </c>
      <c r="G37" cm="1">
        <f t="array" aca="1" ref="G37" ca="1">OFFSET(Sheet1!$A$1,COLUMN()-6,ROW()-1,,)</f>
        <v>0</v>
      </c>
      <c r="H37" cm="1">
        <f t="array" aca="1" ref="H37" ca="1">OFFSET(Sheet1!$A$1,COLUMN()-6,ROW()-1,,)</f>
        <v>0</v>
      </c>
      <c r="I37" cm="1">
        <f t="array" aca="1" ref="I37" ca="1">OFFSET(Sheet1!$A$1,COLUMN()-6,ROW()-1,,)</f>
        <v>0</v>
      </c>
      <c r="J37" t="str" cm="1">
        <f t="array" aca="1" ref="J37" ca="1">OFFSET(Sheet1!$A$1,COLUMN()-6,ROW()-1,,)</f>
        <v>Feedback - Si la réponse comporte moins de 2 étoiles OUI, merci de préciser votre réponse dans le champs ci-dessous :5</v>
      </c>
    </row>
    <row r="38" spans="1:10" x14ac:dyDescent="0.25">
      <c r="A38" cm="1">
        <f t="array" aca="1" ref="A38" ca="1">OFFSET('Sheet1 (2)'!$A$1,COLUMN()-1,ROW()-1,,)</f>
        <v>4.7142857142857144</v>
      </c>
      <c r="B38" cm="1">
        <f t="array" aca="1" ref="B38" ca="1">OFFSET('Sheet1 (2)'!$A$1,COLUMN()-1,ROW()-1,,)</f>
        <v>3</v>
      </c>
      <c r="C38" cm="1">
        <f t="array" aca="1" ref="C38" ca="1">OFFSET('Sheet1 (2)'!$A$1,COLUMN()-1,ROW()-1,,)</f>
        <v>5</v>
      </c>
      <c r="D38" cm="1">
        <f t="array" aca="1" ref="D38" ca="1">OFFSET('Sheet1 (2)'!$A$1,COLUMN()-1,ROW()-1,,)</f>
        <v>7</v>
      </c>
      <c r="E38" s="2" t="str" cm="1">
        <f t="array" aca="1" ref="E38" ca="1">OFFSET('Sheet1 (2)'!$A$1,COLUMN()-1,ROW()-1,,)</f>
        <v>SPONSORSHIP  : Les leaders fournissent le niveau de sponsorship suffisant pour supporter le programme</v>
      </c>
      <c r="F38" cm="1">
        <f t="array" aca="1" ref="F38" ca="1">OFFSET(Sheet1!$A$1,COLUMN()-6,ROW()-1,,)</f>
        <v>3.6666666666666665</v>
      </c>
      <c r="G38" cm="1">
        <f t="array" aca="1" ref="G38" ca="1">OFFSET(Sheet1!$A$1,COLUMN()-6,ROW()-1,,)</f>
        <v>1</v>
      </c>
      <c r="H38" cm="1">
        <f t="array" aca="1" ref="H38" ca="1">OFFSET(Sheet1!$A$1,COLUMN()-6,ROW()-1,,)</f>
        <v>5</v>
      </c>
      <c r="I38" cm="1">
        <f t="array" aca="1" ref="I38" ca="1">OFFSET(Sheet1!$A$1,COLUMN()-6,ROW()-1,,)</f>
        <v>27</v>
      </c>
      <c r="J38" t="str" cm="1">
        <f t="array" aca="1" ref="J38" ca="1">OFFSET(Sheet1!$A$1,COLUMN()-6,ROW()-1,,)</f>
        <v>SPONSORSHIP  : Les leaders fournissent le niveau de sponsorship suffisant pour supporter le programme</v>
      </c>
    </row>
    <row r="39" spans="1:10" hidden="1" x14ac:dyDescent="0.25">
      <c r="A39" t="e" cm="1">
        <f t="array" aca="1" ref="A39" ca="1">OFFSET('Sheet1 (2)'!$A$1,COLUMN()-1,ROW()-1,,)</f>
        <v>#DIV/0!</v>
      </c>
      <c r="B39" cm="1">
        <f t="array" aca="1" ref="B39" ca="1">OFFSET('Sheet1 (2)'!$A$1,COLUMN()-1,ROW()-1,,)</f>
        <v>0</v>
      </c>
      <c r="C39" cm="1">
        <f t="array" aca="1" ref="C39" ca="1">OFFSET('Sheet1 (2)'!$A$1,COLUMN()-1,ROW()-1,,)</f>
        <v>0</v>
      </c>
      <c r="D39" cm="1">
        <f t="array" aca="1" ref="D39" ca="1">OFFSET('Sheet1 (2)'!$A$1,COLUMN()-1,ROW()-1,,)</f>
        <v>0</v>
      </c>
      <c r="E39" s="2" t="str" cm="1">
        <f t="array" aca="1" ref="E39" ca="1">OFFSET('Sheet1 (2)'!$A$1,COLUMN()-1,ROW()-1,,)</f>
        <v>Points - SPONSORSHIP  : Les leaders fournissent le niveau de sponsorship suffisant pour supporter le programme</v>
      </c>
      <c r="F39" t="e" cm="1">
        <f t="array" aca="1" ref="F39" ca="1">OFFSET(Sheet1!$A$1,COLUMN()-6,ROW()-1,,)</f>
        <v>#DIV/0!</v>
      </c>
      <c r="G39" cm="1">
        <f t="array" aca="1" ref="G39" ca="1">OFFSET(Sheet1!$A$1,COLUMN()-6,ROW()-1,,)</f>
        <v>0</v>
      </c>
      <c r="H39" cm="1">
        <f t="array" aca="1" ref="H39" ca="1">OFFSET(Sheet1!$A$1,COLUMN()-6,ROW()-1,,)</f>
        <v>0</v>
      </c>
      <c r="I39" cm="1">
        <f t="array" aca="1" ref="I39" ca="1">OFFSET(Sheet1!$A$1,COLUMN()-6,ROW()-1,,)</f>
        <v>0</v>
      </c>
      <c r="J39" t="str" cm="1">
        <f t="array" aca="1" ref="J39" ca="1">OFFSET(Sheet1!$A$1,COLUMN()-6,ROW()-1,,)</f>
        <v>Points - SPONSORSHIP  : Les leaders fournissent le niveau de sponsorship suffisant pour supporter le programme</v>
      </c>
    </row>
    <row r="40" spans="1:10" hidden="1" x14ac:dyDescent="0.25">
      <c r="A40" t="e" cm="1">
        <f t="array" aca="1" ref="A40" ca="1">OFFSET('Sheet1 (2)'!$A$1,COLUMN()-1,ROW()-1,,)</f>
        <v>#DIV/0!</v>
      </c>
      <c r="B40" cm="1">
        <f t="array" aca="1" ref="B40" ca="1">OFFSET('Sheet1 (2)'!$A$1,COLUMN()-1,ROW()-1,,)</f>
        <v>0</v>
      </c>
      <c r="C40" cm="1">
        <f t="array" aca="1" ref="C40" ca="1">OFFSET('Sheet1 (2)'!$A$1,COLUMN()-1,ROW()-1,,)</f>
        <v>0</v>
      </c>
      <c r="D40" cm="1">
        <f t="array" aca="1" ref="D40" ca="1">OFFSET('Sheet1 (2)'!$A$1,COLUMN()-1,ROW()-1,,)</f>
        <v>0</v>
      </c>
      <c r="E40" s="2" t="str" cm="1">
        <f t="array" aca="1" ref="E40" ca="1">OFFSET('Sheet1 (2)'!$A$1,COLUMN()-1,ROW()-1,,)</f>
        <v>Feedback - SPONSORSHIP  : Les leaders fournissent le niveau de sponsorship suffisant pour supporter le programme</v>
      </c>
      <c r="F40" t="e" cm="1">
        <f t="array" aca="1" ref="F40" ca="1">OFFSET(Sheet1!$A$1,COLUMN()-6,ROW()-1,,)</f>
        <v>#DIV/0!</v>
      </c>
      <c r="G40" cm="1">
        <f t="array" aca="1" ref="G40" ca="1">OFFSET(Sheet1!$A$1,COLUMN()-6,ROW()-1,,)</f>
        <v>0</v>
      </c>
      <c r="H40" cm="1">
        <f t="array" aca="1" ref="H40" ca="1">OFFSET(Sheet1!$A$1,COLUMN()-6,ROW()-1,,)</f>
        <v>0</v>
      </c>
      <c r="I40" cm="1">
        <f t="array" aca="1" ref="I40" ca="1">OFFSET(Sheet1!$A$1,COLUMN()-6,ROW()-1,,)</f>
        <v>0</v>
      </c>
      <c r="J40" t="str" cm="1">
        <f t="array" aca="1" ref="J40" ca="1">OFFSET(Sheet1!$A$1,COLUMN()-6,ROW()-1,,)</f>
        <v>Feedback - SPONSORSHIP  : Les leaders fournissent le niveau de sponsorship suffisant pour supporter le programme</v>
      </c>
    </row>
    <row r="41" spans="1:10" hidden="1" x14ac:dyDescent="0.25">
      <c r="A41" t="e" cm="1">
        <f t="array" aca="1" ref="A41" ca="1">OFFSET('Sheet1 (2)'!$A$1,COLUMN()-1,ROW()-1,,)</f>
        <v>#DIV/0!</v>
      </c>
      <c r="B41" cm="1">
        <f t="array" aca="1" ref="B41" ca="1">OFFSET('Sheet1 (2)'!$A$1,COLUMN()-1,ROW()-1,,)</f>
        <v>0</v>
      </c>
      <c r="C41" cm="1">
        <f t="array" aca="1" ref="C41" ca="1">OFFSET('Sheet1 (2)'!$A$1,COLUMN()-1,ROW()-1,,)</f>
        <v>0</v>
      </c>
      <c r="D41" cm="1">
        <f t="array" aca="1" ref="D41" ca="1">OFFSET('Sheet1 (2)'!$A$1,COLUMN()-1,ROW()-1,,)</f>
        <v>0</v>
      </c>
      <c r="E41" s="2" t="str" cm="1">
        <f t="array" aca="1" ref="E41" ca="1">OFFSET('Sheet1 (2)'!$A$1,COLUMN()-1,ROW()-1,,)</f>
        <v>Si la réponse comporte moins de 2 étoiles OUI, merci de préciser votre réponse dans le champs ci-dessous :6</v>
      </c>
      <c r="F41" t="e" cm="1">
        <f t="array" aca="1" ref="F41" ca="1">OFFSET(Sheet1!$A$1,COLUMN()-6,ROW()-1,,)</f>
        <v>#DIV/0!</v>
      </c>
      <c r="G41" cm="1">
        <f t="array" aca="1" ref="G41" ca="1">OFFSET(Sheet1!$A$1,COLUMN()-6,ROW()-1,,)</f>
        <v>0</v>
      </c>
      <c r="H41" cm="1">
        <f t="array" aca="1" ref="H41" ca="1">OFFSET(Sheet1!$A$1,COLUMN()-6,ROW()-1,,)</f>
        <v>0</v>
      </c>
      <c r="I41" cm="1">
        <f t="array" aca="1" ref="I41" ca="1">OFFSET(Sheet1!$A$1,COLUMN()-6,ROW()-1,,)</f>
        <v>0</v>
      </c>
      <c r="J41" t="str" cm="1">
        <f t="array" aca="1" ref="J41" ca="1">OFFSET(Sheet1!$A$1,COLUMN()-6,ROW()-1,,)</f>
        <v>Si la réponse comporte moins de 2 étoiles OUI, merci de préciser votre réponse dans le champs ci-dessous :6</v>
      </c>
    </row>
    <row r="42" spans="1:10" hidden="1" x14ac:dyDescent="0.25">
      <c r="A42" t="e" cm="1">
        <f t="array" aca="1" ref="A42" ca="1">OFFSET('Sheet1 (2)'!$A$1,COLUMN()-1,ROW()-1,,)</f>
        <v>#DIV/0!</v>
      </c>
      <c r="B42" cm="1">
        <f t="array" aca="1" ref="B42" ca="1">OFFSET('Sheet1 (2)'!$A$1,COLUMN()-1,ROW()-1,,)</f>
        <v>0</v>
      </c>
      <c r="C42" cm="1">
        <f t="array" aca="1" ref="C42" ca="1">OFFSET('Sheet1 (2)'!$A$1,COLUMN()-1,ROW()-1,,)</f>
        <v>0</v>
      </c>
      <c r="D42" cm="1">
        <f t="array" aca="1" ref="D42" ca="1">OFFSET('Sheet1 (2)'!$A$1,COLUMN()-1,ROW()-1,,)</f>
        <v>0</v>
      </c>
      <c r="E42" s="2" t="str" cm="1">
        <f t="array" aca="1" ref="E42" ca="1">OFFSET('Sheet1 (2)'!$A$1,COLUMN()-1,ROW()-1,,)</f>
        <v>Points - Si la réponse comporte moins de 2 étoiles OUI, merci de préciser votre réponse dans le champs ci-dessous :6</v>
      </c>
      <c r="F42" t="e" cm="1">
        <f t="array" aca="1" ref="F42" ca="1">OFFSET(Sheet1!$A$1,COLUMN()-6,ROW()-1,,)</f>
        <v>#DIV/0!</v>
      </c>
      <c r="G42" cm="1">
        <f t="array" aca="1" ref="G42" ca="1">OFFSET(Sheet1!$A$1,COLUMN()-6,ROW()-1,,)</f>
        <v>0</v>
      </c>
      <c r="H42" cm="1">
        <f t="array" aca="1" ref="H42" ca="1">OFFSET(Sheet1!$A$1,COLUMN()-6,ROW()-1,,)</f>
        <v>0</v>
      </c>
      <c r="I42" cm="1">
        <f t="array" aca="1" ref="I42" ca="1">OFFSET(Sheet1!$A$1,COLUMN()-6,ROW()-1,,)</f>
        <v>0</v>
      </c>
      <c r="J42" t="str" cm="1">
        <f t="array" aca="1" ref="J42" ca="1">OFFSET(Sheet1!$A$1,COLUMN()-6,ROW()-1,,)</f>
        <v>Points - Si la réponse comporte moins de 2 étoiles OUI, merci de préciser votre réponse dans le champs ci-dessous :6</v>
      </c>
    </row>
    <row r="43" spans="1:10" hidden="1" x14ac:dyDescent="0.25">
      <c r="A43" t="e" cm="1">
        <f t="array" aca="1" ref="A43" ca="1">OFFSET('Sheet1 (2)'!$A$1,COLUMN()-1,ROW()-1,,)</f>
        <v>#DIV/0!</v>
      </c>
      <c r="B43" cm="1">
        <f t="array" aca="1" ref="B43" ca="1">OFFSET('Sheet1 (2)'!$A$1,COLUMN()-1,ROW()-1,,)</f>
        <v>0</v>
      </c>
      <c r="C43" cm="1">
        <f t="array" aca="1" ref="C43" ca="1">OFFSET('Sheet1 (2)'!$A$1,COLUMN()-1,ROW()-1,,)</f>
        <v>0</v>
      </c>
      <c r="D43" cm="1">
        <f t="array" aca="1" ref="D43" ca="1">OFFSET('Sheet1 (2)'!$A$1,COLUMN()-1,ROW()-1,,)</f>
        <v>0</v>
      </c>
      <c r="E43" s="2" t="str" cm="1">
        <f t="array" aca="1" ref="E43" ca="1">OFFSET('Sheet1 (2)'!$A$1,COLUMN()-1,ROW()-1,,)</f>
        <v>Feedback - Si la réponse comporte moins de 2 étoiles OUI, merci de préciser votre réponse dans le champs ci-dessous :6</v>
      </c>
      <c r="F43" t="e" cm="1">
        <f t="array" aca="1" ref="F43" ca="1">OFFSET(Sheet1!$A$1,COLUMN()-6,ROW()-1,,)</f>
        <v>#DIV/0!</v>
      </c>
      <c r="G43" cm="1">
        <f t="array" aca="1" ref="G43" ca="1">OFFSET(Sheet1!$A$1,COLUMN()-6,ROW()-1,,)</f>
        <v>0</v>
      </c>
      <c r="H43" cm="1">
        <f t="array" aca="1" ref="H43" ca="1">OFFSET(Sheet1!$A$1,COLUMN()-6,ROW()-1,,)</f>
        <v>0</v>
      </c>
      <c r="I43" cm="1">
        <f t="array" aca="1" ref="I43" ca="1">OFFSET(Sheet1!$A$1,COLUMN()-6,ROW()-1,,)</f>
        <v>0</v>
      </c>
      <c r="J43" t="str" cm="1">
        <f t="array" aca="1" ref="J43" ca="1">OFFSET(Sheet1!$A$1,COLUMN()-6,ROW()-1,,)</f>
        <v>Feedback - Si la réponse comporte moins de 2 étoiles OUI, merci de préciser votre réponse dans le champs ci-dessous :6</v>
      </c>
    </row>
    <row r="44" spans="1:10" x14ac:dyDescent="0.25">
      <c r="A44" cm="1">
        <f t="array" aca="1" ref="A44" ca="1">OFFSET('Sheet1 (2)'!$A$1,COLUMN()-1,ROW()-1,,)</f>
        <v>4.4285714285714288</v>
      </c>
      <c r="B44" cm="1">
        <f t="array" aca="1" ref="B44" ca="1">OFFSET('Sheet1 (2)'!$A$1,COLUMN()-1,ROW()-1,,)</f>
        <v>4</v>
      </c>
      <c r="C44" cm="1">
        <f t="array" aca="1" ref="C44" ca="1">OFFSET('Sheet1 (2)'!$A$1,COLUMN()-1,ROW()-1,,)</f>
        <v>5</v>
      </c>
      <c r="D44" cm="1">
        <f t="array" aca="1" ref="D44" ca="1">OFFSET('Sheet1 (2)'!$A$1,COLUMN()-1,ROW()-1,,)</f>
        <v>7</v>
      </c>
      <c r="E44" s="2" t="str" cm="1">
        <f t="array" aca="1" ref="E44" ca="1">OFFSET('Sheet1 (2)'!$A$1,COLUMN()-1,ROW()-1,,)</f>
        <v>CAPACITE : Ce changement entraine une charge de travail que nous pouvons absorber sur le site</v>
      </c>
      <c r="F44" cm="1">
        <f t="array" aca="1" ref="F44" ca="1">OFFSET(Sheet1!$A$1,COLUMN()-6,ROW()-1,,)</f>
        <v>3.0370370370370372</v>
      </c>
      <c r="G44" cm="1">
        <f t="array" aca="1" ref="G44" ca="1">OFFSET(Sheet1!$A$1,COLUMN()-6,ROW()-1,,)</f>
        <v>1</v>
      </c>
      <c r="H44" cm="1">
        <f t="array" aca="1" ref="H44" ca="1">OFFSET(Sheet1!$A$1,COLUMN()-6,ROW()-1,,)</f>
        <v>5</v>
      </c>
      <c r="I44" cm="1">
        <f t="array" aca="1" ref="I44" ca="1">OFFSET(Sheet1!$A$1,COLUMN()-6,ROW()-1,,)</f>
        <v>27</v>
      </c>
      <c r="J44" t="str" cm="1">
        <f t="array" aca="1" ref="J44" ca="1">OFFSET(Sheet1!$A$1,COLUMN()-6,ROW()-1,,)</f>
        <v>CAPACITE : Ce changement entraine une charge de travail que nous pouvons absorber sur le site</v>
      </c>
    </row>
    <row r="45" spans="1:10" hidden="1" x14ac:dyDescent="0.25">
      <c r="A45" t="e" cm="1">
        <f t="array" aca="1" ref="A45" ca="1">OFFSET('Sheet1 (2)'!$A$1,COLUMN()-1,ROW()-1,,)</f>
        <v>#DIV/0!</v>
      </c>
      <c r="B45" cm="1">
        <f t="array" aca="1" ref="B45" ca="1">OFFSET('Sheet1 (2)'!$A$1,COLUMN()-1,ROW()-1,,)</f>
        <v>0</v>
      </c>
      <c r="C45" cm="1">
        <f t="array" aca="1" ref="C45" ca="1">OFFSET('Sheet1 (2)'!$A$1,COLUMN()-1,ROW()-1,,)</f>
        <v>0</v>
      </c>
      <c r="D45" cm="1">
        <f t="array" aca="1" ref="D45" ca="1">OFFSET('Sheet1 (2)'!$A$1,COLUMN()-1,ROW()-1,,)</f>
        <v>0</v>
      </c>
      <c r="E45" s="2" t="str" cm="1">
        <f t="array" aca="1" ref="E45" ca="1">OFFSET('Sheet1 (2)'!$A$1,COLUMN()-1,ROW()-1,,)</f>
        <v>Points - CAPACITE : Ce changement entraine une charge de travail que nous pouvons absorber sur le site</v>
      </c>
      <c r="F45" t="e" cm="1">
        <f t="array" aca="1" ref="F45" ca="1">OFFSET(Sheet1!$A$1,COLUMN()-6,ROW()-1,,)</f>
        <v>#DIV/0!</v>
      </c>
      <c r="G45" cm="1">
        <f t="array" aca="1" ref="G45" ca="1">OFFSET(Sheet1!$A$1,COLUMN()-6,ROW()-1,,)</f>
        <v>0</v>
      </c>
      <c r="H45" cm="1">
        <f t="array" aca="1" ref="H45" ca="1">OFFSET(Sheet1!$A$1,COLUMN()-6,ROW()-1,,)</f>
        <v>0</v>
      </c>
      <c r="I45" cm="1">
        <f t="array" aca="1" ref="I45" ca="1">OFFSET(Sheet1!$A$1,COLUMN()-6,ROW()-1,,)</f>
        <v>0</v>
      </c>
      <c r="J45" t="str" cm="1">
        <f t="array" aca="1" ref="J45" ca="1">OFFSET(Sheet1!$A$1,COLUMN()-6,ROW()-1,,)</f>
        <v>Points - CAPACITE : Ce changement entraine une charge de travail que nous pouvons absorber sur le site</v>
      </c>
    </row>
    <row r="46" spans="1:10" hidden="1" x14ac:dyDescent="0.25">
      <c r="A46" t="e" cm="1">
        <f t="array" aca="1" ref="A46" ca="1">OFFSET('Sheet1 (2)'!$A$1,COLUMN()-1,ROW()-1,,)</f>
        <v>#DIV/0!</v>
      </c>
      <c r="B46" cm="1">
        <f t="array" aca="1" ref="B46" ca="1">OFFSET('Sheet1 (2)'!$A$1,COLUMN()-1,ROW()-1,,)</f>
        <v>0</v>
      </c>
      <c r="C46" cm="1">
        <f t="array" aca="1" ref="C46" ca="1">OFFSET('Sheet1 (2)'!$A$1,COLUMN()-1,ROW()-1,,)</f>
        <v>0</v>
      </c>
      <c r="D46" cm="1">
        <f t="array" aca="1" ref="D46" ca="1">OFFSET('Sheet1 (2)'!$A$1,COLUMN()-1,ROW()-1,,)</f>
        <v>0</v>
      </c>
      <c r="E46" s="2" t="str" cm="1">
        <f t="array" aca="1" ref="E46" ca="1">OFFSET('Sheet1 (2)'!$A$1,COLUMN()-1,ROW()-1,,)</f>
        <v>Feedback - CAPACITE : Ce changement entraine une charge de travail que nous pouvons absorber sur le site</v>
      </c>
      <c r="F46" t="e" cm="1">
        <f t="array" aca="1" ref="F46" ca="1">OFFSET(Sheet1!$A$1,COLUMN()-6,ROW()-1,,)</f>
        <v>#DIV/0!</v>
      </c>
      <c r="G46" cm="1">
        <f t="array" aca="1" ref="G46" ca="1">OFFSET(Sheet1!$A$1,COLUMN()-6,ROW()-1,,)</f>
        <v>0</v>
      </c>
      <c r="H46" cm="1">
        <f t="array" aca="1" ref="H46" ca="1">OFFSET(Sheet1!$A$1,COLUMN()-6,ROW()-1,,)</f>
        <v>0</v>
      </c>
      <c r="I46" cm="1">
        <f t="array" aca="1" ref="I46" ca="1">OFFSET(Sheet1!$A$1,COLUMN()-6,ROW()-1,,)</f>
        <v>0</v>
      </c>
      <c r="J46" t="str" cm="1">
        <f t="array" aca="1" ref="J46" ca="1">OFFSET(Sheet1!$A$1,COLUMN()-6,ROW()-1,,)</f>
        <v>Feedback - CAPACITE : Ce changement entraine une charge de travail que nous pouvons absorber sur le site</v>
      </c>
    </row>
    <row r="47" spans="1:10" hidden="1" x14ac:dyDescent="0.25">
      <c r="A47" t="e" cm="1">
        <f t="array" aca="1" ref="A47" ca="1">OFFSET('Sheet1 (2)'!$A$1,COLUMN()-1,ROW()-1,,)</f>
        <v>#DIV/0!</v>
      </c>
      <c r="B47" cm="1">
        <f t="array" aca="1" ref="B47" ca="1">OFFSET('Sheet1 (2)'!$A$1,COLUMN()-1,ROW()-1,,)</f>
        <v>0</v>
      </c>
      <c r="C47" cm="1">
        <f t="array" aca="1" ref="C47" ca="1">OFFSET('Sheet1 (2)'!$A$1,COLUMN()-1,ROW()-1,,)</f>
        <v>0</v>
      </c>
      <c r="D47" cm="1">
        <f t="array" aca="1" ref="D47" ca="1">OFFSET('Sheet1 (2)'!$A$1,COLUMN()-1,ROW()-1,,)</f>
        <v>0</v>
      </c>
      <c r="E47" s="2" t="str" cm="1">
        <f t="array" aca="1" ref="E47" ca="1">OFFSET('Sheet1 (2)'!$A$1,COLUMN()-1,ROW()-1,,)</f>
        <v>Si la réponse comporte moins de 2 étoiles OUI, merci de préciser votre réponse dans le champs ci-dessous :7</v>
      </c>
      <c r="F47" t="e" cm="1">
        <f t="array" aca="1" ref="F47" ca="1">OFFSET(Sheet1!$A$1,COLUMN()-6,ROW()-1,,)</f>
        <v>#DIV/0!</v>
      </c>
      <c r="G47" cm="1">
        <f t="array" aca="1" ref="G47" ca="1">OFFSET(Sheet1!$A$1,COLUMN()-6,ROW()-1,,)</f>
        <v>0</v>
      </c>
      <c r="H47" cm="1">
        <f t="array" aca="1" ref="H47" ca="1">OFFSET(Sheet1!$A$1,COLUMN()-6,ROW()-1,,)</f>
        <v>0</v>
      </c>
      <c r="I47" cm="1">
        <f t="array" aca="1" ref="I47" ca="1">OFFSET(Sheet1!$A$1,COLUMN()-6,ROW()-1,,)</f>
        <v>0</v>
      </c>
      <c r="J47" t="str" cm="1">
        <f t="array" aca="1" ref="J47" ca="1">OFFSET(Sheet1!$A$1,COLUMN()-6,ROW()-1,,)</f>
        <v>Si la réponse comporte moins de 2 étoiles OUI, merci de préciser votre réponse dans le champs ci-dessous :7</v>
      </c>
    </row>
    <row r="48" spans="1:10" hidden="1" x14ac:dyDescent="0.25">
      <c r="A48" t="e" cm="1">
        <f t="array" aca="1" ref="A48" ca="1">OFFSET('Sheet1 (2)'!$A$1,COLUMN()-1,ROW()-1,,)</f>
        <v>#DIV/0!</v>
      </c>
      <c r="B48" cm="1">
        <f t="array" aca="1" ref="B48" ca="1">OFFSET('Sheet1 (2)'!$A$1,COLUMN()-1,ROW()-1,,)</f>
        <v>0</v>
      </c>
      <c r="C48" cm="1">
        <f t="array" aca="1" ref="C48" ca="1">OFFSET('Sheet1 (2)'!$A$1,COLUMN()-1,ROW()-1,,)</f>
        <v>0</v>
      </c>
      <c r="D48" cm="1">
        <f t="array" aca="1" ref="D48" ca="1">OFFSET('Sheet1 (2)'!$A$1,COLUMN()-1,ROW()-1,,)</f>
        <v>0</v>
      </c>
      <c r="E48" s="2" t="str" cm="1">
        <f t="array" aca="1" ref="E48" ca="1">OFFSET('Sheet1 (2)'!$A$1,COLUMN()-1,ROW()-1,,)</f>
        <v>Points - Si la réponse comporte moins de 2 étoiles OUI, merci de préciser votre réponse dans le champs ci-dessous :7</v>
      </c>
      <c r="F48" t="e" cm="1">
        <f t="array" aca="1" ref="F48" ca="1">OFFSET(Sheet1!$A$1,COLUMN()-6,ROW()-1,,)</f>
        <v>#DIV/0!</v>
      </c>
      <c r="G48" cm="1">
        <f t="array" aca="1" ref="G48" ca="1">OFFSET(Sheet1!$A$1,COLUMN()-6,ROW()-1,,)</f>
        <v>0</v>
      </c>
      <c r="H48" cm="1">
        <f t="array" aca="1" ref="H48" ca="1">OFFSET(Sheet1!$A$1,COLUMN()-6,ROW()-1,,)</f>
        <v>0</v>
      </c>
      <c r="I48" cm="1">
        <f t="array" aca="1" ref="I48" ca="1">OFFSET(Sheet1!$A$1,COLUMN()-6,ROW()-1,,)</f>
        <v>0</v>
      </c>
      <c r="J48" t="str" cm="1">
        <f t="array" aca="1" ref="J48" ca="1">OFFSET(Sheet1!$A$1,COLUMN()-6,ROW()-1,,)</f>
        <v>Points - Si la réponse comporte moins de 2 étoiles OUI, merci de préciser votre réponse dans le champs ci-dessous :7</v>
      </c>
    </row>
    <row r="49" spans="1:10" hidden="1" x14ac:dyDescent="0.25">
      <c r="A49" t="e" cm="1">
        <f t="array" aca="1" ref="A49" ca="1">OFFSET('Sheet1 (2)'!$A$1,COLUMN()-1,ROW()-1,,)</f>
        <v>#DIV/0!</v>
      </c>
      <c r="B49" cm="1">
        <f t="array" aca="1" ref="B49" ca="1">OFFSET('Sheet1 (2)'!$A$1,COLUMN()-1,ROW()-1,,)</f>
        <v>0</v>
      </c>
      <c r="C49" cm="1">
        <f t="array" aca="1" ref="C49" ca="1">OFFSET('Sheet1 (2)'!$A$1,COLUMN()-1,ROW()-1,,)</f>
        <v>0</v>
      </c>
      <c r="D49" cm="1">
        <f t="array" aca="1" ref="D49" ca="1">OFFSET('Sheet1 (2)'!$A$1,COLUMN()-1,ROW()-1,,)</f>
        <v>0</v>
      </c>
      <c r="E49" s="2" t="str" cm="1">
        <f t="array" aca="1" ref="E49" ca="1">OFFSET('Sheet1 (2)'!$A$1,COLUMN()-1,ROW()-1,,)</f>
        <v>Feedback - Si la réponse comporte moins de 2 étoiles OUI, merci de préciser votre réponse dans le champs ci-dessous :7</v>
      </c>
      <c r="F49" t="e" cm="1">
        <f t="array" aca="1" ref="F49" ca="1">OFFSET(Sheet1!$A$1,COLUMN()-6,ROW()-1,,)</f>
        <v>#DIV/0!</v>
      </c>
      <c r="G49" cm="1">
        <f t="array" aca="1" ref="G49" ca="1">OFFSET(Sheet1!$A$1,COLUMN()-6,ROW()-1,,)</f>
        <v>0</v>
      </c>
      <c r="H49" cm="1">
        <f t="array" aca="1" ref="H49" ca="1">OFFSET(Sheet1!$A$1,COLUMN()-6,ROW()-1,,)</f>
        <v>0</v>
      </c>
      <c r="I49" cm="1">
        <f t="array" aca="1" ref="I49" ca="1">OFFSET(Sheet1!$A$1,COLUMN()-6,ROW()-1,,)</f>
        <v>0</v>
      </c>
      <c r="J49" t="str" cm="1">
        <f t="array" aca="1" ref="J49" ca="1">OFFSET(Sheet1!$A$1,COLUMN()-6,ROW()-1,,)</f>
        <v>Feedback - Si la réponse comporte moins de 2 étoiles OUI, merci de préciser votre réponse dans le champs ci-dessous :7</v>
      </c>
    </row>
    <row r="50" spans="1:10" x14ac:dyDescent="0.25">
      <c r="A50" cm="1">
        <f t="array" aca="1" ref="A50" ca="1">OFFSET('Sheet1 (2)'!$A$1,COLUMN()-1,ROW()-1,,)</f>
        <v>3.7142857142857144</v>
      </c>
      <c r="B50" cm="1">
        <f t="array" aca="1" ref="B50" ca="1">OFFSET('Sheet1 (2)'!$A$1,COLUMN()-1,ROW()-1,,)</f>
        <v>2</v>
      </c>
      <c r="C50" cm="1">
        <f t="array" aca="1" ref="C50" ca="1">OFFSET('Sheet1 (2)'!$A$1,COLUMN()-1,ROW()-1,,)</f>
        <v>5</v>
      </c>
      <c r="D50" cm="1">
        <f t="array" aca="1" ref="D50" ca="1">OFFSET('Sheet1 (2)'!$A$1,COLUMN()-1,ROW()-1,,)</f>
        <v>7</v>
      </c>
      <c r="E50" s="2" t="str" cm="1">
        <f t="array" aca="1" ref="E50" ca="1">OFFSET('Sheet1 (2)'!$A$1,COLUMN()-1,ROW()-1,,)</f>
        <v>CULTURE  : Nous avons la culture appropriée pour absorber ce changement</v>
      </c>
      <c r="F50" cm="1">
        <f t="array" aca="1" ref="F50" ca="1">OFFSET(Sheet1!$A$1,COLUMN()-6,ROW()-1,,)</f>
        <v>3.6296296296296298</v>
      </c>
      <c r="G50" cm="1">
        <f t="array" aca="1" ref="G50" ca="1">OFFSET(Sheet1!$A$1,COLUMN()-6,ROW()-1,,)</f>
        <v>1</v>
      </c>
      <c r="H50" cm="1">
        <f t="array" aca="1" ref="H50" ca="1">OFFSET(Sheet1!$A$1,COLUMN()-6,ROW()-1,,)</f>
        <v>5</v>
      </c>
      <c r="I50" cm="1">
        <f t="array" aca="1" ref="I50" ca="1">OFFSET(Sheet1!$A$1,COLUMN()-6,ROW()-1,,)</f>
        <v>27</v>
      </c>
      <c r="J50" t="str" cm="1">
        <f t="array" aca="1" ref="J50" ca="1">OFFSET(Sheet1!$A$1,COLUMN()-6,ROW()-1,,)</f>
        <v>CULTURE  : Nous avons la culture appropriée pour absorber ce changement</v>
      </c>
    </row>
    <row r="51" spans="1:10" hidden="1" x14ac:dyDescent="0.25">
      <c r="A51" t="e" cm="1">
        <f t="array" aca="1" ref="A51" ca="1">OFFSET('Sheet1 (2)'!$A$1,COLUMN()-1,ROW()-1,,)</f>
        <v>#DIV/0!</v>
      </c>
      <c r="B51" cm="1">
        <f t="array" aca="1" ref="B51" ca="1">OFFSET('Sheet1 (2)'!$A$1,COLUMN()-1,ROW()-1,,)</f>
        <v>0</v>
      </c>
      <c r="C51" cm="1">
        <f t="array" aca="1" ref="C51" ca="1">OFFSET('Sheet1 (2)'!$A$1,COLUMN()-1,ROW()-1,,)</f>
        <v>0</v>
      </c>
      <c r="D51" cm="1">
        <f t="array" aca="1" ref="D51" ca="1">OFFSET('Sheet1 (2)'!$A$1,COLUMN()-1,ROW()-1,,)</f>
        <v>0</v>
      </c>
      <c r="E51" s="2" t="str" cm="1">
        <f t="array" aca="1" ref="E51" ca="1">OFFSET('Sheet1 (2)'!$A$1,COLUMN()-1,ROW()-1,,)</f>
        <v>Points - CULTURE  : Nous avons la culture appropriée pour absorber ce changement</v>
      </c>
      <c r="F51" t="e" cm="1">
        <f t="array" aca="1" ref="F51" ca="1">OFFSET(Sheet1!$A$1,COLUMN()-6,ROW()-1,,)</f>
        <v>#DIV/0!</v>
      </c>
      <c r="G51" cm="1">
        <f t="array" aca="1" ref="G51" ca="1">OFFSET(Sheet1!$A$1,COLUMN()-6,ROW()-1,,)</f>
        <v>0</v>
      </c>
      <c r="H51" cm="1">
        <f t="array" aca="1" ref="H51" ca="1">OFFSET(Sheet1!$A$1,COLUMN()-6,ROW()-1,,)</f>
        <v>0</v>
      </c>
      <c r="I51" cm="1">
        <f t="array" aca="1" ref="I51" ca="1">OFFSET(Sheet1!$A$1,COLUMN()-6,ROW()-1,,)</f>
        <v>0</v>
      </c>
      <c r="J51" t="str" cm="1">
        <f t="array" aca="1" ref="J51" ca="1">OFFSET(Sheet1!$A$1,COLUMN()-6,ROW()-1,,)</f>
        <v>Points - CULTURE  : Nous avons la culture appropriée pour absorber ce changement</v>
      </c>
    </row>
    <row r="52" spans="1:10" hidden="1" x14ac:dyDescent="0.25">
      <c r="A52" t="e" cm="1">
        <f t="array" aca="1" ref="A52" ca="1">OFFSET('Sheet1 (2)'!$A$1,COLUMN()-1,ROW()-1,,)</f>
        <v>#DIV/0!</v>
      </c>
      <c r="B52" cm="1">
        <f t="array" aca="1" ref="B52" ca="1">OFFSET('Sheet1 (2)'!$A$1,COLUMN()-1,ROW()-1,,)</f>
        <v>0</v>
      </c>
      <c r="C52" cm="1">
        <f t="array" aca="1" ref="C52" ca="1">OFFSET('Sheet1 (2)'!$A$1,COLUMN()-1,ROW()-1,,)</f>
        <v>0</v>
      </c>
      <c r="D52" cm="1">
        <f t="array" aca="1" ref="D52" ca="1">OFFSET('Sheet1 (2)'!$A$1,COLUMN()-1,ROW()-1,,)</f>
        <v>0</v>
      </c>
      <c r="E52" s="2" t="str" cm="1">
        <f t="array" aca="1" ref="E52" ca="1">OFFSET('Sheet1 (2)'!$A$1,COLUMN()-1,ROW()-1,,)</f>
        <v>Feedback - CULTURE  : Nous avons la culture appropriée pour absorber ce changement</v>
      </c>
      <c r="F52" t="e" cm="1">
        <f t="array" aca="1" ref="F52" ca="1">OFFSET(Sheet1!$A$1,COLUMN()-6,ROW()-1,,)</f>
        <v>#DIV/0!</v>
      </c>
      <c r="G52" cm="1">
        <f t="array" aca="1" ref="G52" ca="1">OFFSET(Sheet1!$A$1,COLUMN()-6,ROW()-1,,)</f>
        <v>0</v>
      </c>
      <c r="H52" cm="1">
        <f t="array" aca="1" ref="H52" ca="1">OFFSET(Sheet1!$A$1,COLUMN()-6,ROW()-1,,)</f>
        <v>0</v>
      </c>
      <c r="I52" cm="1">
        <f t="array" aca="1" ref="I52" ca="1">OFFSET(Sheet1!$A$1,COLUMN()-6,ROW()-1,,)</f>
        <v>0</v>
      </c>
      <c r="J52" t="str" cm="1">
        <f t="array" aca="1" ref="J52" ca="1">OFFSET(Sheet1!$A$1,COLUMN()-6,ROW()-1,,)</f>
        <v>Feedback - CULTURE  : Nous avons la culture appropriée pour absorber ce changement</v>
      </c>
    </row>
    <row r="53" spans="1:10" hidden="1" x14ac:dyDescent="0.25">
      <c r="A53" t="e" cm="1">
        <f t="array" aca="1" ref="A53" ca="1">OFFSET('Sheet1 (2)'!$A$1,COLUMN()-1,ROW()-1,,)</f>
        <v>#DIV/0!</v>
      </c>
      <c r="B53" cm="1">
        <f t="array" aca="1" ref="B53" ca="1">OFFSET('Sheet1 (2)'!$A$1,COLUMN()-1,ROW()-1,,)</f>
        <v>0</v>
      </c>
      <c r="C53" cm="1">
        <f t="array" aca="1" ref="C53" ca="1">OFFSET('Sheet1 (2)'!$A$1,COLUMN()-1,ROW()-1,,)</f>
        <v>0</v>
      </c>
      <c r="D53" cm="1">
        <f t="array" aca="1" ref="D53" ca="1">OFFSET('Sheet1 (2)'!$A$1,COLUMN()-1,ROW()-1,,)</f>
        <v>0</v>
      </c>
      <c r="E53" s="2" t="str" cm="1">
        <f t="array" aca="1" ref="E53" ca="1">OFFSET('Sheet1 (2)'!$A$1,COLUMN()-1,ROW()-1,,)</f>
        <v>Si la réponse comporte moins de 2 étoiles OUI, merci de préciser votre réponse dans le champs ci-dessous :8</v>
      </c>
      <c r="F53" t="e" cm="1">
        <f t="array" aca="1" ref="F53" ca="1">OFFSET(Sheet1!$A$1,COLUMN()-6,ROW()-1,,)</f>
        <v>#DIV/0!</v>
      </c>
      <c r="G53" cm="1">
        <f t="array" aca="1" ref="G53" ca="1">OFFSET(Sheet1!$A$1,COLUMN()-6,ROW()-1,,)</f>
        <v>0</v>
      </c>
      <c r="H53" cm="1">
        <f t="array" aca="1" ref="H53" ca="1">OFFSET(Sheet1!$A$1,COLUMN()-6,ROW()-1,,)</f>
        <v>0</v>
      </c>
      <c r="I53" cm="1">
        <f t="array" aca="1" ref="I53" ca="1">OFFSET(Sheet1!$A$1,COLUMN()-6,ROW()-1,,)</f>
        <v>0</v>
      </c>
      <c r="J53" t="str" cm="1">
        <f t="array" aca="1" ref="J53" ca="1">OFFSET(Sheet1!$A$1,COLUMN()-6,ROW()-1,,)</f>
        <v>Si la réponse comporte moins de 2 étoiles OUI, merci de préciser votre réponse dans le champs ci-dessous :8</v>
      </c>
    </row>
    <row r="54" spans="1:10" hidden="1" x14ac:dyDescent="0.25">
      <c r="A54" t="e" cm="1">
        <f t="array" aca="1" ref="A54" ca="1">OFFSET('Sheet1 (2)'!$A$1,COLUMN()-1,ROW()-1,,)</f>
        <v>#DIV/0!</v>
      </c>
      <c r="B54" cm="1">
        <f t="array" aca="1" ref="B54" ca="1">OFFSET('Sheet1 (2)'!$A$1,COLUMN()-1,ROW()-1,,)</f>
        <v>0</v>
      </c>
      <c r="C54" cm="1">
        <f t="array" aca="1" ref="C54" ca="1">OFFSET('Sheet1 (2)'!$A$1,COLUMN()-1,ROW()-1,,)</f>
        <v>0</v>
      </c>
      <c r="D54" cm="1">
        <f t="array" aca="1" ref="D54" ca="1">OFFSET('Sheet1 (2)'!$A$1,COLUMN()-1,ROW()-1,,)</f>
        <v>0</v>
      </c>
      <c r="E54" s="2" t="str" cm="1">
        <f t="array" aca="1" ref="E54" ca="1">OFFSET('Sheet1 (2)'!$A$1,COLUMN()-1,ROW()-1,,)</f>
        <v>Feedback - Si la réponse comporte moins de 2 étoiles OUI, merci de préciser votre réponse dans le champs ci-dessous :8</v>
      </c>
      <c r="F54" t="e" cm="1">
        <f t="array" aca="1" ref="F54" ca="1">OFFSET(Sheet1!$A$1,COLUMN()-6,ROW()-1,,)</f>
        <v>#DIV/0!</v>
      </c>
      <c r="G54" cm="1">
        <f t="array" aca="1" ref="G54" ca="1">OFFSET(Sheet1!$A$1,COLUMN()-6,ROW()-1,,)</f>
        <v>0</v>
      </c>
      <c r="H54" cm="1">
        <f t="array" aca="1" ref="H54" ca="1">OFFSET(Sheet1!$A$1,COLUMN()-6,ROW()-1,,)</f>
        <v>0</v>
      </c>
      <c r="I54" cm="1">
        <f t="array" aca="1" ref="I54" ca="1">OFFSET(Sheet1!$A$1,COLUMN()-6,ROW()-1,,)</f>
        <v>0</v>
      </c>
      <c r="J54" t="str" cm="1">
        <f t="array" aca="1" ref="J54" ca="1">OFFSET(Sheet1!$A$1,COLUMN()-6,ROW()-1,,)</f>
        <v>Feedback - Si la réponse comporte moins de 2 étoiles OUI, merci de préciser votre réponse dans le champs ci-dessous :8</v>
      </c>
    </row>
    <row r="55" spans="1:10" hidden="1" x14ac:dyDescent="0.25">
      <c r="A55" t="e" cm="1">
        <f t="array" aca="1" ref="A55" ca="1">OFFSET('Sheet1 (2)'!$A$1,COLUMN()-1,ROW()-1,,)</f>
        <v>#DIV/0!</v>
      </c>
      <c r="B55" cm="1">
        <f t="array" aca="1" ref="B55" ca="1">OFFSET('Sheet1 (2)'!$A$1,COLUMN()-1,ROW()-1,,)</f>
        <v>0</v>
      </c>
      <c r="C55" cm="1">
        <f t="array" aca="1" ref="C55" ca="1">OFFSET('Sheet1 (2)'!$A$1,COLUMN()-1,ROW()-1,,)</f>
        <v>0</v>
      </c>
      <c r="D55" cm="1">
        <f t="array" aca="1" ref="D55" ca="1">OFFSET('Sheet1 (2)'!$A$1,COLUMN()-1,ROW()-1,,)</f>
        <v>0</v>
      </c>
      <c r="E55" s="2" t="str" cm="1">
        <f t="array" aca="1" ref="E55" ca="1">OFFSET('Sheet1 (2)'!$A$1,COLUMN()-1,ROW()-1,,)</f>
        <v>Points - Si la réponse comporte moins de 2 étoiles OUI, merci de préciser votre réponse dans le champs ci-dessous :8</v>
      </c>
      <c r="F55" t="e" cm="1">
        <f t="array" aca="1" ref="F55" ca="1">OFFSET(Sheet1!$A$1,COLUMN()-6,ROW()-1,,)</f>
        <v>#DIV/0!</v>
      </c>
      <c r="G55" cm="1">
        <f t="array" aca="1" ref="G55" ca="1">OFFSET(Sheet1!$A$1,COLUMN()-6,ROW()-1,,)</f>
        <v>0</v>
      </c>
      <c r="H55" cm="1">
        <f t="array" aca="1" ref="H55" ca="1">OFFSET(Sheet1!$A$1,COLUMN()-6,ROW()-1,,)</f>
        <v>0</v>
      </c>
      <c r="I55" cm="1">
        <f t="array" aca="1" ref="I55" ca="1">OFFSET(Sheet1!$A$1,COLUMN()-6,ROW()-1,,)</f>
        <v>0</v>
      </c>
      <c r="J55" t="str" cm="1">
        <f t="array" aca="1" ref="J55" ca="1">OFFSET(Sheet1!$A$1,COLUMN()-6,ROW()-1,,)</f>
        <v>Points - Si la réponse comporte moins de 2 étoiles OUI, merci de préciser votre réponse dans le champs ci-dessous :8</v>
      </c>
    </row>
    <row r="56" spans="1:10" x14ac:dyDescent="0.25">
      <c r="A56" cm="1">
        <f t="array" aca="1" ref="A56" ca="1">OFFSET('Sheet1 (2)'!$A$1,COLUMN()-1,ROW()-1,,)</f>
        <v>4.8571428571428568</v>
      </c>
      <c r="B56" cm="1">
        <f t="array" aca="1" ref="B56" ca="1">OFFSET('Sheet1 (2)'!$A$1,COLUMN()-1,ROW()-1,,)</f>
        <v>4</v>
      </c>
      <c r="C56" cm="1">
        <f t="array" aca="1" ref="C56" ca="1">OFFSET('Sheet1 (2)'!$A$1,COLUMN()-1,ROW()-1,,)</f>
        <v>5</v>
      </c>
      <c r="D56" cm="1">
        <f t="array" aca="1" ref="D56" ca="1">OFFSET('Sheet1 (2)'!$A$1,COLUMN()-1,ROW()-1,,)</f>
        <v>7</v>
      </c>
      <c r="E56" s="2" t="str" cm="1">
        <f t="array" aca="1" ref="E56" ca="1">OFFSET('Sheet1 (2)'!$A$1,COLUMN()-1,ROW()-1,,)</f>
        <v>RESISTANCE  : Les personnes impactées par ce changement démontrent l'engagement nécessaire pour réussir sa mise en place</v>
      </c>
      <c r="F56" cm="1">
        <f t="array" aca="1" ref="F56" ca="1">OFFSET(Sheet1!$A$1,COLUMN()-6,ROW()-1,,)</f>
        <v>4.1111111111111107</v>
      </c>
      <c r="G56" cm="1">
        <f t="array" aca="1" ref="G56" ca="1">OFFSET(Sheet1!$A$1,COLUMN()-6,ROW()-1,,)</f>
        <v>1</v>
      </c>
      <c r="H56" cm="1">
        <f t="array" aca="1" ref="H56" ca="1">OFFSET(Sheet1!$A$1,COLUMN()-6,ROW()-1,,)</f>
        <v>5</v>
      </c>
      <c r="I56" cm="1">
        <f t="array" aca="1" ref="I56" ca="1">OFFSET(Sheet1!$A$1,COLUMN()-6,ROW()-1,,)</f>
        <v>27</v>
      </c>
      <c r="J56" t="str" cm="1">
        <f t="array" aca="1" ref="J56" ca="1">OFFSET(Sheet1!$A$1,COLUMN()-6,ROW()-1,,)</f>
        <v>RESISTANCE  : Les personnes impactées par ce changement démontrent l'engagement nécessaire pour réussir sa mise en place</v>
      </c>
    </row>
    <row r="57" spans="1:10" hidden="1" x14ac:dyDescent="0.25">
      <c r="A57" t="e" cm="1">
        <f t="array" aca="1" ref="A57" ca="1">OFFSET('Sheet1 (2)'!$A$1,COLUMN()-1,ROW()-1,,)</f>
        <v>#DIV/0!</v>
      </c>
      <c r="B57" cm="1">
        <f t="array" aca="1" ref="B57" ca="1">OFFSET('Sheet1 (2)'!$A$1,COLUMN()-1,ROW()-1,,)</f>
        <v>0</v>
      </c>
      <c r="C57" cm="1">
        <f t="array" aca="1" ref="C57" ca="1">OFFSET('Sheet1 (2)'!$A$1,COLUMN()-1,ROW()-1,,)</f>
        <v>0</v>
      </c>
      <c r="D57" cm="1">
        <f t="array" aca="1" ref="D57" ca="1">OFFSET('Sheet1 (2)'!$A$1,COLUMN()-1,ROW()-1,,)</f>
        <v>0</v>
      </c>
      <c r="E57" s="2" t="str" cm="1">
        <f t="array" aca="1" ref="E57" ca="1">OFFSET('Sheet1 (2)'!$A$1,COLUMN()-1,ROW()-1,,)</f>
        <v>Feedback - RESISTANCE  : Les personnes impactées par ce changement démontrent l'engagement nécessaire pour réussir sa mise en place</v>
      </c>
      <c r="F57" t="e" cm="1">
        <f t="array" aca="1" ref="F57" ca="1">OFFSET(Sheet1!$A$1,COLUMN()-6,ROW()-1,,)</f>
        <v>#DIV/0!</v>
      </c>
      <c r="G57" cm="1">
        <f t="array" aca="1" ref="G57" ca="1">OFFSET(Sheet1!$A$1,COLUMN()-6,ROW()-1,,)</f>
        <v>0</v>
      </c>
      <c r="H57" cm="1">
        <f t="array" aca="1" ref="H57" ca="1">OFFSET(Sheet1!$A$1,COLUMN()-6,ROW()-1,,)</f>
        <v>0</v>
      </c>
      <c r="I57" cm="1">
        <f t="array" aca="1" ref="I57" ca="1">OFFSET(Sheet1!$A$1,COLUMN()-6,ROW()-1,,)</f>
        <v>0</v>
      </c>
      <c r="J57" t="str" cm="1">
        <f t="array" aca="1" ref="J57" ca="1">OFFSET(Sheet1!$A$1,COLUMN()-6,ROW()-1,,)</f>
        <v>Feedback - RESISTANCE  : Les personnes impactées par ce changement démontrent l'engagement nécessaire pour réussir sa mise en place</v>
      </c>
    </row>
    <row r="58" spans="1:10" hidden="1" x14ac:dyDescent="0.25">
      <c r="A58" t="e" cm="1">
        <f t="array" aca="1" ref="A58" ca="1">OFFSET('Sheet1 (2)'!$A$1,COLUMN()-1,ROW()-1,,)</f>
        <v>#DIV/0!</v>
      </c>
      <c r="B58" cm="1">
        <f t="array" aca="1" ref="B58" ca="1">OFFSET('Sheet1 (2)'!$A$1,COLUMN()-1,ROW()-1,,)</f>
        <v>0</v>
      </c>
      <c r="C58" cm="1">
        <f t="array" aca="1" ref="C58" ca="1">OFFSET('Sheet1 (2)'!$A$1,COLUMN()-1,ROW()-1,,)</f>
        <v>0</v>
      </c>
      <c r="D58" cm="1">
        <f t="array" aca="1" ref="D58" ca="1">OFFSET('Sheet1 (2)'!$A$1,COLUMN()-1,ROW()-1,,)</f>
        <v>0</v>
      </c>
      <c r="E58" s="2" t="str" cm="1">
        <f t="array" aca="1" ref="E58" ca="1">OFFSET('Sheet1 (2)'!$A$1,COLUMN()-1,ROW()-1,,)</f>
        <v>Points - RESISTANCE  : Les personnes impactées par ce changement démontrent l'engagement nécessaire pour réussir sa mise en place</v>
      </c>
      <c r="F58" t="e" cm="1">
        <f t="array" aca="1" ref="F58" ca="1">OFFSET(Sheet1!$A$1,COLUMN()-6,ROW()-1,,)</f>
        <v>#DIV/0!</v>
      </c>
      <c r="G58" cm="1">
        <f t="array" aca="1" ref="G58" ca="1">OFFSET(Sheet1!$A$1,COLUMN()-6,ROW()-1,,)</f>
        <v>0</v>
      </c>
      <c r="H58" cm="1">
        <f t="array" aca="1" ref="H58" ca="1">OFFSET(Sheet1!$A$1,COLUMN()-6,ROW()-1,,)</f>
        <v>0</v>
      </c>
      <c r="I58" cm="1">
        <f t="array" aca="1" ref="I58" ca="1">OFFSET(Sheet1!$A$1,COLUMN()-6,ROW()-1,,)</f>
        <v>0</v>
      </c>
      <c r="J58" t="str" cm="1">
        <f t="array" aca="1" ref="J58" ca="1">OFFSET(Sheet1!$A$1,COLUMN()-6,ROW()-1,,)</f>
        <v>Points - RESISTANCE  : Les personnes impactées par ce changement démontrent l'engagement nécessaire pour réussir sa mise en place</v>
      </c>
    </row>
    <row r="59" spans="1:10" hidden="1" x14ac:dyDescent="0.25">
      <c r="A59" t="e" cm="1">
        <f t="array" aca="1" ref="A59" ca="1">OFFSET('Sheet1 (2)'!$A$1,COLUMN()-1,ROW()-1,,)</f>
        <v>#DIV/0!</v>
      </c>
      <c r="B59" cm="1">
        <f t="array" aca="1" ref="B59" ca="1">OFFSET('Sheet1 (2)'!$A$1,COLUMN()-1,ROW()-1,,)</f>
        <v>0</v>
      </c>
      <c r="C59" cm="1">
        <f t="array" aca="1" ref="C59" ca="1">OFFSET('Sheet1 (2)'!$A$1,COLUMN()-1,ROW()-1,,)</f>
        <v>0</v>
      </c>
      <c r="D59" cm="1">
        <f t="array" aca="1" ref="D59" ca="1">OFFSET('Sheet1 (2)'!$A$1,COLUMN()-1,ROW()-1,,)</f>
        <v>0</v>
      </c>
      <c r="E59" s="2" t="str" cm="1">
        <f t="array" aca="1" ref="E59" ca="1">OFFSET('Sheet1 (2)'!$A$1,COLUMN()-1,ROW()-1,,)</f>
        <v>Si la réponse comporte moins de 2 étoiles OUI, merci de préciser votre réponse dans le champs ci-dessous :9</v>
      </c>
      <c r="F59" t="e" cm="1">
        <f t="array" aca="1" ref="F59" ca="1">OFFSET(Sheet1!$A$1,COLUMN()-6,ROW()-1,,)</f>
        <v>#DIV/0!</v>
      </c>
      <c r="G59" cm="1">
        <f t="array" aca="1" ref="G59" ca="1">OFFSET(Sheet1!$A$1,COLUMN()-6,ROW()-1,,)</f>
        <v>0</v>
      </c>
      <c r="H59" cm="1">
        <f t="array" aca="1" ref="H59" ca="1">OFFSET(Sheet1!$A$1,COLUMN()-6,ROW()-1,,)</f>
        <v>0</v>
      </c>
      <c r="I59" cm="1">
        <f t="array" aca="1" ref="I59" ca="1">OFFSET(Sheet1!$A$1,COLUMN()-6,ROW()-1,,)</f>
        <v>0</v>
      </c>
      <c r="J59" t="str" cm="1">
        <f t="array" aca="1" ref="J59" ca="1">OFFSET(Sheet1!$A$1,COLUMN()-6,ROW()-1,,)</f>
        <v>Si la réponse comporte moins de 2 étoiles OUI, merci de préciser votre réponse dans le champs ci-dessous :9</v>
      </c>
    </row>
    <row r="60" spans="1:10" hidden="1" x14ac:dyDescent="0.25">
      <c r="A60" t="e" cm="1">
        <f t="array" aca="1" ref="A60" ca="1">OFFSET('Sheet1 (2)'!$A$1,COLUMN()-1,ROW()-1,,)</f>
        <v>#DIV/0!</v>
      </c>
      <c r="B60" cm="1">
        <f t="array" aca="1" ref="B60" ca="1">OFFSET('Sheet1 (2)'!$A$1,COLUMN()-1,ROW()-1,,)</f>
        <v>0</v>
      </c>
      <c r="C60" cm="1">
        <f t="array" aca="1" ref="C60" ca="1">OFFSET('Sheet1 (2)'!$A$1,COLUMN()-1,ROW()-1,,)</f>
        <v>0</v>
      </c>
      <c r="D60" cm="1">
        <f t="array" aca="1" ref="D60" ca="1">OFFSET('Sheet1 (2)'!$A$1,COLUMN()-1,ROW()-1,,)</f>
        <v>0</v>
      </c>
      <c r="E60" s="2" t="str" cm="1">
        <f t="array" aca="1" ref="E60" ca="1">OFFSET('Sheet1 (2)'!$A$1,COLUMN()-1,ROW()-1,,)</f>
        <v>Feedback - Si la réponse comporte moins de 2 étoiles OUI, merci de préciser votre réponse dans le champs ci-dessous :9</v>
      </c>
      <c r="F60" t="e" cm="1">
        <f t="array" aca="1" ref="F60" ca="1">OFFSET(Sheet1!$A$1,COLUMN()-6,ROW()-1,,)</f>
        <v>#DIV/0!</v>
      </c>
      <c r="G60" cm="1">
        <f t="array" aca="1" ref="G60" ca="1">OFFSET(Sheet1!$A$1,COLUMN()-6,ROW()-1,,)</f>
        <v>0</v>
      </c>
      <c r="H60" cm="1">
        <f t="array" aca="1" ref="H60" ca="1">OFFSET(Sheet1!$A$1,COLUMN()-6,ROW()-1,,)</f>
        <v>0</v>
      </c>
      <c r="I60" cm="1">
        <f t="array" aca="1" ref="I60" ca="1">OFFSET(Sheet1!$A$1,COLUMN()-6,ROW()-1,,)</f>
        <v>0</v>
      </c>
      <c r="J60" t="str" cm="1">
        <f t="array" aca="1" ref="J60" ca="1">OFFSET(Sheet1!$A$1,COLUMN()-6,ROW()-1,,)</f>
        <v>Feedback - Si la réponse comporte moins de 2 étoiles OUI, merci de préciser votre réponse dans le champs ci-dessous :9</v>
      </c>
    </row>
    <row r="61" spans="1:10" hidden="1" x14ac:dyDescent="0.25">
      <c r="A61" t="e" cm="1">
        <f t="array" aca="1" ref="A61" ca="1">OFFSET('Sheet1 (2)'!$A$1,COLUMN()-1,ROW()-1,,)</f>
        <v>#DIV/0!</v>
      </c>
      <c r="B61" cm="1">
        <f t="array" aca="1" ref="B61" ca="1">OFFSET('Sheet1 (2)'!$A$1,COLUMN()-1,ROW()-1,,)</f>
        <v>0</v>
      </c>
      <c r="C61" cm="1">
        <f t="array" aca="1" ref="C61" ca="1">OFFSET('Sheet1 (2)'!$A$1,COLUMN()-1,ROW()-1,,)</f>
        <v>0</v>
      </c>
      <c r="D61" cm="1">
        <f t="array" aca="1" ref="D61" ca="1">OFFSET('Sheet1 (2)'!$A$1,COLUMN()-1,ROW()-1,,)</f>
        <v>0</v>
      </c>
      <c r="E61" s="2" t="str" cm="1">
        <f t="array" aca="1" ref="E61" ca="1">OFFSET('Sheet1 (2)'!$A$1,COLUMN()-1,ROW()-1,,)</f>
        <v>Points - Si la réponse comporte moins de 2 étoiles OUI, merci de préciser votre réponse dans le champs ci-dessous :9</v>
      </c>
      <c r="F61" t="e" cm="1">
        <f t="array" aca="1" ref="F61" ca="1">OFFSET(Sheet1!$A$1,COLUMN()-6,ROW()-1,,)</f>
        <v>#DIV/0!</v>
      </c>
      <c r="G61" cm="1">
        <f t="array" aca="1" ref="G61" ca="1">OFFSET(Sheet1!$A$1,COLUMN()-6,ROW()-1,,)</f>
        <v>0</v>
      </c>
      <c r="H61" cm="1">
        <f t="array" aca="1" ref="H61" ca="1">OFFSET(Sheet1!$A$1,COLUMN()-6,ROW()-1,,)</f>
        <v>0</v>
      </c>
      <c r="I61" cm="1">
        <f t="array" aca="1" ref="I61" ca="1">OFFSET(Sheet1!$A$1,COLUMN()-6,ROW()-1,,)</f>
        <v>0</v>
      </c>
      <c r="J61" t="str" cm="1">
        <f t="array" aca="1" ref="J61" ca="1">OFFSET(Sheet1!$A$1,COLUMN()-6,ROW()-1,,)</f>
        <v>Points - Si la réponse comporte moins de 2 étoiles OUI, merci de préciser votre réponse dans le champs ci-dessous :9</v>
      </c>
    </row>
    <row r="62" spans="1:10" x14ac:dyDescent="0.25">
      <c r="A62" cm="1">
        <f t="array" aca="1" ref="A62" ca="1">OFFSET('Sheet1 (2)'!$A$1,COLUMN()-1,ROW()-1,,)</f>
        <v>4.4285714285714288</v>
      </c>
      <c r="B62" cm="1">
        <f t="array" aca="1" ref="B62" ca="1">OFFSET('Sheet1 (2)'!$A$1,COLUMN()-1,ROW()-1,,)</f>
        <v>4</v>
      </c>
      <c r="C62" cm="1">
        <f t="array" aca="1" ref="C62" ca="1">OFFSET('Sheet1 (2)'!$A$1,COLUMN()-1,ROW()-1,,)</f>
        <v>5</v>
      </c>
      <c r="D62" cm="1">
        <f t="array" aca="1" ref="D62" ca="1">OFFSET('Sheet1 (2)'!$A$1,COLUMN()-1,ROW()-1,,)</f>
        <v>7</v>
      </c>
      <c r="E62" s="2" t="str" cm="1">
        <f t="array" aca="1" ref="E62" ca="1">OFFSET('Sheet1 (2)'!$A$1,COLUMN()-1,ROW()-1,,)</f>
        <v>SYNERGIE : Nos efforts de collaboration pour ce projet nous font gagner du temps plus qu’il n’en coute</v>
      </c>
      <c r="F62" cm="1">
        <f t="array" aca="1" ref="F62" ca="1">OFFSET(Sheet1!$A$1,COLUMN()-6,ROW()-1,,)</f>
        <v>3.7777777777777777</v>
      </c>
      <c r="G62" cm="1">
        <f t="array" aca="1" ref="G62" ca="1">OFFSET(Sheet1!$A$1,COLUMN()-6,ROW()-1,,)</f>
        <v>1</v>
      </c>
      <c r="H62" cm="1">
        <f t="array" aca="1" ref="H62" ca="1">OFFSET(Sheet1!$A$1,COLUMN()-6,ROW()-1,,)</f>
        <v>5</v>
      </c>
      <c r="I62" cm="1">
        <f t="array" aca="1" ref="I62" ca="1">OFFSET(Sheet1!$A$1,COLUMN()-6,ROW()-1,,)</f>
        <v>27</v>
      </c>
      <c r="J62" t="str" cm="1">
        <f t="array" aca="1" ref="J62" ca="1">OFFSET(Sheet1!$A$1,COLUMN()-6,ROW()-1,,)</f>
        <v>SYNERGIE : Nos efforts de collaboration pour ce projet nous font gagner du temps plus qu’il n’en coute</v>
      </c>
    </row>
    <row r="63" spans="1:10" hidden="1" x14ac:dyDescent="0.25">
      <c r="A63" t="e" cm="1">
        <f t="array" aca="1" ref="A63" ca="1">OFFSET('Sheet1 (2)'!$A$1,COLUMN()-1,ROW()-1,,)</f>
        <v>#DIV/0!</v>
      </c>
      <c r="B63" cm="1">
        <f t="array" aca="1" ref="B63" ca="1">OFFSET('Sheet1 (2)'!$A$1,COLUMN()-1,ROW()-1,,)</f>
        <v>0</v>
      </c>
      <c r="C63" cm="1">
        <f t="array" aca="1" ref="C63" ca="1">OFFSET('Sheet1 (2)'!$A$1,COLUMN()-1,ROW()-1,,)</f>
        <v>0</v>
      </c>
      <c r="D63" cm="1">
        <f t="array" aca="1" ref="D63" ca="1">OFFSET('Sheet1 (2)'!$A$1,COLUMN()-1,ROW()-1,,)</f>
        <v>0</v>
      </c>
      <c r="E63" s="2" t="str" cm="1">
        <f t="array" aca="1" ref="E63" ca="1">OFFSET('Sheet1 (2)'!$A$1,COLUMN()-1,ROW()-1,,)</f>
        <v>Feedback - SYNERGIE : Nos efforts de collaboration pour ce projet nous font gagner du temps plus qu’il n’en coute</v>
      </c>
      <c r="F63" t="e" cm="1">
        <f t="array" aca="1" ref="F63" ca="1">OFFSET(Sheet1!$A$1,COLUMN()-6,ROW()-1,,)</f>
        <v>#DIV/0!</v>
      </c>
      <c r="G63" cm="1">
        <f t="array" aca="1" ref="G63" ca="1">OFFSET(Sheet1!$A$1,COLUMN()-6,ROW()-1,,)</f>
        <v>0</v>
      </c>
      <c r="H63" cm="1">
        <f t="array" aca="1" ref="H63" ca="1">OFFSET(Sheet1!$A$1,COLUMN()-6,ROW()-1,,)</f>
        <v>0</v>
      </c>
      <c r="I63" cm="1">
        <f t="array" aca="1" ref="I63" ca="1">OFFSET(Sheet1!$A$1,COLUMN()-6,ROW()-1,,)</f>
        <v>0</v>
      </c>
      <c r="J63" t="str" cm="1">
        <f t="array" aca="1" ref="J63" ca="1">OFFSET(Sheet1!$A$1,COLUMN()-6,ROW()-1,,)</f>
        <v>Feedback - SYNERGIE : Nos efforts de collaboration pour ce projet nous font gagner du temps plus qu’il n’en coute</v>
      </c>
    </row>
    <row r="64" spans="1:10" hidden="1" x14ac:dyDescent="0.25">
      <c r="A64" t="e" cm="1">
        <f t="array" aca="1" ref="A64" ca="1">OFFSET('Sheet1 (2)'!$A$1,COLUMN()-1,ROW()-1,,)</f>
        <v>#DIV/0!</v>
      </c>
      <c r="B64" cm="1">
        <f t="array" aca="1" ref="B64" ca="1">OFFSET('Sheet1 (2)'!$A$1,COLUMN()-1,ROW()-1,,)</f>
        <v>0</v>
      </c>
      <c r="C64" cm="1">
        <f t="array" aca="1" ref="C64" ca="1">OFFSET('Sheet1 (2)'!$A$1,COLUMN()-1,ROW()-1,,)</f>
        <v>0</v>
      </c>
      <c r="D64" cm="1">
        <f t="array" aca="1" ref="D64" ca="1">OFFSET('Sheet1 (2)'!$A$1,COLUMN()-1,ROW()-1,,)</f>
        <v>0</v>
      </c>
      <c r="E64" s="2" t="str" cm="1">
        <f t="array" aca="1" ref="E64" ca="1">OFFSET('Sheet1 (2)'!$A$1,COLUMN()-1,ROW()-1,,)</f>
        <v>Points - SYNERGIE : Nos efforts de collaboration pour ce projet nous font gagner du temps plus qu’il n’en coute</v>
      </c>
      <c r="F64" t="e" cm="1">
        <f t="array" aca="1" ref="F64" ca="1">OFFSET(Sheet1!$A$1,COLUMN()-6,ROW()-1,,)</f>
        <v>#DIV/0!</v>
      </c>
      <c r="G64" cm="1">
        <f t="array" aca="1" ref="G64" ca="1">OFFSET(Sheet1!$A$1,COLUMN()-6,ROW()-1,,)</f>
        <v>0</v>
      </c>
      <c r="H64" cm="1">
        <f t="array" aca="1" ref="H64" ca="1">OFFSET(Sheet1!$A$1,COLUMN()-6,ROW()-1,,)</f>
        <v>0</v>
      </c>
      <c r="I64" cm="1">
        <f t="array" aca="1" ref="I64" ca="1">OFFSET(Sheet1!$A$1,COLUMN()-6,ROW()-1,,)</f>
        <v>0</v>
      </c>
      <c r="J64" t="str" cm="1">
        <f t="array" aca="1" ref="J64" ca="1">OFFSET(Sheet1!$A$1,COLUMN()-6,ROW()-1,,)</f>
        <v>Points - SYNERGIE : Nos efforts de collaboration pour ce projet nous font gagner du temps plus qu’il n’en coute</v>
      </c>
    </row>
    <row r="65" spans="1:10" hidden="1" x14ac:dyDescent="0.25">
      <c r="A65" t="e" cm="1">
        <f t="array" aca="1" ref="A65" ca="1">OFFSET('Sheet1 (2)'!$A$1,COLUMN()-1,ROW()-1,,)</f>
        <v>#DIV/0!</v>
      </c>
      <c r="B65" cm="1">
        <f t="array" aca="1" ref="B65" ca="1">OFFSET('Sheet1 (2)'!$A$1,COLUMN()-1,ROW()-1,,)</f>
        <v>0</v>
      </c>
      <c r="C65" cm="1">
        <f t="array" aca="1" ref="C65" ca="1">OFFSET('Sheet1 (2)'!$A$1,COLUMN()-1,ROW()-1,,)</f>
        <v>0</v>
      </c>
      <c r="D65" cm="1">
        <f t="array" aca="1" ref="D65" ca="1">OFFSET('Sheet1 (2)'!$A$1,COLUMN()-1,ROW()-1,,)</f>
        <v>0</v>
      </c>
      <c r="E65" s="2" t="str" cm="1">
        <f t="array" aca="1" ref="E65" ca="1">OFFSET('Sheet1 (2)'!$A$1,COLUMN()-1,ROW()-1,,)</f>
        <v>Si la réponse comporte moins de 2 étoiles OUI, merci de préciser votre réponse dans le champs ci-dessous :10</v>
      </c>
      <c r="F65" t="e" cm="1">
        <f t="array" aca="1" ref="F65" ca="1">OFFSET(Sheet1!$A$1,COLUMN()-6,ROW()-1,,)</f>
        <v>#DIV/0!</v>
      </c>
      <c r="G65" cm="1">
        <f t="array" aca="1" ref="G65" ca="1">OFFSET(Sheet1!$A$1,COLUMN()-6,ROW()-1,,)</f>
        <v>0</v>
      </c>
      <c r="H65" cm="1">
        <f t="array" aca="1" ref="H65" ca="1">OFFSET(Sheet1!$A$1,COLUMN()-6,ROW()-1,,)</f>
        <v>0</v>
      </c>
      <c r="I65" cm="1">
        <f t="array" aca="1" ref="I65" ca="1">OFFSET(Sheet1!$A$1,COLUMN()-6,ROW()-1,,)</f>
        <v>0</v>
      </c>
      <c r="J65" t="str" cm="1">
        <f t="array" aca="1" ref="J65" ca="1">OFFSET(Sheet1!$A$1,COLUMN()-6,ROW()-1,,)</f>
        <v>Si la réponse comporte moins de 2 étoiles OUI, merci de préciser votre réponse dans le champs ci-dessous :10</v>
      </c>
    </row>
    <row r="66" spans="1:10" hidden="1" x14ac:dyDescent="0.25">
      <c r="A66" t="e" cm="1">
        <f t="array" aca="1" ref="A66" ca="1">OFFSET('Sheet1 (2)'!$A$1,COLUMN()-1,ROW()-1,,)</f>
        <v>#DIV/0!</v>
      </c>
      <c r="B66" cm="1">
        <f t="array" aca="1" ref="B66" ca="1">OFFSET('Sheet1 (2)'!$A$1,COLUMN()-1,ROW()-1,,)</f>
        <v>0</v>
      </c>
      <c r="C66" cm="1">
        <f t="array" aca="1" ref="C66" ca="1">OFFSET('Sheet1 (2)'!$A$1,COLUMN()-1,ROW()-1,,)</f>
        <v>0</v>
      </c>
      <c r="D66" cm="1">
        <f t="array" aca="1" ref="D66" ca="1">OFFSET('Sheet1 (2)'!$A$1,COLUMN()-1,ROW()-1,,)</f>
        <v>0</v>
      </c>
      <c r="E66" s="2" t="str" cm="1">
        <f t="array" aca="1" ref="E66" ca="1">OFFSET('Sheet1 (2)'!$A$1,COLUMN()-1,ROW()-1,,)</f>
        <v>Feedback - Si la réponse comporte moins de 2 étoiles OUI, merci de préciser votre réponse dans le champs ci-dessous :10</v>
      </c>
      <c r="F66" t="e" cm="1">
        <f t="array" aca="1" ref="F66" ca="1">OFFSET(Sheet1!$A$1,COLUMN()-6,ROW()-1,,)</f>
        <v>#DIV/0!</v>
      </c>
      <c r="G66" cm="1">
        <f t="array" aca="1" ref="G66" ca="1">OFFSET(Sheet1!$A$1,COLUMN()-6,ROW()-1,,)</f>
        <v>0</v>
      </c>
      <c r="H66" cm="1">
        <f t="array" aca="1" ref="H66" ca="1">OFFSET(Sheet1!$A$1,COLUMN()-6,ROW()-1,,)</f>
        <v>0</v>
      </c>
      <c r="I66" cm="1">
        <f t="array" aca="1" ref="I66" ca="1">OFFSET(Sheet1!$A$1,COLUMN()-6,ROW()-1,,)</f>
        <v>0</v>
      </c>
      <c r="J66" t="str" cm="1">
        <f t="array" aca="1" ref="J66" ca="1">OFFSET(Sheet1!$A$1,COLUMN()-6,ROW()-1,,)</f>
        <v>Feedback - Si la réponse comporte moins de 2 étoiles OUI, merci de préciser votre réponse dans le champs ci-dessous :10</v>
      </c>
    </row>
    <row r="67" spans="1:10" hidden="1" x14ac:dyDescent="0.25">
      <c r="A67" t="e" cm="1">
        <f t="array" aca="1" ref="A67" ca="1">OFFSET('Sheet1 (2)'!$A$1,COLUMN()-1,ROW()-1,,)</f>
        <v>#DIV/0!</v>
      </c>
      <c r="B67" cm="1">
        <f t="array" aca="1" ref="B67" ca="1">OFFSET('Sheet1 (2)'!$A$1,COLUMN()-1,ROW()-1,,)</f>
        <v>0</v>
      </c>
      <c r="C67" cm="1">
        <f t="array" aca="1" ref="C67" ca="1">OFFSET('Sheet1 (2)'!$A$1,COLUMN()-1,ROW()-1,,)</f>
        <v>0</v>
      </c>
      <c r="D67" cm="1">
        <f t="array" aca="1" ref="D67" ca="1">OFFSET('Sheet1 (2)'!$A$1,COLUMN()-1,ROW()-1,,)</f>
        <v>0</v>
      </c>
      <c r="E67" s="2" t="str" cm="1">
        <f t="array" aca="1" ref="E67" ca="1">OFFSET('Sheet1 (2)'!$A$1,COLUMN()-1,ROW()-1,,)</f>
        <v>Points - Si la réponse comporte moins de 2 étoiles OUI, merci de préciser votre réponse dans le champs ci-dessous :10</v>
      </c>
      <c r="F67" t="e" cm="1">
        <f t="array" aca="1" ref="F67" ca="1">OFFSET(Sheet1!$A$1,COLUMN()-6,ROW()-1,,)</f>
        <v>#DIV/0!</v>
      </c>
      <c r="G67" cm="1">
        <f t="array" aca="1" ref="G67" ca="1">OFFSET(Sheet1!$A$1,COLUMN()-6,ROW()-1,,)</f>
        <v>0</v>
      </c>
      <c r="H67" cm="1">
        <f t="array" aca="1" ref="H67" ca="1">OFFSET(Sheet1!$A$1,COLUMN()-6,ROW()-1,,)</f>
        <v>0</v>
      </c>
      <c r="I67" cm="1">
        <f t="array" aca="1" ref="I67" ca="1">OFFSET(Sheet1!$A$1,COLUMN()-6,ROW()-1,,)</f>
        <v>0</v>
      </c>
      <c r="J67" t="str" cm="1">
        <f t="array" aca="1" ref="J67" ca="1">OFFSET(Sheet1!$A$1,COLUMN()-6,ROW()-1,,)</f>
        <v>Points - Si la réponse comporte moins de 2 étoiles OUI, merci de préciser votre réponse dans le champs ci-dessous :10</v>
      </c>
    </row>
    <row r="68" spans="1:10" x14ac:dyDescent="0.25">
      <c r="A68" cm="1">
        <f t="array" aca="1" ref="A68" ca="1">OFFSET('Sheet1 (2)'!$A$1,COLUMN()-1,ROW()-1,,)</f>
        <v>4.5714285714285712</v>
      </c>
      <c r="B68" cm="1">
        <f t="array" aca="1" ref="B68" ca="1">OFFSET('Sheet1 (2)'!$A$1,COLUMN()-1,ROW()-1,,)</f>
        <v>4</v>
      </c>
      <c r="C68" cm="1">
        <f t="array" aca="1" ref="C68" ca="1">OFFSET('Sheet1 (2)'!$A$1,COLUMN()-1,ROW()-1,,)</f>
        <v>5</v>
      </c>
      <c r="D68" cm="1">
        <f t="array" aca="1" ref="D68" ca="1">OFFSET('Sheet1 (2)'!$A$1,COLUMN()-1,ROW()-1,,)</f>
        <v>7</v>
      </c>
      <c r="E68" s="2" t="str" cm="1">
        <f t="array" aca="1" ref="E68" ca="1">OFFSET('Sheet1 (2)'!$A$1,COLUMN()-1,ROW()-1,,)</f>
        <v>PARTENARIAT : Nos interactions avec des partenaires externes sont suffisantes pour supporter ce changement</v>
      </c>
      <c r="F68" cm="1">
        <f t="array" aca="1" ref="F68" ca="1">OFFSET(Sheet1!$A$1,COLUMN()-6,ROW()-1,,)</f>
        <v>3.7037037037037037</v>
      </c>
      <c r="G68" cm="1">
        <f t="array" aca="1" ref="G68" ca="1">OFFSET(Sheet1!$A$1,COLUMN()-6,ROW()-1,,)</f>
        <v>3</v>
      </c>
      <c r="H68" cm="1">
        <f t="array" aca="1" ref="H68" ca="1">OFFSET(Sheet1!$A$1,COLUMN()-6,ROW()-1,,)</f>
        <v>5</v>
      </c>
      <c r="I68" cm="1">
        <f t="array" aca="1" ref="I68" ca="1">OFFSET(Sheet1!$A$1,COLUMN()-6,ROW()-1,,)</f>
        <v>27</v>
      </c>
      <c r="J68" t="str" cm="1">
        <f t="array" aca="1" ref="J68" ca="1">OFFSET(Sheet1!$A$1,COLUMN()-6,ROW()-1,,)</f>
        <v>PARTENARIAT : Nos interactions avec des partenaires externes sont suffisantes pour supporter ce changement</v>
      </c>
    </row>
    <row r="69" spans="1:10" hidden="1" x14ac:dyDescent="0.25">
      <c r="A69" t="e" cm="1">
        <f t="array" aca="1" ref="A69" ca="1">OFFSET('Sheet1 (2)'!$A$1,COLUMN()-1,ROW()-1,,)</f>
        <v>#DIV/0!</v>
      </c>
      <c r="B69" cm="1">
        <f t="array" aca="1" ref="B69" ca="1">OFFSET('Sheet1 (2)'!$A$1,COLUMN()-1,ROW()-1,,)</f>
        <v>0</v>
      </c>
      <c r="C69" cm="1">
        <f t="array" aca="1" ref="C69" ca="1">OFFSET('Sheet1 (2)'!$A$1,COLUMN()-1,ROW()-1,,)</f>
        <v>0</v>
      </c>
      <c r="D69" cm="1">
        <f t="array" aca="1" ref="D69" ca="1">OFFSET('Sheet1 (2)'!$A$1,COLUMN()-1,ROW()-1,,)</f>
        <v>0</v>
      </c>
      <c r="E69" s="2" t="str" cm="1">
        <f t="array" aca="1" ref="E69" ca="1">OFFSET('Sheet1 (2)'!$A$1,COLUMN()-1,ROW()-1,,)</f>
        <v>Feedback - PARTENARIAT : Nos interactions avec des partenaires externes sont suffisantes pour supporter ce changement</v>
      </c>
      <c r="F69" t="e" cm="1">
        <f t="array" aca="1" ref="F69" ca="1">OFFSET(Sheet1!$A$1,COLUMN()-6,ROW()-1,,)</f>
        <v>#DIV/0!</v>
      </c>
      <c r="G69" cm="1">
        <f t="array" aca="1" ref="G69" ca="1">OFFSET(Sheet1!$A$1,COLUMN()-6,ROW()-1,,)</f>
        <v>0</v>
      </c>
      <c r="H69" cm="1">
        <f t="array" aca="1" ref="H69" ca="1">OFFSET(Sheet1!$A$1,COLUMN()-6,ROW()-1,,)</f>
        <v>0</v>
      </c>
      <c r="I69" cm="1">
        <f t="array" aca="1" ref="I69" ca="1">OFFSET(Sheet1!$A$1,COLUMN()-6,ROW()-1,,)</f>
        <v>0</v>
      </c>
      <c r="J69" t="str" cm="1">
        <f t="array" aca="1" ref="J69" ca="1">OFFSET(Sheet1!$A$1,COLUMN()-6,ROW()-1,,)</f>
        <v>Feedback - PARTENARIAT : Nos interactions avec des partenaires externes sont suffisantes pour supporter ce changement</v>
      </c>
    </row>
    <row r="70" spans="1:10" hidden="1" x14ac:dyDescent="0.25">
      <c r="A70" t="e" cm="1">
        <f t="array" aca="1" ref="A70" ca="1">OFFSET('Sheet1 (2)'!$A$1,COLUMN()-1,ROW()-1,,)</f>
        <v>#DIV/0!</v>
      </c>
      <c r="B70" cm="1">
        <f t="array" aca="1" ref="B70" ca="1">OFFSET('Sheet1 (2)'!$A$1,COLUMN()-1,ROW()-1,,)</f>
        <v>0</v>
      </c>
      <c r="C70" cm="1">
        <f t="array" aca="1" ref="C70" ca="1">OFFSET('Sheet1 (2)'!$A$1,COLUMN()-1,ROW()-1,,)</f>
        <v>0</v>
      </c>
      <c r="D70" cm="1">
        <f t="array" aca="1" ref="D70" ca="1">OFFSET('Sheet1 (2)'!$A$1,COLUMN()-1,ROW()-1,,)</f>
        <v>0</v>
      </c>
      <c r="E70" s="2" t="str" cm="1">
        <f t="array" aca="1" ref="E70" ca="1">OFFSET('Sheet1 (2)'!$A$1,COLUMN()-1,ROW()-1,,)</f>
        <v>Points - PARTENARIAT : Nos interactions avec des partenaires externes sont suffisantes pour supporter ce changement</v>
      </c>
      <c r="F70" t="e" cm="1">
        <f t="array" aca="1" ref="F70" ca="1">OFFSET(Sheet1!$A$1,COLUMN()-6,ROW()-1,,)</f>
        <v>#DIV/0!</v>
      </c>
      <c r="G70" cm="1">
        <f t="array" aca="1" ref="G70" ca="1">OFFSET(Sheet1!$A$1,COLUMN()-6,ROW()-1,,)</f>
        <v>0</v>
      </c>
      <c r="H70" cm="1">
        <f t="array" aca="1" ref="H70" ca="1">OFFSET(Sheet1!$A$1,COLUMN()-6,ROW()-1,,)</f>
        <v>0</v>
      </c>
      <c r="I70" cm="1">
        <f t="array" aca="1" ref="I70" ca="1">OFFSET(Sheet1!$A$1,COLUMN()-6,ROW()-1,,)</f>
        <v>0</v>
      </c>
      <c r="J70" t="str" cm="1">
        <f t="array" aca="1" ref="J70" ca="1">OFFSET(Sheet1!$A$1,COLUMN()-6,ROW()-1,,)</f>
        <v>Points - PARTENARIAT : Nos interactions avec des partenaires externes sont suffisantes pour supporter ce changement</v>
      </c>
    </row>
    <row r="71" spans="1:10" hidden="1" x14ac:dyDescent="0.25">
      <c r="A71" t="e" cm="1">
        <f t="array" aca="1" ref="A71" ca="1">OFFSET('Sheet1 (2)'!$A$1,COLUMN()-1,ROW()-1,,)</f>
        <v>#DIV/0!</v>
      </c>
      <c r="B71" cm="1">
        <f t="array" aca="1" ref="B71" ca="1">OFFSET('Sheet1 (2)'!$A$1,COLUMN()-1,ROW()-1,,)</f>
        <v>0</v>
      </c>
      <c r="C71" cm="1">
        <f t="array" aca="1" ref="C71" ca="1">OFFSET('Sheet1 (2)'!$A$1,COLUMN()-1,ROW()-1,,)</f>
        <v>0</v>
      </c>
      <c r="D71" cm="1">
        <f t="array" aca="1" ref="D71" ca="1">OFFSET('Sheet1 (2)'!$A$1,COLUMN()-1,ROW()-1,,)</f>
        <v>0</v>
      </c>
      <c r="E71" s="2" t="str" cm="1">
        <f t="array" aca="1" ref="E71" ca="1">OFFSET('Sheet1 (2)'!$A$1,COLUMN()-1,ROW()-1,,)</f>
        <v>Si la réponse comporte moins de 2 étoiles OUI, merci de préciser votre réponse dans le champs ci-dessous :11</v>
      </c>
      <c r="F71" t="e" cm="1">
        <f t="array" aca="1" ref="F71" ca="1">OFFSET(Sheet1!$A$1,COLUMN()-6,ROW()-1,,)</f>
        <v>#DIV/0!</v>
      </c>
      <c r="G71" cm="1">
        <f t="array" aca="1" ref="G71" ca="1">OFFSET(Sheet1!$A$1,COLUMN()-6,ROW()-1,,)</f>
        <v>0</v>
      </c>
      <c r="H71" cm="1">
        <f t="array" aca="1" ref="H71" ca="1">OFFSET(Sheet1!$A$1,COLUMN()-6,ROW()-1,,)</f>
        <v>0</v>
      </c>
      <c r="I71" cm="1">
        <f t="array" aca="1" ref="I71" ca="1">OFFSET(Sheet1!$A$1,COLUMN()-6,ROW()-1,,)</f>
        <v>0</v>
      </c>
      <c r="J71" t="str" cm="1">
        <f t="array" aca="1" ref="J71" ca="1">OFFSET(Sheet1!$A$1,COLUMN()-6,ROW()-1,,)</f>
        <v>Si la réponse comporte moins de 2 étoiles OUI, merci de préciser votre réponse dans le champs ci-dessous :11</v>
      </c>
    </row>
    <row r="72" spans="1:10" hidden="1" x14ac:dyDescent="0.25">
      <c r="A72" t="e" cm="1">
        <f t="array" aca="1" ref="A72" ca="1">OFFSET('Sheet1 (2)'!$A$1,COLUMN()-1,ROW()-1,,)</f>
        <v>#DIV/0!</v>
      </c>
      <c r="B72" cm="1">
        <f t="array" aca="1" ref="B72" ca="1">OFFSET('Sheet1 (2)'!$A$1,COLUMN()-1,ROW()-1,,)</f>
        <v>0</v>
      </c>
      <c r="C72" cm="1">
        <f t="array" aca="1" ref="C72" ca="1">OFFSET('Sheet1 (2)'!$A$1,COLUMN()-1,ROW()-1,,)</f>
        <v>0</v>
      </c>
      <c r="D72" cm="1">
        <f t="array" aca="1" ref="D72" ca="1">OFFSET('Sheet1 (2)'!$A$1,COLUMN()-1,ROW()-1,,)</f>
        <v>0</v>
      </c>
      <c r="E72" s="2" t="str" cm="1">
        <f t="array" aca="1" ref="E72" ca="1">OFFSET('Sheet1 (2)'!$A$1,COLUMN()-1,ROW()-1,,)</f>
        <v>Feedback - Si la réponse comporte moins de 2 étoiles OUI, merci de préciser votre réponse dans le champs ci-dessous :11</v>
      </c>
      <c r="F72" t="e" cm="1">
        <f t="array" aca="1" ref="F72" ca="1">OFFSET(Sheet1!$A$1,COLUMN()-6,ROW()-1,,)</f>
        <v>#DIV/0!</v>
      </c>
      <c r="G72" cm="1">
        <f t="array" aca="1" ref="G72" ca="1">OFFSET(Sheet1!$A$1,COLUMN()-6,ROW()-1,,)</f>
        <v>0</v>
      </c>
      <c r="H72" cm="1">
        <f t="array" aca="1" ref="H72" ca="1">OFFSET(Sheet1!$A$1,COLUMN()-6,ROW()-1,,)</f>
        <v>0</v>
      </c>
      <c r="I72" cm="1">
        <f t="array" aca="1" ref="I72" ca="1">OFFSET(Sheet1!$A$1,COLUMN()-6,ROW()-1,,)</f>
        <v>0</v>
      </c>
      <c r="J72" t="str" cm="1">
        <f t="array" aca="1" ref="J72" ca="1">OFFSET(Sheet1!$A$1,COLUMN()-6,ROW()-1,,)</f>
        <v>Feedback - Si la réponse comporte moins de 2 étoiles OUI, merci de préciser votre réponse dans le champs ci-dessous :11</v>
      </c>
    </row>
    <row r="73" spans="1:10" hidden="1" x14ac:dyDescent="0.25">
      <c r="A73" t="e" cm="1">
        <f t="array" aca="1" ref="A73" ca="1">OFFSET('Sheet1 (2)'!$A$1,COLUMN()-1,ROW()-1,,)</f>
        <v>#DIV/0!</v>
      </c>
      <c r="B73" cm="1">
        <f t="array" aca="1" ref="B73" ca="1">OFFSET('Sheet1 (2)'!$A$1,COLUMN()-1,ROW()-1,,)</f>
        <v>0</v>
      </c>
      <c r="C73" cm="1">
        <f t="array" aca="1" ref="C73" ca="1">OFFSET('Sheet1 (2)'!$A$1,COLUMN()-1,ROW()-1,,)</f>
        <v>0</v>
      </c>
      <c r="D73" cm="1">
        <f t="array" aca="1" ref="D73" ca="1">OFFSET('Sheet1 (2)'!$A$1,COLUMN()-1,ROW()-1,,)</f>
        <v>0</v>
      </c>
      <c r="E73" s="2" t="str" cm="1">
        <f t="array" aca="1" ref="E73" ca="1">OFFSET('Sheet1 (2)'!$A$1,COLUMN()-1,ROW()-1,,)</f>
        <v>Points - Si la réponse comporte moins de 2 étoiles OUI, merci de préciser votre réponse dans le champs ci-dessous :11</v>
      </c>
      <c r="F73" t="e" cm="1">
        <f t="array" aca="1" ref="F73" ca="1">OFFSET(Sheet1!$A$1,COLUMN()-6,ROW()-1,,)</f>
        <v>#DIV/0!</v>
      </c>
      <c r="G73" cm="1">
        <f t="array" aca="1" ref="G73" ca="1">OFFSET(Sheet1!$A$1,COLUMN()-6,ROW()-1,,)</f>
        <v>0</v>
      </c>
      <c r="H73" cm="1">
        <f t="array" aca="1" ref="H73" ca="1">OFFSET(Sheet1!$A$1,COLUMN()-6,ROW()-1,,)</f>
        <v>0</v>
      </c>
      <c r="I73" cm="1">
        <f t="array" aca="1" ref="I73" ca="1">OFFSET(Sheet1!$A$1,COLUMN()-6,ROW()-1,,)</f>
        <v>0</v>
      </c>
      <c r="J73" t="str" cm="1">
        <f t="array" aca="1" ref="J73" ca="1">OFFSET(Sheet1!$A$1,COLUMN()-6,ROW()-1,,)</f>
        <v>Points - Si la réponse comporte moins de 2 étoiles OUI, merci de préciser votre réponse dans le champs ci-dessous :11</v>
      </c>
    </row>
    <row r="74" spans="1:10" x14ac:dyDescent="0.25">
      <c r="A74" cm="1">
        <f t="array" aca="1" ref="A74" ca="1">OFFSET('Sheet1 (2)'!$A$1,COLUMN()-1,ROW()-1,,)</f>
        <v>4.8571428571428568</v>
      </c>
      <c r="B74" cm="1">
        <f t="array" aca="1" ref="B74" ca="1">OFFSET('Sheet1 (2)'!$A$1,COLUMN()-1,ROW()-1,,)</f>
        <v>4</v>
      </c>
      <c r="C74" cm="1">
        <f t="array" aca="1" ref="C74" ca="1">OFFSET('Sheet1 (2)'!$A$1,COLUMN()-1,ROW()-1,,)</f>
        <v>5</v>
      </c>
      <c r="D74" cm="1">
        <f t="array" aca="1" ref="D74" ca="1">OFFSET('Sheet1 (2)'!$A$1,COLUMN()-1,ROW()-1,,)</f>
        <v>7</v>
      </c>
      <c r="E74" s="2" t="str" cm="1">
        <f t="array" aca="1" ref="E74" ca="1">OFFSET('Sheet1 (2)'!$A$1,COLUMN()-1,ROW()-1,,)</f>
        <v>SUPERVISION : Les instances de pilotage permettent de prendre des décisions rapides et efficaces</v>
      </c>
      <c r="F74" cm="1">
        <f t="array" aca="1" ref="F74" ca="1">OFFSET(Sheet1!$A$1,COLUMN()-6,ROW()-1,,)</f>
        <v>3.3703703703703702</v>
      </c>
      <c r="G74" cm="1">
        <f t="array" aca="1" ref="G74" ca="1">OFFSET(Sheet1!$A$1,COLUMN()-6,ROW()-1,,)</f>
        <v>1</v>
      </c>
      <c r="H74" cm="1">
        <f t="array" aca="1" ref="H74" ca="1">OFFSET(Sheet1!$A$1,COLUMN()-6,ROW()-1,,)</f>
        <v>5</v>
      </c>
      <c r="I74" cm="1">
        <f t="array" aca="1" ref="I74" ca="1">OFFSET(Sheet1!$A$1,COLUMN()-6,ROW()-1,,)</f>
        <v>27</v>
      </c>
      <c r="J74" t="str" cm="1">
        <f t="array" aca="1" ref="J74" ca="1">OFFSET(Sheet1!$A$1,COLUMN()-6,ROW()-1,,)</f>
        <v>SUPERVISION : Les instances de pilotage permettent de prendre des décisions rapides et efficaces</v>
      </c>
    </row>
    <row r="75" spans="1:10" hidden="1" x14ac:dyDescent="0.25">
      <c r="A75" t="e" cm="1">
        <f t="array" aca="1" ref="A75" ca="1">OFFSET('Sheet1 (2)'!$A$1,COLUMN()-1,ROW()-1,,)</f>
        <v>#DIV/0!</v>
      </c>
      <c r="B75" cm="1">
        <f t="array" aca="1" ref="B75" ca="1">OFFSET('Sheet1 (2)'!$A$1,COLUMN()-1,ROW()-1,,)</f>
        <v>0</v>
      </c>
      <c r="C75" cm="1">
        <f t="array" aca="1" ref="C75" ca="1">OFFSET('Sheet1 (2)'!$A$1,COLUMN()-1,ROW()-1,,)</f>
        <v>0</v>
      </c>
      <c r="D75" cm="1">
        <f t="array" aca="1" ref="D75" ca="1">OFFSET('Sheet1 (2)'!$A$1,COLUMN()-1,ROW()-1,,)</f>
        <v>0</v>
      </c>
      <c r="E75" s="2" t="str" cm="1">
        <f t="array" aca="1" ref="E75" ca="1">OFFSET('Sheet1 (2)'!$A$1,COLUMN()-1,ROW()-1,,)</f>
        <v>Points - SUPERVISION : Les instances de pilotage permettent de prendre des décisions rapides et efficaces</v>
      </c>
      <c r="F75" t="e" cm="1">
        <f t="array" aca="1" ref="F75" ca="1">OFFSET(Sheet1!$A$1,COLUMN()-6,ROW()-1,,)</f>
        <v>#DIV/0!</v>
      </c>
      <c r="G75" cm="1">
        <f t="array" aca="1" ref="G75" ca="1">OFFSET(Sheet1!$A$1,COLUMN()-6,ROW()-1,,)</f>
        <v>0</v>
      </c>
      <c r="H75" cm="1">
        <f t="array" aca="1" ref="H75" ca="1">OFFSET(Sheet1!$A$1,COLUMN()-6,ROW()-1,,)</f>
        <v>0</v>
      </c>
      <c r="I75" cm="1">
        <f t="array" aca="1" ref="I75" ca="1">OFFSET(Sheet1!$A$1,COLUMN()-6,ROW()-1,,)</f>
        <v>0</v>
      </c>
      <c r="J75" t="str" cm="1">
        <f t="array" aca="1" ref="J75" ca="1">OFFSET(Sheet1!$A$1,COLUMN()-6,ROW()-1,,)</f>
        <v>Points - SUPERVISION : Les instances de pilotage permettent de prendre des décisions rapides et efficaces</v>
      </c>
    </row>
    <row r="76" spans="1:10" hidden="1" x14ac:dyDescent="0.25">
      <c r="A76" t="e" cm="1">
        <f t="array" aca="1" ref="A76" ca="1">OFFSET('Sheet1 (2)'!$A$1,COLUMN()-1,ROW()-1,,)</f>
        <v>#DIV/0!</v>
      </c>
      <c r="B76" cm="1">
        <f t="array" aca="1" ref="B76" ca="1">OFFSET('Sheet1 (2)'!$A$1,COLUMN()-1,ROW()-1,,)</f>
        <v>0</v>
      </c>
      <c r="C76" cm="1">
        <f t="array" aca="1" ref="C76" ca="1">OFFSET('Sheet1 (2)'!$A$1,COLUMN()-1,ROW()-1,,)</f>
        <v>0</v>
      </c>
      <c r="D76" cm="1">
        <f t="array" aca="1" ref="D76" ca="1">OFFSET('Sheet1 (2)'!$A$1,COLUMN()-1,ROW()-1,,)</f>
        <v>0</v>
      </c>
      <c r="E76" s="2" t="str" cm="1">
        <f t="array" aca="1" ref="E76" ca="1">OFFSET('Sheet1 (2)'!$A$1,COLUMN()-1,ROW()-1,,)</f>
        <v>Feedback - SUPERVISION : Les instances de pilotage permettent de prendre des décisions rapides et efficaces</v>
      </c>
      <c r="F76" t="e" cm="1">
        <f t="array" aca="1" ref="F76" ca="1">OFFSET(Sheet1!$A$1,COLUMN()-6,ROW()-1,,)</f>
        <v>#DIV/0!</v>
      </c>
      <c r="G76" cm="1">
        <f t="array" aca="1" ref="G76" ca="1">OFFSET(Sheet1!$A$1,COLUMN()-6,ROW()-1,,)</f>
        <v>0</v>
      </c>
      <c r="H76" cm="1">
        <f t="array" aca="1" ref="H76" ca="1">OFFSET(Sheet1!$A$1,COLUMN()-6,ROW()-1,,)</f>
        <v>0</v>
      </c>
      <c r="I76" cm="1">
        <f t="array" aca="1" ref="I76" ca="1">OFFSET(Sheet1!$A$1,COLUMN()-6,ROW()-1,,)</f>
        <v>0</v>
      </c>
      <c r="J76" t="str" cm="1">
        <f t="array" aca="1" ref="J76" ca="1">OFFSET(Sheet1!$A$1,COLUMN()-6,ROW()-1,,)</f>
        <v>Feedback - SUPERVISION : Les instances de pilotage permettent de prendre des décisions rapides et efficaces</v>
      </c>
    </row>
    <row r="77" spans="1:10" hidden="1" x14ac:dyDescent="0.25">
      <c r="A77" t="e" cm="1">
        <f t="array" aca="1" ref="A77" ca="1">OFFSET('Sheet1 (2)'!$A$1,COLUMN()-1,ROW()-1,,)</f>
        <v>#DIV/0!</v>
      </c>
      <c r="B77" cm="1">
        <f t="array" aca="1" ref="B77" ca="1">OFFSET('Sheet1 (2)'!$A$1,COLUMN()-1,ROW()-1,,)</f>
        <v>0</v>
      </c>
      <c r="C77" cm="1">
        <f t="array" aca="1" ref="C77" ca="1">OFFSET('Sheet1 (2)'!$A$1,COLUMN()-1,ROW()-1,,)</f>
        <v>0</v>
      </c>
      <c r="D77" cm="1">
        <f t="array" aca="1" ref="D77" ca="1">OFFSET('Sheet1 (2)'!$A$1,COLUMN()-1,ROW()-1,,)</f>
        <v>0</v>
      </c>
      <c r="E77" s="2" t="str" cm="1">
        <f t="array" aca="1" ref="E77" ca="1">OFFSET('Sheet1 (2)'!$A$1,COLUMN()-1,ROW()-1,,)</f>
        <v>Si la réponse comporte moins de 2 étoiles OUI, merci de préciser votre réponse dans le champs ci-dessous :12</v>
      </c>
      <c r="F77" t="e" cm="1">
        <f t="array" aca="1" ref="F77" ca="1">OFFSET(Sheet1!$A$1,COLUMN()-6,ROW()-1,,)</f>
        <v>#DIV/0!</v>
      </c>
      <c r="G77" cm="1">
        <f t="array" aca="1" ref="G77" ca="1">OFFSET(Sheet1!$A$1,COLUMN()-6,ROW()-1,,)</f>
        <v>0</v>
      </c>
      <c r="H77" cm="1">
        <f t="array" aca="1" ref="H77" ca="1">OFFSET(Sheet1!$A$1,COLUMN()-6,ROW()-1,,)</f>
        <v>0</v>
      </c>
      <c r="I77" cm="1">
        <f t="array" aca="1" ref="I77" ca="1">OFFSET(Sheet1!$A$1,COLUMN()-6,ROW()-1,,)</f>
        <v>0</v>
      </c>
      <c r="J77" t="str" cm="1">
        <f t="array" aca="1" ref="J77" ca="1">OFFSET(Sheet1!$A$1,COLUMN()-6,ROW()-1,,)</f>
        <v>Si la réponse comporte moins de 2 étoiles OUI, merci de préciser votre réponse dans le champs ci-dessous :12</v>
      </c>
    </row>
    <row r="78" spans="1:10" hidden="1" x14ac:dyDescent="0.25">
      <c r="A78" t="e" cm="1">
        <f t="array" aca="1" ref="A78" ca="1">OFFSET('Sheet1 (2)'!$A$1,COLUMN()-1,ROW()-1,,)</f>
        <v>#DIV/0!</v>
      </c>
      <c r="B78" cm="1">
        <f t="array" aca="1" ref="B78" ca="1">OFFSET('Sheet1 (2)'!$A$1,COLUMN()-1,ROW()-1,,)</f>
        <v>0</v>
      </c>
      <c r="C78" cm="1">
        <f t="array" aca="1" ref="C78" ca="1">OFFSET('Sheet1 (2)'!$A$1,COLUMN()-1,ROW()-1,,)</f>
        <v>0</v>
      </c>
      <c r="D78" cm="1">
        <f t="array" aca="1" ref="D78" ca="1">OFFSET('Sheet1 (2)'!$A$1,COLUMN()-1,ROW()-1,,)</f>
        <v>0</v>
      </c>
      <c r="E78" s="2" t="str" cm="1">
        <f t="array" aca="1" ref="E78" ca="1">OFFSET('Sheet1 (2)'!$A$1,COLUMN()-1,ROW()-1,,)</f>
        <v>Points - Si la réponse comporte moins de 2 étoiles OUI, merci de préciser votre réponse dans le champs ci-dessous :12</v>
      </c>
      <c r="F78" t="e" cm="1">
        <f t="array" aca="1" ref="F78" ca="1">OFFSET(Sheet1!$A$1,COLUMN()-6,ROW()-1,,)</f>
        <v>#DIV/0!</v>
      </c>
      <c r="G78" cm="1">
        <f t="array" aca="1" ref="G78" ca="1">OFFSET(Sheet1!$A$1,COLUMN()-6,ROW()-1,,)</f>
        <v>0</v>
      </c>
      <c r="H78" cm="1">
        <f t="array" aca="1" ref="H78" ca="1">OFFSET(Sheet1!$A$1,COLUMN()-6,ROW()-1,,)</f>
        <v>0</v>
      </c>
      <c r="I78" cm="1">
        <f t="array" aca="1" ref="I78" ca="1">OFFSET(Sheet1!$A$1,COLUMN()-6,ROW()-1,,)</f>
        <v>0</v>
      </c>
      <c r="J78" t="str" cm="1">
        <f t="array" aca="1" ref="J78" ca="1">OFFSET(Sheet1!$A$1,COLUMN()-6,ROW()-1,,)</f>
        <v>Points - Si la réponse comporte moins de 2 étoiles OUI, merci de préciser votre réponse dans le champs ci-dessous :12</v>
      </c>
    </row>
    <row r="79" spans="1:10" hidden="1" x14ac:dyDescent="0.25">
      <c r="A79" t="e" cm="1">
        <f t="array" aca="1" ref="A79" ca="1">OFFSET('Sheet1 (2)'!$A$1,COLUMN()-1,ROW()-1,,)</f>
        <v>#DIV/0!</v>
      </c>
      <c r="B79" cm="1">
        <f t="array" aca="1" ref="B79" ca="1">OFFSET('Sheet1 (2)'!$A$1,COLUMN()-1,ROW()-1,,)</f>
        <v>0</v>
      </c>
      <c r="C79" cm="1">
        <f t="array" aca="1" ref="C79" ca="1">OFFSET('Sheet1 (2)'!$A$1,COLUMN()-1,ROW()-1,,)</f>
        <v>0</v>
      </c>
      <c r="D79" cm="1">
        <f t="array" aca="1" ref="D79" ca="1">OFFSET('Sheet1 (2)'!$A$1,COLUMN()-1,ROW()-1,,)</f>
        <v>0</v>
      </c>
      <c r="E79" s="2" t="str" cm="1">
        <f t="array" aca="1" ref="E79" ca="1">OFFSET('Sheet1 (2)'!$A$1,COLUMN()-1,ROW()-1,,)</f>
        <v>Feedback - Si la réponse comporte moins de 2 étoiles OUI, merci de préciser votre réponse dans le champs ci-dessous :12</v>
      </c>
      <c r="F79" t="e" cm="1">
        <f t="array" aca="1" ref="F79" ca="1">OFFSET(Sheet1!$A$1,COLUMN()-6,ROW()-1,,)</f>
        <v>#DIV/0!</v>
      </c>
      <c r="G79" cm="1">
        <f t="array" aca="1" ref="G79" ca="1">OFFSET(Sheet1!$A$1,COLUMN()-6,ROW()-1,,)</f>
        <v>0</v>
      </c>
      <c r="H79" cm="1">
        <f t="array" aca="1" ref="H79" ca="1">OFFSET(Sheet1!$A$1,COLUMN()-6,ROW()-1,,)</f>
        <v>0</v>
      </c>
      <c r="I79" cm="1">
        <f t="array" aca="1" ref="I79" ca="1">OFFSET(Sheet1!$A$1,COLUMN()-6,ROW()-1,,)</f>
        <v>0</v>
      </c>
      <c r="J79" t="str" cm="1">
        <f t="array" aca="1" ref="J79" ca="1">OFFSET(Sheet1!$A$1,COLUMN()-6,ROW()-1,,)</f>
        <v>Feedback - Si la réponse comporte moins de 2 étoiles OUI, merci de préciser votre réponse dans le champs ci-dessous :12</v>
      </c>
    </row>
    <row r="80" spans="1:10" x14ac:dyDescent="0.25">
      <c r="A80" cm="1">
        <f t="array" aca="1" ref="A80" ca="1">OFFSET('Sheet1 (2)'!$A$1,COLUMN()-1,ROW()-1,,)</f>
        <v>4.4285714285714288</v>
      </c>
      <c r="B80" cm="1">
        <f t="array" aca="1" ref="B80" ca="1">OFFSET('Sheet1 (2)'!$A$1,COLUMN()-1,ROW()-1,,)</f>
        <v>3</v>
      </c>
      <c r="C80" cm="1">
        <f t="array" aca="1" ref="C80" ca="1">OFFSET('Sheet1 (2)'!$A$1,COLUMN()-1,ROW()-1,,)</f>
        <v>5</v>
      </c>
      <c r="D80" cm="1">
        <f t="array" aca="1" ref="D80" ca="1">OFFSET('Sheet1 (2)'!$A$1,COLUMN()-1,ROW()-1,,)</f>
        <v>7</v>
      </c>
      <c r="E80" s="2" t="str" cm="1">
        <f t="array" aca="1" ref="E80" ca="1">OFFSET('Sheet1 (2)'!$A$1,COLUMN()-1,ROW()-1,,)</f>
        <v>RESSOURCES : Les ressources sont suffisantes pour absorber ce changement</v>
      </c>
      <c r="F80" cm="1">
        <f t="array" aca="1" ref="F80" ca="1">OFFSET(Sheet1!$A$1,COLUMN()-6,ROW()-1,,)</f>
        <v>2.8518518518518516</v>
      </c>
      <c r="G80" cm="1">
        <f t="array" aca="1" ref="G80" ca="1">OFFSET(Sheet1!$A$1,COLUMN()-6,ROW()-1,,)</f>
        <v>1</v>
      </c>
      <c r="H80" cm="1">
        <f t="array" aca="1" ref="H80" ca="1">OFFSET(Sheet1!$A$1,COLUMN()-6,ROW()-1,,)</f>
        <v>5</v>
      </c>
      <c r="I80" cm="1">
        <f t="array" aca="1" ref="I80" ca="1">OFFSET(Sheet1!$A$1,COLUMN()-6,ROW()-1,,)</f>
        <v>27</v>
      </c>
      <c r="J80" t="str" cm="1">
        <f t="array" aca="1" ref="J80" ca="1">OFFSET(Sheet1!$A$1,COLUMN()-6,ROW()-1,,)</f>
        <v>RESSOURCES : Les ressources sont suffisantes pour absorber ce changement</v>
      </c>
    </row>
    <row r="81" spans="1:10" hidden="1" x14ac:dyDescent="0.25">
      <c r="A81" t="e" cm="1">
        <f t="array" aca="1" ref="A81" ca="1">OFFSET('Sheet1 (2)'!$A$1,COLUMN()-1,ROW()-1,,)</f>
        <v>#DIV/0!</v>
      </c>
      <c r="B81" cm="1">
        <f t="array" aca="1" ref="B81" ca="1">OFFSET('Sheet1 (2)'!$A$1,COLUMN()-1,ROW()-1,,)</f>
        <v>0</v>
      </c>
      <c r="C81" cm="1">
        <f t="array" aca="1" ref="C81" ca="1">OFFSET('Sheet1 (2)'!$A$1,COLUMN()-1,ROW()-1,,)</f>
        <v>0</v>
      </c>
      <c r="D81" cm="1">
        <f t="array" aca="1" ref="D81" ca="1">OFFSET('Sheet1 (2)'!$A$1,COLUMN()-1,ROW()-1,,)</f>
        <v>0</v>
      </c>
      <c r="E81" s="2" t="str" cm="1">
        <f t="array" aca="1" ref="E81" ca="1">OFFSET('Sheet1 (2)'!$A$1,COLUMN()-1,ROW()-1,,)</f>
        <v>Points - RESSOURCES : Les ressources sont suffisantes pour absorber ce changement</v>
      </c>
      <c r="F81" t="e" cm="1">
        <f t="array" aca="1" ref="F81" ca="1">OFFSET(Sheet1!$A$1,COLUMN()-6,ROW()-1,,)</f>
        <v>#DIV/0!</v>
      </c>
      <c r="G81" cm="1">
        <f t="array" aca="1" ref="G81" ca="1">OFFSET(Sheet1!$A$1,COLUMN()-6,ROW()-1,,)</f>
        <v>0</v>
      </c>
      <c r="H81" cm="1">
        <f t="array" aca="1" ref="H81" ca="1">OFFSET(Sheet1!$A$1,COLUMN()-6,ROW()-1,,)</f>
        <v>0</v>
      </c>
      <c r="I81" cm="1">
        <f t="array" aca="1" ref="I81" ca="1">OFFSET(Sheet1!$A$1,COLUMN()-6,ROW()-1,,)</f>
        <v>0</v>
      </c>
      <c r="J81" t="str" cm="1">
        <f t="array" aca="1" ref="J81" ca="1">OFFSET(Sheet1!$A$1,COLUMN()-6,ROW()-1,,)</f>
        <v>Points - RESSOURCES : Les ressources sont suffisantes pour absorber ce changement</v>
      </c>
    </row>
    <row r="82" spans="1:10" hidden="1" x14ac:dyDescent="0.25">
      <c r="A82" t="e" cm="1">
        <f t="array" aca="1" ref="A82" ca="1">OFFSET('Sheet1 (2)'!$A$1,COLUMN()-1,ROW()-1,,)</f>
        <v>#DIV/0!</v>
      </c>
      <c r="B82" cm="1">
        <f t="array" aca="1" ref="B82" ca="1">OFFSET('Sheet1 (2)'!$A$1,COLUMN()-1,ROW()-1,,)</f>
        <v>0</v>
      </c>
      <c r="C82" cm="1">
        <f t="array" aca="1" ref="C82" ca="1">OFFSET('Sheet1 (2)'!$A$1,COLUMN()-1,ROW()-1,,)</f>
        <v>0</v>
      </c>
      <c r="D82" cm="1">
        <f t="array" aca="1" ref="D82" ca="1">OFFSET('Sheet1 (2)'!$A$1,COLUMN()-1,ROW()-1,,)</f>
        <v>0</v>
      </c>
      <c r="E82" s="2" t="str" cm="1">
        <f t="array" aca="1" ref="E82" ca="1">OFFSET('Sheet1 (2)'!$A$1,COLUMN()-1,ROW()-1,,)</f>
        <v>Feedback - RESSOURCES : Les ressources sont suffisantes pour absorber ce changement</v>
      </c>
      <c r="F82" t="e" cm="1">
        <f t="array" aca="1" ref="F82" ca="1">OFFSET(Sheet1!$A$1,COLUMN()-6,ROW()-1,,)</f>
        <v>#DIV/0!</v>
      </c>
      <c r="G82" cm="1">
        <f t="array" aca="1" ref="G82" ca="1">OFFSET(Sheet1!$A$1,COLUMN()-6,ROW()-1,,)</f>
        <v>0</v>
      </c>
      <c r="H82" cm="1">
        <f t="array" aca="1" ref="H82" ca="1">OFFSET(Sheet1!$A$1,COLUMN()-6,ROW()-1,,)</f>
        <v>0</v>
      </c>
      <c r="I82" cm="1">
        <f t="array" aca="1" ref="I82" ca="1">OFFSET(Sheet1!$A$1,COLUMN()-6,ROW()-1,,)</f>
        <v>0</v>
      </c>
      <c r="J82" t="str" cm="1">
        <f t="array" aca="1" ref="J82" ca="1">OFFSET(Sheet1!$A$1,COLUMN()-6,ROW()-1,,)</f>
        <v>Feedback - RESSOURCES : Les ressources sont suffisantes pour absorber ce changement</v>
      </c>
    </row>
    <row r="83" spans="1:10" hidden="1" x14ac:dyDescent="0.25">
      <c r="A83" t="e" cm="1">
        <f t="array" aca="1" ref="A83" ca="1">OFFSET('Sheet1 (2)'!$A$1,COLUMN()-1,ROW()-1,,)</f>
        <v>#DIV/0!</v>
      </c>
      <c r="B83" cm="1">
        <f t="array" aca="1" ref="B83" ca="1">OFFSET('Sheet1 (2)'!$A$1,COLUMN()-1,ROW()-1,,)</f>
        <v>0</v>
      </c>
      <c r="C83" cm="1">
        <f t="array" aca="1" ref="C83" ca="1">OFFSET('Sheet1 (2)'!$A$1,COLUMN()-1,ROW()-1,,)</f>
        <v>0</v>
      </c>
      <c r="D83" cm="1">
        <f t="array" aca="1" ref="D83" ca="1">OFFSET('Sheet1 (2)'!$A$1,COLUMN()-1,ROW()-1,,)</f>
        <v>0</v>
      </c>
      <c r="E83" s="2" t="str" cm="1">
        <f t="array" aca="1" ref="E83" ca="1">OFFSET('Sheet1 (2)'!$A$1,COLUMN()-1,ROW()-1,,)</f>
        <v>Si la réponse comporte moins de 2 étoiles OUI, merci de préciser votre réponse dans le champs ci-dessous :13</v>
      </c>
      <c r="F83" t="e" cm="1">
        <f t="array" aca="1" ref="F83" ca="1">OFFSET(Sheet1!$A$1,COLUMN()-6,ROW()-1,,)</f>
        <v>#DIV/0!</v>
      </c>
      <c r="G83" cm="1">
        <f t="array" aca="1" ref="G83" ca="1">OFFSET(Sheet1!$A$1,COLUMN()-6,ROW()-1,,)</f>
        <v>0</v>
      </c>
      <c r="H83" cm="1">
        <f t="array" aca="1" ref="H83" ca="1">OFFSET(Sheet1!$A$1,COLUMN()-6,ROW()-1,,)</f>
        <v>0</v>
      </c>
      <c r="I83" cm="1">
        <f t="array" aca="1" ref="I83" ca="1">OFFSET(Sheet1!$A$1,COLUMN()-6,ROW()-1,,)</f>
        <v>0</v>
      </c>
      <c r="J83" t="str" cm="1">
        <f t="array" aca="1" ref="J83" ca="1">OFFSET(Sheet1!$A$1,COLUMN()-6,ROW()-1,,)</f>
        <v>Si la réponse comporte moins de 2 étoiles OUI, merci de préciser votre réponse dans le champs ci-dessous :13</v>
      </c>
    </row>
    <row r="84" spans="1:10" hidden="1" x14ac:dyDescent="0.25">
      <c r="A84" t="e" cm="1">
        <f t="array" aca="1" ref="A84" ca="1">OFFSET('Sheet1 (2)'!$A$1,COLUMN()-1,ROW()-1,,)</f>
        <v>#DIV/0!</v>
      </c>
      <c r="B84" cm="1">
        <f t="array" aca="1" ref="B84" ca="1">OFFSET('Sheet1 (2)'!$A$1,COLUMN()-1,ROW()-1,,)</f>
        <v>0</v>
      </c>
      <c r="C84" cm="1">
        <f t="array" aca="1" ref="C84" ca="1">OFFSET('Sheet1 (2)'!$A$1,COLUMN()-1,ROW()-1,,)</f>
        <v>0</v>
      </c>
      <c r="D84" cm="1">
        <f t="array" aca="1" ref="D84" ca="1">OFFSET('Sheet1 (2)'!$A$1,COLUMN()-1,ROW()-1,,)</f>
        <v>0</v>
      </c>
      <c r="E84" s="2" t="str" cm="1">
        <f t="array" aca="1" ref="E84" ca="1">OFFSET('Sheet1 (2)'!$A$1,COLUMN()-1,ROW()-1,,)</f>
        <v>Points - Si la réponse comporte moins de 2 étoiles OUI, merci de préciser votre réponse dans le champs ci-dessous :13</v>
      </c>
      <c r="F84" t="e" cm="1">
        <f t="array" aca="1" ref="F84" ca="1">OFFSET(Sheet1!$A$1,COLUMN()-6,ROW()-1,,)</f>
        <v>#DIV/0!</v>
      </c>
      <c r="G84" cm="1">
        <f t="array" aca="1" ref="G84" ca="1">OFFSET(Sheet1!$A$1,COLUMN()-6,ROW()-1,,)</f>
        <v>0</v>
      </c>
      <c r="H84" cm="1">
        <f t="array" aca="1" ref="H84" ca="1">OFFSET(Sheet1!$A$1,COLUMN()-6,ROW()-1,,)</f>
        <v>0</v>
      </c>
      <c r="I84" cm="1">
        <f t="array" aca="1" ref="I84" ca="1">OFFSET(Sheet1!$A$1,COLUMN()-6,ROW()-1,,)</f>
        <v>0</v>
      </c>
      <c r="J84" t="str" cm="1">
        <f t="array" aca="1" ref="J84" ca="1">OFFSET(Sheet1!$A$1,COLUMN()-6,ROW()-1,,)</f>
        <v>Points - Si la réponse comporte moins de 2 étoiles OUI, merci de préciser votre réponse dans le champs ci-dessous :13</v>
      </c>
    </row>
    <row r="85" spans="1:10" hidden="1" x14ac:dyDescent="0.25">
      <c r="A85" t="e" cm="1">
        <f t="array" aca="1" ref="A85" ca="1">OFFSET('Sheet1 (2)'!$A$1,COLUMN()-1,ROW()-1,,)</f>
        <v>#DIV/0!</v>
      </c>
      <c r="B85" cm="1">
        <f t="array" aca="1" ref="B85" ca="1">OFFSET('Sheet1 (2)'!$A$1,COLUMN()-1,ROW()-1,,)</f>
        <v>0</v>
      </c>
      <c r="C85" cm="1">
        <f t="array" aca="1" ref="C85" ca="1">OFFSET('Sheet1 (2)'!$A$1,COLUMN()-1,ROW()-1,,)</f>
        <v>0</v>
      </c>
      <c r="D85" cm="1">
        <f t="array" aca="1" ref="D85" ca="1">OFFSET('Sheet1 (2)'!$A$1,COLUMN()-1,ROW()-1,,)</f>
        <v>0</v>
      </c>
      <c r="E85" s="2" t="str" cm="1">
        <f t="array" aca="1" ref="E85" ca="1">OFFSET('Sheet1 (2)'!$A$1,COLUMN()-1,ROW()-1,,)</f>
        <v>Feedback - Si la réponse comporte moins de 2 étoiles OUI, merci de préciser votre réponse dans le champs ci-dessous :13</v>
      </c>
      <c r="F85" t="e" cm="1">
        <f t="array" aca="1" ref="F85" ca="1">OFFSET(Sheet1!$A$1,COLUMN()-6,ROW()-1,,)</f>
        <v>#DIV/0!</v>
      </c>
      <c r="G85" cm="1">
        <f t="array" aca="1" ref="G85" ca="1">OFFSET(Sheet1!$A$1,COLUMN()-6,ROW()-1,,)</f>
        <v>0</v>
      </c>
      <c r="H85" cm="1">
        <f t="array" aca="1" ref="H85" ca="1">OFFSET(Sheet1!$A$1,COLUMN()-6,ROW()-1,,)</f>
        <v>0</v>
      </c>
      <c r="I85" cm="1">
        <f t="array" aca="1" ref="I85" ca="1">OFFSET(Sheet1!$A$1,COLUMN()-6,ROW()-1,,)</f>
        <v>0</v>
      </c>
      <c r="J85" t="str" cm="1">
        <f t="array" aca="1" ref="J85" ca="1">OFFSET(Sheet1!$A$1,COLUMN()-6,ROW()-1,,)</f>
        <v>Feedback - Si la réponse comporte moins de 2 étoiles OUI, merci de préciser votre réponse dans le champs ci-dessous :13</v>
      </c>
    </row>
    <row r="86" spans="1:10" x14ac:dyDescent="0.25">
      <c r="A86" cm="1">
        <f t="array" aca="1" ref="A86" ca="1">OFFSET('Sheet1 (2)'!$A$1,COLUMN()-1,ROW()-1,,)</f>
        <v>4.2857142857142856</v>
      </c>
      <c r="B86" cm="1">
        <f t="array" aca="1" ref="B86" ca="1">OFFSET('Sheet1 (2)'!$A$1,COLUMN()-1,ROW()-1,,)</f>
        <v>3</v>
      </c>
      <c r="C86" cm="1">
        <f t="array" aca="1" ref="C86" ca="1">OFFSET('Sheet1 (2)'!$A$1,COLUMN()-1,ROW()-1,,)</f>
        <v>5</v>
      </c>
      <c r="D86" cm="1">
        <f t="array" aca="1" ref="D86" ca="1">OFFSET('Sheet1 (2)'!$A$1,COLUMN()-1,ROW()-1,,)</f>
        <v>7</v>
      </c>
      <c r="E86" s="2" t="str" cm="1">
        <f t="array" aca="1" ref="E86" ca="1">OFFSET('Sheet1 (2)'!$A$1,COLUMN()-1,ROW()-1,,)</f>
        <v>PORTFOLIO : Les interactions de ce projet avec les autres initiatives sont gérées correctement</v>
      </c>
      <c r="F86" cm="1">
        <f t="array" aca="1" ref="F86" ca="1">OFFSET(Sheet1!$A$1,COLUMN()-6,ROW()-1,,)</f>
        <v>3.2592592592592591</v>
      </c>
      <c r="G86" cm="1">
        <f t="array" aca="1" ref="G86" ca="1">OFFSET(Sheet1!$A$1,COLUMN()-6,ROW()-1,,)</f>
        <v>1</v>
      </c>
      <c r="H86" cm="1">
        <f t="array" aca="1" ref="H86" ca="1">OFFSET(Sheet1!$A$1,COLUMN()-6,ROW()-1,,)</f>
        <v>5</v>
      </c>
      <c r="I86" cm="1">
        <f t="array" aca="1" ref="I86" ca="1">OFFSET(Sheet1!$A$1,COLUMN()-6,ROW()-1,,)</f>
        <v>27</v>
      </c>
      <c r="J86" t="str" cm="1">
        <f t="array" aca="1" ref="J86" ca="1">OFFSET(Sheet1!$A$1,COLUMN()-6,ROW()-1,,)</f>
        <v>PORTFOLIO : Les interactions de ce projet avec les autres initiatives sont gérées correctement</v>
      </c>
    </row>
    <row r="87" spans="1:10" hidden="1" x14ac:dyDescent="0.25">
      <c r="A87" t="e" cm="1">
        <f t="array" aca="1" ref="A87" ca="1">OFFSET('Sheet1 (2)'!$A$1,COLUMN()-1,ROW()-1,,)</f>
        <v>#DIV/0!</v>
      </c>
      <c r="B87" cm="1">
        <f t="array" aca="1" ref="B87" ca="1">OFFSET('Sheet1 (2)'!$A$1,COLUMN()-1,ROW()-1,,)</f>
        <v>0</v>
      </c>
      <c r="C87" cm="1">
        <f t="array" aca="1" ref="C87" ca="1">OFFSET('Sheet1 (2)'!$A$1,COLUMN()-1,ROW()-1,,)</f>
        <v>0</v>
      </c>
      <c r="D87" cm="1">
        <f t="array" aca="1" ref="D87" ca="1">OFFSET('Sheet1 (2)'!$A$1,COLUMN()-1,ROW()-1,,)</f>
        <v>0</v>
      </c>
      <c r="E87" s="2" t="str" cm="1">
        <f t="array" aca="1" ref="E87" ca="1">OFFSET('Sheet1 (2)'!$A$1,COLUMN()-1,ROW()-1,,)</f>
        <v>Points - PORTFOLIO : Les interactions de ce projet avec les autres initiatives sont gérées correctement</v>
      </c>
      <c r="F87" t="e" cm="1">
        <f t="array" aca="1" ref="F87" ca="1">OFFSET(Sheet1!$A$1,COLUMN()-6,ROW()-1,,)</f>
        <v>#DIV/0!</v>
      </c>
      <c r="G87" cm="1">
        <f t="array" aca="1" ref="G87" ca="1">OFFSET(Sheet1!$A$1,COLUMN()-6,ROW()-1,,)</f>
        <v>0</v>
      </c>
      <c r="H87" cm="1">
        <f t="array" aca="1" ref="H87" ca="1">OFFSET(Sheet1!$A$1,COLUMN()-6,ROW()-1,,)</f>
        <v>0</v>
      </c>
      <c r="I87" cm="1">
        <f t="array" aca="1" ref="I87" ca="1">OFFSET(Sheet1!$A$1,COLUMN()-6,ROW()-1,,)</f>
        <v>0</v>
      </c>
      <c r="J87" t="str" cm="1">
        <f t="array" aca="1" ref="J87" ca="1">OFFSET(Sheet1!$A$1,COLUMN()-6,ROW()-1,,)</f>
        <v>Points - PORTFOLIO : Les interactions de ce projet avec les autres initiatives sont gérées correctement</v>
      </c>
    </row>
    <row r="88" spans="1:10" hidden="1" x14ac:dyDescent="0.25">
      <c r="A88" t="e" cm="1">
        <f t="array" aca="1" ref="A88" ca="1">OFFSET('Sheet1 (2)'!$A$1,COLUMN()-1,ROW()-1,,)</f>
        <v>#DIV/0!</v>
      </c>
      <c r="B88" cm="1">
        <f t="array" aca="1" ref="B88" ca="1">OFFSET('Sheet1 (2)'!$A$1,COLUMN()-1,ROW()-1,,)</f>
        <v>0</v>
      </c>
      <c r="C88" cm="1">
        <f t="array" aca="1" ref="C88" ca="1">OFFSET('Sheet1 (2)'!$A$1,COLUMN()-1,ROW()-1,,)</f>
        <v>0</v>
      </c>
      <c r="D88" cm="1">
        <f t="array" aca="1" ref="D88" ca="1">OFFSET('Sheet1 (2)'!$A$1,COLUMN()-1,ROW()-1,,)</f>
        <v>0</v>
      </c>
      <c r="E88" s="2" t="str" cm="1">
        <f t="array" aca="1" ref="E88" ca="1">OFFSET('Sheet1 (2)'!$A$1,COLUMN()-1,ROW()-1,,)</f>
        <v>Feedback - PORTFOLIO : Les interactions de ce projet avec les autres initiatives sont gérées correctement</v>
      </c>
      <c r="F88" t="e" cm="1">
        <f t="array" aca="1" ref="F88" ca="1">OFFSET(Sheet1!$A$1,COLUMN()-6,ROW()-1,,)</f>
        <v>#DIV/0!</v>
      </c>
      <c r="G88" cm="1">
        <f t="array" aca="1" ref="G88" ca="1">OFFSET(Sheet1!$A$1,COLUMN()-6,ROW()-1,,)</f>
        <v>0</v>
      </c>
      <c r="H88" cm="1">
        <f t="array" aca="1" ref="H88" ca="1">OFFSET(Sheet1!$A$1,COLUMN()-6,ROW()-1,,)</f>
        <v>0</v>
      </c>
      <c r="I88" cm="1">
        <f t="array" aca="1" ref="I88" ca="1">OFFSET(Sheet1!$A$1,COLUMN()-6,ROW()-1,,)</f>
        <v>0</v>
      </c>
      <c r="J88" t="str" cm="1">
        <f t="array" aca="1" ref="J88" ca="1">OFFSET(Sheet1!$A$1,COLUMN()-6,ROW()-1,,)</f>
        <v>Feedback - PORTFOLIO : Les interactions de ce projet avec les autres initiatives sont gérées correctement</v>
      </c>
    </row>
    <row r="89" spans="1:10" hidden="1" x14ac:dyDescent="0.25">
      <c r="A89" t="e" cm="1">
        <f t="array" aca="1" ref="A89" ca="1">OFFSET('Sheet1 (2)'!$A$1,COLUMN()-1,ROW()-1,,)</f>
        <v>#DIV/0!</v>
      </c>
      <c r="B89" cm="1">
        <f t="array" aca="1" ref="B89" ca="1">OFFSET('Sheet1 (2)'!$A$1,COLUMN()-1,ROW()-1,,)</f>
        <v>0</v>
      </c>
      <c r="C89" cm="1">
        <f t="array" aca="1" ref="C89" ca="1">OFFSET('Sheet1 (2)'!$A$1,COLUMN()-1,ROW()-1,,)</f>
        <v>0</v>
      </c>
      <c r="D89" cm="1">
        <f t="array" aca="1" ref="D89" ca="1">OFFSET('Sheet1 (2)'!$A$1,COLUMN()-1,ROW()-1,,)</f>
        <v>0</v>
      </c>
      <c r="E89" s="2" t="str" cm="1">
        <f t="array" aca="1" ref="E89" ca="1">OFFSET('Sheet1 (2)'!$A$1,COLUMN()-1,ROW()-1,,)</f>
        <v>Si la réponse comporte moins de 2 étoiles OUI, merci de préciser votre réponse dans le champs ci-dessous :14</v>
      </c>
      <c r="F89" t="e" cm="1">
        <f t="array" aca="1" ref="F89" ca="1">OFFSET(Sheet1!$A$1,COLUMN()-6,ROW()-1,,)</f>
        <v>#DIV/0!</v>
      </c>
      <c r="G89" cm="1">
        <f t="array" aca="1" ref="G89" ca="1">OFFSET(Sheet1!$A$1,COLUMN()-6,ROW()-1,,)</f>
        <v>0</v>
      </c>
      <c r="H89" cm="1">
        <f t="array" aca="1" ref="H89" ca="1">OFFSET(Sheet1!$A$1,COLUMN()-6,ROW()-1,,)</f>
        <v>0</v>
      </c>
      <c r="I89" cm="1">
        <f t="array" aca="1" ref="I89" ca="1">OFFSET(Sheet1!$A$1,COLUMN()-6,ROW()-1,,)</f>
        <v>0</v>
      </c>
      <c r="J89" t="str" cm="1">
        <f t="array" aca="1" ref="J89" ca="1">OFFSET(Sheet1!$A$1,COLUMN()-6,ROW()-1,,)</f>
        <v>Si la réponse comporte moins de 2 étoiles OUI, merci de préciser votre réponse dans le champs ci-dessous :14</v>
      </c>
    </row>
    <row r="90" spans="1:10" hidden="1" x14ac:dyDescent="0.25">
      <c r="A90" t="e" cm="1">
        <f t="array" aca="1" ref="A90" ca="1">OFFSET('Sheet1 (2)'!$A$1,COLUMN()-1,ROW()-1,,)</f>
        <v>#DIV/0!</v>
      </c>
      <c r="B90" cm="1">
        <f t="array" aca="1" ref="B90" ca="1">OFFSET('Sheet1 (2)'!$A$1,COLUMN()-1,ROW()-1,,)</f>
        <v>0</v>
      </c>
      <c r="C90" cm="1">
        <f t="array" aca="1" ref="C90" ca="1">OFFSET('Sheet1 (2)'!$A$1,COLUMN()-1,ROW()-1,,)</f>
        <v>0</v>
      </c>
      <c r="D90" cm="1">
        <f t="array" aca="1" ref="D90" ca="1">OFFSET('Sheet1 (2)'!$A$1,COLUMN()-1,ROW()-1,,)</f>
        <v>0</v>
      </c>
      <c r="E90" s="2" t="str" cm="1">
        <f t="array" aca="1" ref="E90" ca="1">OFFSET('Sheet1 (2)'!$A$1,COLUMN()-1,ROW()-1,,)</f>
        <v>Points - Si la réponse comporte moins de 2 étoiles OUI, merci de préciser votre réponse dans le champs ci-dessous :14</v>
      </c>
      <c r="F90" t="e" cm="1">
        <f t="array" aca="1" ref="F90" ca="1">OFFSET(Sheet1!$A$1,COLUMN()-6,ROW()-1,,)</f>
        <v>#DIV/0!</v>
      </c>
      <c r="G90" cm="1">
        <f t="array" aca="1" ref="G90" ca="1">OFFSET(Sheet1!$A$1,COLUMN()-6,ROW()-1,,)</f>
        <v>0</v>
      </c>
      <c r="H90" cm="1">
        <f t="array" aca="1" ref="H90" ca="1">OFFSET(Sheet1!$A$1,COLUMN()-6,ROW()-1,,)</f>
        <v>0</v>
      </c>
      <c r="I90" cm="1">
        <f t="array" aca="1" ref="I90" ca="1">OFFSET(Sheet1!$A$1,COLUMN()-6,ROW()-1,,)</f>
        <v>0</v>
      </c>
      <c r="J90" t="str" cm="1">
        <f t="array" aca="1" ref="J90" ca="1">OFFSET(Sheet1!$A$1,COLUMN()-6,ROW()-1,,)</f>
        <v>Points - Si la réponse comporte moins de 2 étoiles OUI, merci de préciser votre réponse dans le champs ci-dessous :14</v>
      </c>
    </row>
    <row r="91" spans="1:10" hidden="1" x14ac:dyDescent="0.25">
      <c r="A91" t="e" cm="1">
        <f t="array" aca="1" ref="A91" ca="1">OFFSET('Sheet1 (2)'!$A$1,COLUMN()-1,ROW()-1,,)</f>
        <v>#DIV/0!</v>
      </c>
      <c r="B91" cm="1">
        <f t="array" aca="1" ref="B91" ca="1">OFFSET('Sheet1 (2)'!$A$1,COLUMN()-1,ROW()-1,,)</f>
        <v>0</v>
      </c>
      <c r="C91" cm="1">
        <f t="array" aca="1" ref="C91" ca="1">OFFSET('Sheet1 (2)'!$A$1,COLUMN()-1,ROW()-1,,)</f>
        <v>0</v>
      </c>
      <c r="D91" cm="1">
        <f t="array" aca="1" ref="D91" ca="1">OFFSET('Sheet1 (2)'!$A$1,COLUMN()-1,ROW()-1,,)</f>
        <v>0</v>
      </c>
      <c r="E91" s="2" t="str" cm="1">
        <f t="array" aca="1" ref="E91" ca="1">OFFSET('Sheet1 (2)'!$A$1,COLUMN()-1,ROW()-1,,)</f>
        <v>Feedback - Si la réponse comporte moins de 2 étoiles OUI, merci de préciser votre réponse dans le champs ci-dessous :14</v>
      </c>
      <c r="F91" t="e" cm="1">
        <f t="array" aca="1" ref="F91" ca="1">OFFSET(Sheet1!$A$1,COLUMN()-6,ROW()-1,,)</f>
        <v>#DIV/0!</v>
      </c>
      <c r="G91" cm="1">
        <f t="array" aca="1" ref="G91" ca="1">OFFSET(Sheet1!$A$1,COLUMN()-6,ROW()-1,,)</f>
        <v>0</v>
      </c>
      <c r="H91" cm="1">
        <f t="array" aca="1" ref="H91" ca="1">OFFSET(Sheet1!$A$1,COLUMN()-6,ROW()-1,,)</f>
        <v>0</v>
      </c>
      <c r="I91" cm="1">
        <f t="array" aca="1" ref="I91" ca="1">OFFSET(Sheet1!$A$1,COLUMN()-6,ROW()-1,,)</f>
        <v>0</v>
      </c>
      <c r="J91" t="str" cm="1">
        <f t="array" aca="1" ref="J91" ca="1">OFFSET(Sheet1!$A$1,COLUMN()-6,ROW()-1,,)</f>
        <v>Feedback - Si la réponse comporte moins de 2 étoiles OUI, merci de préciser votre réponse dans le champs ci-dessous :14</v>
      </c>
    </row>
    <row r="92" spans="1:10" x14ac:dyDescent="0.25">
      <c r="A92" cm="1">
        <f t="array" aca="1" ref="A92" ca="1">OFFSET('Sheet1 (2)'!$A$1,COLUMN()-1,ROW()-1,,)</f>
        <v>4.5714285714285712</v>
      </c>
      <c r="B92" cm="1">
        <f t="array" aca="1" ref="B92" ca="1">OFFSET('Sheet1 (2)'!$A$1,COLUMN()-1,ROW()-1,,)</f>
        <v>4</v>
      </c>
      <c r="C92" cm="1">
        <f t="array" aca="1" ref="C92" ca="1">OFFSET('Sheet1 (2)'!$A$1,COLUMN()-1,ROW()-1,,)</f>
        <v>5</v>
      </c>
      <c r="D92" cm="1">
        <f t="array" aca="1" ref="D92" ca="1">OFFSET('Sheet1 (2)'!$A$1,COLUMN()-1,ROW()-1,,)</f>
        <v>7</v>
      </c>
      <c r="E92" s="2" t="str" cm="1">
        <f t="array" aca="1" ref="E92" ca="1">OFFSET('Sheet1 (2)'!$A$1,COLUMN()-1,ROW()-1,,)</f>
        <v>CHEMIN CRITIQUE : Les délais et ressources à travers de ce projet sont gérés efficacement</v>
      </c>
      <c r="F92" cm="1">
        <f t="array" aca="1" ref="F92" ca="1">OFFSET(Sheet1!$A$1,COLUMN()-6,ROW()-1,,)</f>
        <v>3.2962962962962963</v>
      </c>
      <c r="G92" cm="1">
        <f t="array" aca="1" ref="G92" ca="1">OFFSET(Sheet1!$A$1,COLUMN()-6,ROW()-1,,)</f>
        <v>2</v>
      </c>
      <c r="H92" cm="1">
        <f t="array" aca="1" ref="H92" ca="1">OFFSET(Sheet1!$A$1,COLUMN()-6,ROW()-1,,)</f>
        <v>5</v>
      </c>
      <c r="I92" cm="1">
        <f t="array" aca="1" ref="I92" ca="1">OFFSET(Sheet1!$A$1,COLUMN()-6,ROW()-1,,)</f>
        <v>27</v>
      </c>
      <c r="J92" t="str" cm="1">
        <f t="array" aca="1" ref="J92" ca="1">OFFSET(Sheet1!$A$1,COLUMN()-6,ROW()-1,,)</f>
        <v>CHEMIN CRITIQUE : Les délais et ressources à travers de ce projet sont gérés efficacement</v>
      </c>
    </row>
    <row r="93" spans="1:10" hidden="1" x14ac:dyDescent="0.25">
      <c r="A93" t="e" cm="1">
        <f t="array" aca="1" ref="A93" ca="1">OFFSET('Sheet1 (2)'!$A$1,COLUMN()-1,ROW()-1,,)</f>
        <v>#DIV/0!</v>
      </c>
      <c r="B93" cm="1">
        <f t="array" aca="1" ref="B93" ca="1">OFFSET('Sheet1 (2)'!$A$1,COLUMN()-1,ROW()-1,,)</f>
        <v>0</v>
      </c>
      <c r="C93" cm="1">
        <f t="array" aca="1" ref="C93" ca="1">OFFSET('Sheet1 (2)'!$A$1,COLUMN()-1,ROW()-1,,)</f>
        <v>0</v>
      </c>
      <c r="D93" cm="1">
        <f t="array" aca="1" ref="D93" ca="1">OFFSET('Sheet1 (2)'!$A$1,COLUMN()-1,ROW()-1,,)</f>
        <v>0</v>
      </c>
      <c r="E93" s="2" t="str" cm="1">
        <f t="array" aca="1" ref="E93" ca="1">OFFSET('Sheet1 (2)'!$A$1,COLUMN()-1,ROW()-1,,)</f>
        <v>Points - CHEMIN CRITIQUE : Les délais et ressources à travers de ce projet sont gérés efficacement</v>
      </c>
      <c r="F93" t="e" cm="1">
        <f t="array" aca="1" ref="F93" ca="1">OFFSET(Sheet1!$A$1,COLUMN()-6,ROW()-1,,)</f>
        <v>#DIV/0!</v>
      </c>
      <c r="G93" cm="1">
        <f t="array" aca="1" ref="G93" ca="1">OFFSET(Sheet1!$A$1,COLUMN()-6,ROW()-1,,)</f>
        <v>0</v>
      </c>
      <c r="H93" cm="1">
        <f t="array" aca="1" ref="H93" ca="1">OFFSET(Sheet1!$A$1,COLUMN()-6,ROW()-1,,)</f>
        <v>0</v>
      </c>
      <c r="I93" cm="1">
        <f t="array" aca="1" ref="I93" ca="1">OFFSET(Sheet1!$A$1,COLUMN()-6,ROW()-1,,)</f>
        <v>0</v>
      </c>
      <c r="J93" t="str" cm="1">
        <f t="array" aca="1" ref="J93" ca="1">OFFSET(Sheet1!$A$1,COLUMN()-6,ROW()-1,,)</f>
        <v>Points - CHEMIN CRITIQUE : Les délais et ressources à travers de ce projet sont gérés efficacement</v>
      </c>
    </row>
    <row r="94" spans="1:10" hidden="1" x14ac:dyDescent="0.25">
      <c r="A94" t="e" cm="1">
        <f t="array" aca="1" ref="A94" ca="1">OFFSET('Sheet1 (2)'!$A$1,COLUMN()-1,ROW()-1,,)</f>
        <v>#DIV/0!</v>
      </c>
      <c r="B94" cm="1">
        <f t="array" aca="1" ref="B94" ca="1">OFFSET('Sheet1 (2)'!$A$1,COLUMN()-1,ROW()-1,,)</f>
        <v>0</v>
      </c>
      <c r="C94" cm="1">
        <f t="array" aca="1" ref="C94" ca="1">OFFSET('Sheet1 (2)'!$A$1,COLUMN()-1,ROW()-1,,)</f>
        <v>0</v>
      </c>
      <c r="D94" cm="1">
        <f t="array" aca="1" ref="D94" ca="1">OFFSET('Sheet1 (2)'!$A$1,COLUMN()-1,ROW()-1,,)</f>
        <v>0</v>
      </c>
      <c r="E94" s="2" t="str" cm="1">
        <f t="array" aca="1" ref="E94" ca="1">OFFSET('Sheet1 (2)'!$A$1,COLUMN()-1,ROW()-1,,)</f>
        <v>Feedback - CHEMIN CRITIQUE : Les délais et ressources à travers de ce projet sont gérés efficacement</v>
      </c>
      <c r="F94" t="e" cm="1">
        <f t="array" aca="1" ref="F94" ca="1">OFFSET(Sheet1!$A$1,COLUMN()-6,ROW()-1,,)</f>
        <v>#DIV/0!</v>
      </c>
      <c r="G94" cm="1">
        <f t="array" aca="1" ref="G94" ca="1">OFFSET(Sheet1!$A$1,COLUMN()-6,ROW()-1,,)</f>
        <v>0</v>
      </c>
      <c r="H94" cm="1">
        <f t="array" aca="1" ref="H94" ca="1">OFFSET(Sheet1!$A$1,COLUMN()-6,ROW()-1,,)</f>
        <v>0</v>
      </c>
      <c r="I94" cm="1">
        <f t="array" aca="1" ref="I94" ca="1">OFFSET(Sheet1!$A$1,COLUMN()-6,ROW()-1,,)</f>
        <v>0</v>
      </c>
      <c r="J94" t="str" cm="1">
        <f t="array" aca="1" ref="J94" ca="1">OFFSET(Sheet1!$A$1,COLUMN()-6,ROW()-1,,)</f>
        <v>Feedback - CHEMIN CRITIQUE : Les délais et ressources à travers de ce projet sont gérés efficacement</v>
      </c>
    </row>
    <row r="95" spans="1:10" hidden="1" x14ac:dyDescent="0.25">
      <c r="A95" t="e" cm="1">
        <f t="array" aca="1" ref="A95" ca="1">OFFSET('Sheet1 (2)'!$A$1,COLUMN()-1,ROW()-1,,)</f>
        <v>#DIV/0!</v>
      </c>
      <c r="B95" cm="1">
        <f t="array" aca="1" ref="B95" ca="1">OFFSET('Sheet1 (2)'!$A$1,COLUMN()-1,ROW()-1,,)</f>
        <v>0</v>
      </c>
      <c r="C95" cm="1">
        <f t="array" aca="1" ref="C95" ca="1">OFFSET('Sheet1 (2)'!$A$1,COLUMN()-1,ROW()-1,,)</f>
        <v>0</v>
      </c>
      <c r="D95" cm="1">
        <f t="array" aca="1" ref="D95" ca="1">OFFSET('Sheet1 (2)'!$A$1,COLUMN()-1,ROW()-1,,)</f>
        <v>0</v>
      </c>
      <c r="E95" s="2" t="str" cm="1">
        <f t="array" aca="1" ref="E95" ca="1">OFFSET('Sheet1 (2)'!$A$1,COLUMN()-1,ROW()-1,,)</f>
        <v>Si la réponse comporte moins de 2 étoiles OUI, merci de préciser votre réponse dans le champs ci-dessous :15</v>
      </c>
      <c r="F95" t="e" cm="1">
        <f t="array" aca="1" ref="F95" ca="1">OFFSET(Sheet1!$A$1,COLUMN()-6,ROW()-1,,)</f>
        <v>#DIV/0!</v>
      </c>
      <c r="G95" cm="1">
        <f t="array" aca="1" ref="G95" ca="1">OFFSET(Sheet1!$A$1,COLUMN()-6,ROW()-1,,)</f>
        <v>0</v>
      </c>
      <c r="H95" cm="1">
        <f t="array" aca="1" ref="H95" ca="1">OFFSET(Sheet1!$A$1,COLUMN()-6,ROW()-1,,)</f>
        <v>0</v>
      </c>
      <c r="I95" cm="1">
        <f t="array" aca="1" ref="I95" ca="1">OFFSET(Sheet1!$A$1,COLUMN()-6,ROW()-1,,)</f>
        <v>0</v>
      </c>
      <c r="J95" t="str" cm="1">
        <f t="array" aca="1" ref="J95" ca="1">OFFSET(Sheet1!$A$1,COLUMN()-6,ROW()-1,,)</f>
        <v>Si la réponse comporte moins de 2 étoiles OUI, merci de préciser votre réponse dans le champs ci-dessous :15</v>
      </c>
    </row>
    <row r="96" spans="1:10" hidden="1" x14ac:dyDescent="0.25">
      <c r="A96" t="e" cm="1">
        <f t="array" aca="1" ref="A96" ca="1">OFFSET('Sheet1 (2)'!$A$1,COLUMN()-1,ROW()-1,,)</f>
        <v>#DIV/0!</v>
      </c>
      <c r="B96" cm="1">
        <f t="array" aca="1" ref="B96" ca="1">OFFSET('Sheet1 (2)'!$A$1,COLUMN()-1,ROW()-1,,)</f>
        <v>0</v>
      </c>
      <c r="C96" cm="1">
        <f t="array" aca="1" ref="C96" ca="1">OFFSET('Sheet1 (2)'!$A$1,COLUMN()-1,ROW()-1,,)</f>
        <v>0</v>
      </c>
      <c r="D96" cm="1">
        <f t="array" aca="1" ref="D96" ca="1">OFFSET('Sheet1 (2)'!$A$1,COLUMN()-1,ROW()-1,,)</f>
        <v>0</v>
      </c>
      <c r="E96" s="2" t="str" cm="1">
        <f t="array" aca="1" ref="E96" ca="1">OFFSET('Sheet1 (2)'!$A$1,COLUMN()-1,ROW()-1,,)</f>
        <v>Points - Si la réponse comporte moins de 2 étoiles OUI, merci de préciser votre réponse dans le champs ci-dessous :15</v>
      </c>
      <c r="F96" t="e" cm="1">
        <f t="array" aca="1" ref="F96" ca="1">OFFSET(Sheet1!$A$1,COLUMN()-6,ROW()-1,,)</f>
        <v>#DIV/0!</v>
      </c>
      <c r="G96" cm="1">
        <f t="array" aca="1" ref="G96" ca="1">OFFSET(Sheet1!$A$1,COLUMN()-6,ROW()-1,,)</f>
        <v>0</v>
      </c>
      <c r="H96" cm="1">
        <f t="array" aca="1" ref="H96" ca="1">OFFSET(Sheet1!$A$1,COLUMN()-6,ROW()-1,,)</f>
        <v>0</v>
      </c>
      <c r="I96" cm="1">
        <f t="array" aca="1" ref="I96" ca="1">OFFSET(Sheet1!$A$1,COLUMN()-6,ROW()-1,,)</f>
        <v>0</v>
      </c>
      <c r="J96" t="str" cm="1">
        <f t="array" aca="1" ref="J96" ca="1">OFFSET(Sheet1!$A$1,COLUMN()-6,ROW()-1,,)</f>
        <v>Points - Si la réponse comporte moins de 2 étoiles OUI, merci de préciser votre réponse dans le champs ci-dessous :15</v>
      </c>
    </row>
    <row r="97" spans="1:10" hidden="1" x14ac:dyDescent="0.25">
      <c r="A97" t="e" cm="1">
        <f t="array" aca="1" ref="A97" ca="1">OFFSET('Sheet1 (2)'!$A$1,COLUMN()-1,ROW()-1,,)</f>
        <v>#DIV/0!</v>
      </c>
      <c r="B97" cm="1">
        <f t="array" aca="1" ref="B97" ca="1">OFFSET('Sheet1 (2)'!$A$1,COLUMN()-1,ROW()-1,,)</f>
        <v>0</v>
      </c>
      <c r="C97" cm="1">
        <f t="array" aca="1" ref="C97" ca="1">OFFSET('Sheet1 (2)'!$A$1,COLUMN()-1,ROW()-1,,)</f>
        <v>0</v>
      </c>
      <c r="D97" cm="1">
        <f t="array" aca="1" ref="D97" ca="1">OFFSET('Sheet1 (2)'!$A$1,COLUMN()-1,ROW()-1,,)</f>
        <v>0</v>
      </c>
      <c r="E97" s="2" t="str" cm="1">
        <f t="array" aca="1" ref="E97" ca="1">OFFSET('Sheet1 (2)'!$A$1,COLUMN()-1,ROW()-1,,)</f>
        <v>Feedback - Si la réponse comporte moins de 2 étoiles OUI, merci de préciser votre réponse dans le champs ci-dessous :15</v>
      </c>
      <c r="F97" t="e" cm="1">
        <f t="array" aca="1" ref="F97" ca="1">OFFSET(Sheet1!$A$1,COLUMN()-6,ROW()-1,,)</f>
        <v>#DIV/0!</v>
      </c>
      <c r="G97" cm="1">
        <f t="array" aca="1" ref="G97" ca="1">OFFSET(Sheet1!$A$1,COLUMN()-6,ROW()-1,,)</f>
        <v>0</v>
      </c>
      <c r="H97" cm="1">
        <f t="array" aca="1" ref="H97" ca="1">OFFSET(Sheet1!$A$1,COLUMN()-6,ROW()-1,,)</f>
        <v>0</v>
      </c>
      <c r="I97" cm="1">
        <f t="array" aca="1" ref="I97" ca="1">OFFSET(Sheet1!$A$1,COLUMN()-6,ROW()-1,,)</f>
        <v>0</v>
      </c>
      <c r="J97" t="str" cm="1">
        <f t="array" aca="1" ref="J97" ca="1">OFFSET(Sheet1!$A$1,COLUMN()-6,ROW()-1,,)</f>
        <v>Feedback - Si la réponse comporte moins de 2 étoiles OUI, merci de préciser votre réponse dans le champs ci-dessous :15</v>
      </c>
    </row>
    <row r="98" spans="1:10" hidden="1" x14ac:dyDescent="0.25">
      <c r="A98" cm="1">
        <f t="array" aca="1" ref="A98" ca="1">OFFSET('Sheet1 (2)'!$A$1,COLUMN()-1,ROW()-1,,)</f>
        <v>0</v>
      </c>
      <c r="B98" cm="1">
        <f t="array" aca="1" ref="B98" ca="1">OFFSET('Sheet1 (2)'!$A$1,COLUMN()-1,ROW()-1,,)</f>
        <v>0</v>
      </c>
      <c r="C98" cm="1">
        <f t="array" aca="1" ref="C98" ca="1">OFFSET('Sheet1 (2)'!$A$1,COLUMN()-1,ROW()-1,,)</f>
        <v>0</v>
      </c>
      <c r="D98" cm="1">
        <f t="array" aca="1" ref="D98" ca="1">OFFSET('Sheet1 (2)'!$A$1,COLUMN()-1,ROW()-1,,)</f>
        <v>0</v>
      </c>
      <c r="E98" s="2" cm="1">
        <f t="array" aca="1" ref="E98" ca="1">OFFSET('Sheet1 (2)'!$A$1,COLUMN()-1,ROW()-1,,)</f>
        <v>0</v>
      </c>
      <c r="F98" cm="1">
        <f t="array" aca="1" ref="F98" ca="1">OFFSET(Sheet1!$A$1,COLUMN()-6,ROW()-1,,)</f>
        <v>0</v>
      </c>
      <c r="G98" cm="1">
        <f t="array" aca="1" ref="G98" ca="1">OFFSET(Sheet1!$A$1,COLUMN()-6,ROW()-1,,)</f>
        <v>0</v>
      </c>
      <c r="H98" cm="1">
        <f t="array" aca="1" ref="H98" ca="1">OFFSET(Sheet1!$A$1,COLUMN()-6,ROW()-1,,)</f>
        <v>0</v>
      </c>
      <c r="I98" cm="1">
        <f t="array" aca="1" ref="I98" ca="1">OFFSET(Sheet1!$A$1,COLUMN()-6,ROW()-1,,)</f>
        <v>0</v>
      </c>
      <c r="J98" cm="1">
        <f t="array" aca="1" ref="J98" ca="1">OFFSET(Sheet1!$A$1,COLUMN()-6,ROW()-1,,)</f>
        <v>0</v>
      </c>
    </row>
  </sheetData>
  <autoFilter ref="A1:J98" xr:uid="{10E04E00-56CA-4E5D-9404-7F4D5189C187}">
    <filterColumn colId="0">
      <customFilters and="1">
        <customFilter operator="greaterThanOrEqual" val="1E-3"/>
        <customFilter operator="lessThanOrEqual" val="5"/>
      </customFilters>
    </filterColumn>
    <filterColumn colId="4">
      <filters>
        <filter val="0"/>
        <filter val="ALIGNEMENT : Je suis aligné sur l’objectif final du programme"/>
        <filter val="CAPACITE : Ce changement entraine une charge de travail que nous pouvons absorber sur le site"/>
        <filter val="CHEMIN CRITIQUE : Les délais et ressources à travers de ce projet sont gérés efficacement"/>
        <filter val="CLARTE : J'ai une vision claire de l’objectif final du programme"/>
        <filter val="CULTURE  : Nous avons la culture appropriée pour absorber ce changement"/>
        <filter val="ENGAGEMENT  : Je supporte l’objectif du programme"/>
        <filter val="INTEGRITE : Les objectifs initiaux du programme restent les mêmes"/>
        <filter val="PARTENARIAT : Nos interactions avec des partenaires externes sont suffisantes pour supporter ce changement"/>
        <filter val="PORTFOLIO : Les interactions de ce projet avec les autres initiatives sont gérées correctement"/>
        <filter val="RESISTANCE  : Les personnes impactées par ce changement démontrent l'engagement nécessaire pour réussir sa mise en place"/>
        <filter val="RESSOURCES : Les ressources sont suffisantes pour absorber ce changement"/>
        <filter val="SOLUTION  : L’approche pour atteindre l’objectif du programme est solide"/>
        <filter val="SPONSORSHIP  : Les leaders fournissent le niveau de sponsorship suffisant pour supporter le programme"/>
        <filter val="SUPERVISION : Les instances de pilotage permettent de prendre des décisions rapides et efficaces"/>
        <filter val="SYNERGIE : Nos efforts de collaboration pour ce projet nous font gagner du temps plus qu’il n’en coute"/>
      </filters>
    </filterColumn>
  </autoFilter>
  <conditionalFormatting sqref="E3:E98">
    <cfRule type="expression" dxfId="0" priority="1">
      <formula>E3&lt;&gt;J3</formula>
    </cfRule>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Werkbladen</vt:lpstr>
      </vt:variant>
      <vt:variant>
        <vt:i4>3</vt:i4>
      </vt:variant>
      <vt:variant>
        <vt:lpstr>Grafieken</vt:lpstr>
      </vt:variant>
      <vt:variant>
        <vt:i4>1</vt:i4>
      </vt:variant>
    </vt:vector>
  </HeadingPairs>
  <TitlesOfParts>
    <vt:vector size="4" baseType="lpstr">
      <vt:lpstr>Sheet1 (2)</vt:lpstr>
      <vt:lpstr>Sheet1</vt:lpstr>
      <vt:lpstr>compaire</vt:lpstr>
      <vt:lpstr>Grafiek1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Royer, Elodie</dc:creator>
  <cp:lastModifiedBy>BSA</cp:lastModifiedBy>
  <dcterms:created xsi:type="dcterms:W3CDTF">2023-01-03T16:00:47Z</dcterms:created>
  <dcterms:modified xsi:type="dcterms:W3CDTF">2023-01-04T08:57:24Z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42aa342-8706-4288-bd11-ebb85995028c_Enabled">
    <vt:lpwstr>True</vt:lpwstr>
  </property>
  <property fmtid="{D5CDD505-2E9C-101B-9397-08002B2CF9AE}" pid="3" name="MSIP_Label_f42aa342-8706-4288-bd11-ebb85995028c_SiteId">
    <vt:lpwstr>72f988bf-86f1-41af-91ab-2d7cd011db47</vt:lpwstr>
  </property>
  <property fmtid="{D5CDD505-2E9C-101B-9397-08002B2CF9AE}" pid="4" name="MSIP_Label_f42aa342-8706-4288-bd11-ebb85995028c_Owner">
    <vt:lpwstr>qinzen@microsoft.com</vt:lpwstr>
  </property>
  <property fmtid="{D5CDD505-2E9C-101B-9397-08002B2CF9AE}" pid="5" name="MSIP_Label_f42aa342-8706-4288-bd11-ebb85995028c_SetDate">
    <vt:lpwstr>2018-05-23T11:41:12.6969027Z</vt:lpwstr>
  </property>
  <property fmtid="{D5CDD505-2E9C-101B-9397-08002B2CF9AE}" pid="6" name="MSIP_Label_f42aa342-8706-4288-bd11-ebb85995028c_Name">
    <vt:lpwstr>General</vt:lpwstr>
  </property>
  <property fmtid="{D5CDD505-2E9C-101B-9397-08002B2CF9AE}" pid="7" name="MSIP_Label_f42aa342-8706-4288-bd11-ebb85995028c_Application">
    <vt:lpwstr>Microsoft Azure Information Protection</vt:lpwstr>
  </property>
  <property fmtid="{D5CDD505-2E9C-101B-9397-08002B2CF9AE}" pid="8" name="MSIP_Label_f42aa342-8706-4288-bd11-ebb85995028c_Extended_MSFT_Method">
    <vt:lpwstr>Automatic</vt:lpwstr>
  </property>
  <property fmtid="{D5CDD505-2E9C-101B-9397-08002B2CF9AE}" pid="9" name="Sensitivity">
    <vt:lpwstr>General</vt:lpwstr>
  </property>
</Properties>
</file>