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fileSharing userName="Guillaume Uytdenhoven" algorithmName="SHA-512" hashValue="3iKmHI9cTQ/xyt8gGD4fQs3Lw/+rhPaC5rl2lYjJMkJar9T48hCWY0tNatir7nGNVzfEsfQPwaNLbDjs+d+lqQ==" saltValue="Vy0jFIwAWu644bNGjI2GNw==" spinCount="100000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0001_{5A72096A-D710-4866-A8C1-6A8572BA3CD7}" xr6:coauthVersionLast="47" xr6:coauthVersionMax="47" xr10:uidLastSave="{00000000-0000-0000-0000-000000000000}"/>
  <bookViews>
    <workbookView xWindow="-120" yWindow="-120" windowWidth="29040" windowHeight="16440" tabRatio="751" xr2:uid="{00000000-000D-0000-FFFF-FFFF00000000}"/>
  </bookViews>
  <sheets>
    <sheet name="Données" sheetId="37" r:id="rId1"/>
    <sheet name="TCD" sheetId="59" r:id="rId2"/>
    <sheet name="RECAP" sheetId="11" r:id="rId3"/>
  </sheets>
  <definedNames>
    <definedName name="pause">Données!$S$1</definedName>
  </definedNames>
  <calcPr calcId="191029"/>
  <pivotCaches>
    <pivotCache cacheId="3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37" l="1"/>
  <c r="G3" i="37"/>
  <c r="G4" i="37"/>
  <c r="G5" i="37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39" i="37"/>
  <c r="G40" i="37"/>
  <c r="G41" i="37"/>
  <c r="G42" i="37"/>
  <c r="G43" i="37"/>
  <c r="G44" i="37"/>
  <c r="G45" i="37"/>
  <c r="G46" i="37"/>
  <c r="G47" i="37"/>
  <c r="G48" i="37"/>
  <c r="G49" i="37"/>
  <c r="G50" i="37"/>
  <c r="G51" i="37"/>
  <c r="G52" i="37"/>
  <c r="G53" i="37"/>
  <c r="G54" i="37"/>
  <c r="G55" i="37"/>
  <c r="G56" i="37"/>
  <c r="G57" i="37"/>
  <c r="G58" i="37"/>
  <c r="G59" i="37"/>
  <c r="G60" i="37"/>
  <c r="G61" i="37"/>
  <c r="G62" i="37"/>
  <c r="G63" i="37"/>
  <c r="G64" i="37"/>
  <c r="G65" i="37"/>
  <c r="G66" i="37"/>
  <c r="G67" i="37"/>
  <c r="G68" i="37"/>
  <c r="G69" i="37"/>
  <c r="G70" i="37"/>
  <c r="G71" i="37"/>
  <c r="G72" i="37"/>
  <c r="G73" i="37"/>
  <c r="G74" i="37"/>
  <c r="G75" i="37"/>
  <c r="G76" i="37"/>
  <c r="G77" i="37"/>
  <c r="G78" i="37"/>
  <c r="G79" i="37"/>
  <c r="G80" i="37"/>
  <c r="G81" i="37"/>
  <c r="G82" i="37"/>
  <c r="G83" i="37"/>
  <c r="G84" i="37"/>
  <c r="G85" i="37"/>
  <c r="G86" i="37"/>
  <c r="G87" i="37"/>
  <c r="G88" i="37"/>
  <c r="G89" i="37"/>
  <c r="G90" i="37"/>
  <c r="G91" i="37"/>
  <c r="G92" i="37"/>
  <c r="G93" i="37"/>
  <c r="G94" i="37"/>
  <c r="G95" i="37"/>
  <c r="G96" i="37"/>
  <c r="G97" i="37"/>
  <c r="G98" i="37"/>
  <c r="G99" i="37"/>
  <c r="G100" i="37"/>
  <c r="G101" i="37"/>
  <c r="G102" i="37"/>
  <c r="G103" i="37"/>
  <c r="G104" i="37"/>
  <c r="G105" i="37"/>
  <c r="G106" i="37"/>
  <c r="G107" i="37"/>
  <c r="G108" i="37"/>
  <c r="G109" i="37"/>
  <c r="G110" i="37"/>
  <c r="G111" i="37"/>
  <c r="G112" i="37"/>
  <c r="G113" i="37"/>
  <c r="G114" i="37"/>
  <c r="G115" i="37"/>
  <c r="G116" i="37"/>
  <c r="G117" i="37"/>
  <c r="G118" i="37"/>
  <c r="G119" i="37"/>
  <c r="G120" i="37"/>
  <c r="G121" i="37"/>
  <c r="G122" i="37"/>
  <c r="G123" i="37"/>
  <c r="G124" i="37"/>
  <c r="G125" i="37"/>
  <c r="G126" i="37"/>
  <c r="G127" i="37"/>
  <c r="G128" i="37"/>
  <c r="G129" i="37"/>
  <c r="G130" i="37"/>
  <c r="G131" i="37"/>
  <c r="K2" i="37"/>
  <c r="K3" i="37"/>
  <c r="K4" i="37"/>
  <c r="K5" i="37"/>
  <c r="K6" i="37"/>
  <c r="K7" i="37"/>
  <c r="K8" i="37"/>
  <c r="K9" i="37"/>
  <c r="K10" i="37"/>
  <c r="K11" i="37"/>
  <c r="K12" i="37"/>
  <c r="K13" i="37"/>
  <c r="K14" i="37"/>
  <c r="K15" i="37"/>
  <c r="K16" i="37"/>
  <c r="K17" i="37"/>
  <c r="K18" i="37"/>
  <c r="K19" i="37"/>
  <c r="K20" i="37"/>
  <c r="K21" i="37"/>
  <c r="K22" i="37"/>
  <c r="K23" i="37"/>
  <c r="K24" i="37"/>
  <c r="K25" i="37"/>
  <c r="K26" i="37"/>
  <c r="K27" i="37"/>
  <c r="K28" i="37"/>
  <c r="K29" i="37"/>
  <c r="K30" i="37"/>
  <c r="K31" i="37"/>
  <c r="K32" i="37"/>
  <c r="K33" i="37"/>
  <c r="K34" i="37"/>
  <c r="K35" i="37"/>
  <c r="K36" i="37"/>
  <c r="K37" i="37"/>
  <c r="K38" i="37"/>
  <c r="K39" i="37"/>
  <c r="K40" i="37"/>
  <c r="K41" i="37"/>
  <c r="K42" i="37"/>
  <c r="K43" i="37"/>
  <c r="K44" i="37"/>
  <c r="K45" i="37"/>
  <c r="K46" i="37"/>
  <c r="K47" i="37"/>
  <c r="K48" i="37"/>
  <c r="K49" i="37"/>
  <c r="K50" i="37"/>
  <c r="K51" i="37"/>
  <c r="K52" i="37"/>
  <c r="K53" i="37"/>
  <c r="K54" i="37"/>
  <c r="K55" i="37"/>
  <c r="K56" i="37"/>
  <c r="K57" i="37"/>
  <c r="K58" i="37"/>
  <c r="K59" i="37"/>
  <c r="K60" i="37"/>
  <c r="K61" i="37"/>
  <c r="K62" i="37"/>
  <c r="K63" i="37"/>
  <c r="K64" i="37"/>
  <c r="K65" i="37"/>
  <c r="K66" i="37"/>
  <c r="K67" i="37"/>
  <c r="K68" i="37"/>
  <c r="K69" i="37"/>
  <c r="K70" i="37"/>
  <c r="K71" i="37"/>
  <c r="K72" i="37"/>
  <c r="K73" i="37"/>
  <c r="K74" i="37"/>
  <c r="K75" i="37"/>
  <c r="K76" i="37"/>
  <c r="K77" i="37"/>
  <c r="K78" i="37"/>
  <c r="K79" i="37"/>
  <c r="K80" i="37"/>
  <c r="K81" i="37"/>
  <c r="K82" i="37"/>
  <c r="K83" i="37"/>
  <c r="K84" i="37"/>
  <c r="K85" i="37"/>
  <c r="K86" i="37"/>
  <c r="K87" i="37"/>
  <c r="K88" i="37"/>
  <c r="K89" i="37"/>
  <c r="K90" i="37"/>
  <c r="K91" i="37"/>
  <c r="K92" i="37"/>
  <c r="K93" i="37"/>
  <c r="K94" i="37"/>
  <c r="K95" i="37"/>
  <c r="K96" i="37"/>
  <c r="K97" i="37"/>
  <c r="K98" i="37"/>
  <c r="K99" i="37"/>
  <c r="K100" i="37"/>
  <c r="K101" i="37"/>
  <c r="K102" i="37"/>
  <c r="K103" i="37"/>
  <c r="K104" i="37"/>
  <c r="K105" i="37"/>
  <c r="K106" i="37"/>
  <c r="K107" i="37"/>
  <c r="K108" i="37"/>
  <c r="K109" i="37"/>
  <c r="K110" i="37"/>
  <c r="K111" i="37"/>
  <c r="K112" i="37"/>
  <c r="K113" i="37"/>
  <c r="K114" i="37"/>
  <c r="K115" i="37"/>
  <c r="K116" i="37"/>
  <c r="K117" i="37"/>
  <c r="K118" i="37"/>
  <c r="K119" i="37"/>
  <c r="K120" i="37"/>
  <c r="K121" i="37"/>
  <c r="K122" i="37"/>
  <c r="K123" i="37"/>
  <c r="K124" i="37"/>
  <c r="K125" i="37"/>
  <c r="K126" i="37"/>
  <c r="K127" i="37"/>
  <c r="K128" i="37"/>
  <c r="K129" i="37"/>
  <c r="K130" i="37"/>
  <c r="K131" i="37"/>
  <c r="I67" i="37"/>
  <c r="J67" i="37" a="1"/>
  <c r="J67" i="37" s="1"/>
  <c r="L67" i="37"/>
  <c r="F67" i="37"/>
  <c r="F68" i="37"/>
  <c r="F69" i="37"/>
  <c r="F70" i="37"/>
  <c r="F71" i="37"/>
  <c r="F72" i="37"/>
  <c r="F73" i="37"/>
  <c r="F74" i="37"/>
  <c r="F75" i="37"/>
  <c r="F76" i="37"/>
  <c r="F77" i="37"/>
  <c r="F78" i="37"/>
  <c r="F79" i="37"/>
  <c r="F80" i="37"/>
  <c r="F81" i="37"/>
  <c r="F82" i="37"/>
  <c r="F83" i="37"/>
  <c r="F84" i="37"/>
  <c r="F85" i="37"/>
  <c r="F86" i="37"/>
  <c r="F87" i="37"/>
  <c r="F88" i="37"/>
  <c r="F89" i="37"/>
  <c r="F90" i="37"/>
  <c r="F91" i="37"/>
  <c r="F92" i="37"/>
  <c r="F93" i="37"/>
  <c r="F94" i="37"/>
  <c r="F95" i="37"/>
  <c r="F96" i="37"/>
  <c r="F97" i="37"/>
  <c r="F98" i="37"/>
  <c r="F99" i="37"/>
  <c r="F100" i="37"/>
  <c r="F101" i="37"/>
  <c r="F102" i="37"/>
  <c r="F103" i="37"/>
  <c r="F104" i="37"/>
  <c r="F105" i="37"/>
  <c r="F106" i="37"/>
  <c r="F107" i="37"/>
  <c r="F108" i="37"/>
  <c r="F109" i="37"/>
  <c r="F110" i="37"/>
  <c r="F111" i="37"/>
  <c r="F112" i="37"/>
  <c r="F113" i="37"/>
  <c r="F114" i="37"/>
  <c r="F115" i="37"/>
  <c r="F116" i="37"/>
  <c r="F117" i="37"/>
  <c r="F118" i="37"/>
  <c r="F119" i="37"/>
  <c r="F120" i="37"/>
  <c r="F121" i="37"/>
  <c r="F122" i="37"/>
  <c r="F123" i="37"/>
  <c r="F124" i="37"/>
  <c r="F125" i="37"/>
  <c r="F126" i="37"/>
  <c r="F127" i="37"/>
  <c r="F128" i="37"/>
  <c r="F129" i="37"/>
  <c r="F130" i="37"/>
  <c r="F131" i="37"/>
  <c r="B68" i="37"/>
  <c r="I68" i="37" s="1"/>
  <c r="F2" i="37"/>
  <c r="F3" i="37"/>
  <c r="F4" i="37"/>
  <c r="F5" i="37"/>
  <c r="F6" i="37"/>
  <c r="F7" i="37"/>
  <c r="F8" i="37"/>
  <c r="F9" i="37"/>
  <c r="F10" i="37"/>
  <c r="F11" i="37"/>
  <c r="F12" i="37"/>
  <c r="F13" i="37"/>
  <c r="F14" i="37"/>
  <c r="F15" i="37"/>
  <c r="F16" i="37"/>
  <c r="F17" i="37"/>
  <c r="F18" i="37"/>
  <c r="F19" i="37"/>
  <c r="F20" i="37"/>
  <c r="F21" i="37"/>
  <c r="F22" i="37"/>
  <c r="F23" i="37"/>
  <c r="F24" i="37"/>
  <c r="F25" i="37"/>
  <c r="F26" i="37"/>
  <c r="F27" i="37"/>
  <c r="F28" i="37"/>
  <c r="F29" i="37"/>
  <c r="F30" i="37"/>
  <c r="F31" i="37"/>
  <c r="F32" i="37"/>
  <c r="F33" i="37"/>
  <c r="F34" i="37"/>
  <c r="F35" i="37"/>
  <c r="F36" i="37"/>
  <c r="F37" i="37"/>
  <c r="F38" i="37"/>
  <c r="F39" i="37"/>
  <c r="F40" i="37"/>
  <c r="F41" i="37"/>
  <c r="F42" i="37"/>
  <c r="F43" i="37"/>
  <c r="F44" i="37"/>
  <c r="F45" i="37"/>
  <c r="F46" i="37"/>
  <c r="F47" i="37"/>
  <c r="F48" i="37"/>
  <c r="F49" i="37"/>
  <c r="F50" i="37"/>
  <c r="F51" i="37"/>
  <c r="F52" i="37"/>
  <c r="F53" i="37"/>
  <c r="F54" i="37"/>
  <c r="F55" i="37"/>
  <c r="F56" i="37"/>
  <c r="F57" i="37"/>
  <c r="F58" i="37"/>
  <c r="F59" i="37"/>
  <c r="F60" i="37"/>
  <c r="F61" i="37"/>
  <c r="F62" i="37"/>
  <c r="F63" i="37"/>
  <c r="F64" i="37"/>
  <c r="F65" i="37"/>
  <c r="F66" i="37"/>
  <c r="L2" i="37"/>
  <c r="V13" i="11"/>
  <c r="V14" i="11"/>
  <c r="U13" i="11"/>
  <c r="U14" i="11"/>
  <c r="O7" i="11"/>
  <c r="P7" i="11"/>
  <c r="Q7" i="11"/>
  <c r="J2" i="37" a="1"/>
  <c r="J2" i="37" s="1"/>
  <c r="I2" i="37"/>
  <c r="O6" i="11"/>
  <c r="O5" i="11"/>
  <c r="Q5" i="11"/>
  <c r="Q8" i="11"/>
  <c r="Q9" i="11"/>
  <c r="O4" i="11"/>
  <c r="O8" i="11"/>
  <c r="O9" i="11"/>
  <c r="O10" i="11"/>
  <c r="O11" i="11"/>
  <c r="O12" i="11"/>
  <c r="O13" i="11"/>
  <c r="O14" i="11"/>
  <c r="O15" i="11"/>
  <c r="O16" i="11"/>
  <c r="O17" i="11"/>
  <c r="O18" i="11"/>
  <c r="B3" i="37"/>
  <c r="J3" i="37" s="1" a="1"/>
  <c r="J3" i="37" s="1"/>
  <c r="D4" i="11"/>
  <c r="B69" i="37" l="1"/>
  <c r="B70" i="37" s="1"/>
  <c r="I70" i="37" s="1"/>
  <c r="J68" i="37" a="1"/>
  <c r="J68" i="37" s="1"/>
  <c r="J70" i="37" a="1"/>
  <c r="J70" i="37" s="1"/>
  <c r="L70" i="37"/>
  <c r="B71" i="37"/>
  <c r="L68" i="37"/>
  <c r="J69" i="37" a="1"/>
  <c r="J69" i="37" s="1"/>
  <c r="I69" i="37"/>
  <c r="L69" i="37"/>
  <c r="L3" i="37"/>
  <c r="I3" i="37"/>
  <c r="B4" i="37"/>
  <c r="I71" i="37" l="1"/>
  <c r="L71" i="37"/>
  <c r="J71" i="37" a="1"/>
  <c r="J71" i="37" s="1"/>
  <c r="B72" i="37"/>
  <c r="L4" i="37"/>
  <c r="B5" i="37"/>
  <c r="J4" i="37" a="1"/>
  <c r="J4" i="37" s="1"/>
  <c r="I4" i="37"/>
  <c r="I72" i="37" l="1"/>
  <c r="B73" i="37"/>
  <c r="J72" i="37" a="1"/>
  <c r="J72" i="37" s="1"/>
  <c r="L72" i="37"/>
  <c r="L5" i="37"/>
  <c r="B6" i="37"/>
  <c r="J5" i="37" a="1"/>
  <c r="J5" i="37" s="1"/>
  <c r="I5" i="37"/>
  <c r="J73" i="37" l="1" a="1"/>
  <c r="J73" i="37" s="1"/>
  <c r="I73" i="37"/>
  <c r="L73" i="37"/>
  <c r="B74" i="37"/>
  <c r="L6" i="37"/>
  <c r="B7" i="37"/>
  <c r="I6" i="37"/>
  <c r="J6" i="37" a="1"/>
  <c r="J6" i="37" s="1"/>
  <c r="L74" i="37" l="1"/>
  <c r="I74" i="37"/>
  <c r="J74" i="37" a="1"/>
  <c r="J74" i="37" s="1"/>
  <c r="B75" i="37"/>
  <c r="L7" i="37"/>
  <c r="B8" i="37"/>
  <c r="I7" i="37"/>
  <c r="J7" i="37" a="1"/>
  <c r="J7" i="37" s="1"/>
  <c r="I75" i="37" l="1"/>
  <c r="L75" i="37"/>
  <c r="J75" i="37" a="1"/>
  <c r="J75" i="37" s="1"/>
  <c r="B76" i="37"/>
  <c r="L8" i="37"/>
  <c r="B9" i="37"/>
  <c r="J8" i="37" a="1"/>
  <c r="J8" i="37" s="1"/>
  <c r="I8" i="37"/>
  <c r="I76" i="37" l="1"/>
  <c r="B77" i="37"/>
  <c r="L76" i="37"/>
  <c r="J76" i="37" a="1"/>
  <c r="J76" i="37" s="1"/>
  <c r="L9" i="37"/>
  <c r="B10" i="37"/>
  <c r="I9" i="37"/>
  <c r="J9" i="37" a="1"/>
  <c r="J9" i="37" s="1"/>
  <c r="V7" i="11"/>
  <c r="J77" i="37" l="1" a="1"/>
  <c r="J77" i="37" s="1"/>
  <c r="I77" i="37"/>
  <c r="L77" i="37"/>
  <c r="B78" i="37"/>
  <c r="L10" i="37"/>
  <c r="B11" i="37"/>
  <c r="J10" i="37" a="1"/>
  <c r="J10" i="37" s="1"/>
  <c r="I10" i="37"/>
  <c r="P10" i="11"/>
  <c r="J78" i="37" l="1" a="1"/>
  <c r="J78" i="37" s="1"/>
  <c r="I78" i="37"/>
  <c r="L78" i="37"/>
  <c r="B79" i="37"/>
  <c r="L11" i="37"/>
  <c r="B12" i="37"/>
  <c r="J11" i="37" a="1"/>
  <c r="J11" i="37" s="1"/>
  <c r="I11" i="37"/>
  <c r="I79" i="37" l="1"/>
  <c r="L79" i="37"/>
  <c r="J79" i="37" a="1"/>
  <c r="J79" i="37" s="1"/>
  <c r="B80" i="37"/>
  <c r="L12" i="37"/>
  <c r="B13" i="37"/>
  <c r="J12" i="37" a="1"/>
  <c r="J12" i="37" s="1"/>
  <c r="I12" i="37"/>
  <c r="I80" i="37" l="1"/>
  <c r="B81" i="37"/>
  <c r="J80" i="37" a="1"/>
  <c r="J80" i="37" s="1"/>
  <c r="L80" i="37"/>
  <c r="L13" i="37"/>
  <c r="B14" i="37"/>
  <c r="J13" i="37" a="1"/>
  <c r="J13" i="37" s="1"/>
  <c r="I13" i="37"/>
  <c r="V6" i="11"/>
  <c r="V5" i="11"/>
  <c r="P8" i="11" s="1"/>
  <c r="V4" i="11"/>
  <c r="J81" i="37" l="1" a="1"/>
  <c r="J81" i="37" s="1"/>
  <c r="I81" i="37"/>
  <c r="L81" i="37"/>
  <c r="B82" i="37"/>
  <c r="L14" i="37"/>
  <c r="B15" i="37"/>
  <c r="I14" i="37"/>
  <c r="J14" i="37" a="1"/>
  <c r="J14" i="37" s="1"/>
  <c r="P4" i="11"/>
  <c r="P11" i="11"/>
  <c r="P15" i="11"/>
  <c r="P12" i="11"/>
  <c r="P16" i="11"/>
  <c r="P13" i="11"/>
  <c r="P17" i="11"/>
  <c r="P6" i="11"/>
  <c r="P14" i="11"/>
  <c r="P18" i="11"/>
  <c r="P5" i="11"/>
  <c r="P9" i="11"/>
  <c r="Y5" i="11"/>
  <c r="Y6" i="11"/>
  <c r="I82" i="37" l="1"/>
  <c r="L82" i="37"/>
  <c r="J82" i="37" a="1"/>
  <c r="J82" i="37" s="1"/>
  <c r="B83" i="37"/>
  <c r="L15" i="37"/>
  <c r="B16" i="37"/>
  <c r="I15" i="37"/>
  <c r="J15" i="37" a="1"/>
  <c r="J15" i="37" s="1"/>
  <c r="I83" i="37" l="1"/>
  <c r="L83" i="37"/>
  <c r="J83" i="37" a="1"/>
  <c r="J83" i="37" s="1"/>
  <c r="B84" i="37"/>
  <c r="L16" i="37"/>
  <c r="B17" i="37"/>
  <c r="J16" i="37" a="1"/>
  <c r="J16" i="37" s="1"/>
  <c r="I16" i="37"/>
  <c r="I84" i="37" l="1"/>
  <c r="B85" i="37"/>
  <c r="L84" i="37"/>
  <c r="J84" i="37" a="1"/>
  <c r="J84" i="37" s="1"/>
  <c r="L17" i="37"/>
  <c r="B18" i="37"/>
  <c r="I17" i="37"/>
  <c r="J17" i="37" a="1"/>
  <c r="J17" i="37" s="1"/>
  <c r="W4" i="11"/>
  <c r="I85" i="37" l="1"/>
  <c r="L85" i="37"/>
  <c r="J85" i="37" a="1"/>
  <c r="J85" i="37" s="1"/>
  <c r="B86" i="37"/>
  <c r="L18" i="37"/>
  <c r="T17" i="37" a="1"/>
  <c r="T17" i="37" s="1"/>
  <c r="B19" i="37"/>
  <c r="J18" i="37" a="1"/>
  <c r="J18" i="37" s="1"/>
  <c r="I18" i="37"/>
  <c r="Y4" i="11"/>
  <c r="Q6" i="11"/>
  <c r="Q4" i="11"/>
  <c r="Q11" i="11"/>
  <c r="Q15" i="11"/>
  <c r="Q12" i="11"/>
  <c r="Q16" i="11"/>
  <c r="Q14" i="11"/>
  <c r="Q13" i="11"/>
  <c r="Q17" i="11"/>
  <c r="Q18" i="11"/>
  <c r="W7" i="11"/>
  <c r="I86" i="37" l="1"/>
  <c r="J86" i="37" a="1"/>
  <c r="J86" i="37" s="1"/>
  <c r="L86" i="37"/>
  <c r="B87" i="37"/>
  <c r="L19" i="37"/>
  <c r="T18" i="37" a="1"/>
  <c r="T18" i="37" s="1"/>
  <c r="B20" i="37"/>
  <c r="J19" i="37" a="1"/>
  <c r="J19" i="37" s="1"/>
  <c r="I19" i="37"/>
  <c r="Y7" i="11"/>
  <c r="Q10" i="11"/>
  <c r="D12" i="11"/>
  <c r="D11" i="11"/>
  <c r="D10" i="11"/>
  <c r="G5" i="11"/>
  <c r="G10" i="11"/>
  <c r="I87" i="37" l="1"/>
  <c r="L87" i="37"/>
  <c r="B88" i="37"/>
  <c r="J87" i="37" a="1"/>
  <c r="J87" i="37" s="1"/>
  <c r="L20" i="37"/>
  <c r="T19" i="37" a="1"/>
  <c r="T19" i="37" s="1"/>
  <c r="B21" i="37"/>
  <c r="J20" i="37" a="1"/>
  <c r="J20" i="37" s="1"/>
  <c r="I20" i="37"/>
  <c r="I88" i="37" l="1"/>
  <c r="B89" i="37"/>
  <c r="J88" i="37" a="1"/>
  <c r="J88" i="37" s="1"/>
  <c r="L88" i="37"/>
  <c r="L21" i="37"/>
  <c r="T20" i="37" a="1"/>
  <c r="T20" i="37" s="1"/>
  <c r="B22" i="37"/>
  <c r="J21" i="37" a="1"/>
  <c r="J21" i="37" s="1"/>
  <c r="I21" i="37"/>
  <c r="D7" i="11"/>
  <c r="I89" i="37" l="1"/>
  <c r="L89" i="37"/>
  <c r="J89" i="37" a="1"/>
  <c r="J89" i="37" s="1"/>
  <c r="B90" i="37"/>
  <c r="L22" i="37"/>
  <c r="T21" i="37" a="1"/>
  <c r="T21" i="37" s="1"/>
  <c r="B23" i="37"/>
  <c r="I22" i="37"/>
  <c r="J22" i="37" a="1"/>
  <c r="J22" i="37" s="1"/>
  <c r="L90" i="37" l="1"/>
  <c r="J90" i="37" a="1"/>
  <c r="J90" i="37" s="1"/>
  <c r="I90" i="37"/>
  <c r="B91" i="37"/>
  <c r="L23" i="37"/>
  <c r="B24" i="37"/>
  <c r="J23" i="37" a="1"/>
  <c r="J23" i="37" s="1"/>
  <c r="I23" i="37"/>
  <c r="T22" i="37" a="1"/>
  <c r="T22" i="37" s="1"/>
  <c r="G8" i="11"/>
  <c r="I91" i="37" l="1"/>
  <c r="L91" i="37"/>
  <c r="B92" i="37"/>
  <c r="J91" i="37" a="1"/>
  <c r="J91" i="37" s="1"/>
  <c r="L24" i="37"/>
  <c r="T23" i="37" a="1"/>
  <c r="T23" i="37" s="1"/>
  <c r="B25" i="37"/>
  <c r="J24" i="37" a="1"/>
  <c r="J24" i="37" s="1"/>
  <c r="I24" i="37"/>
  <c r="I92" i="37" l="1"/>
  <c r="B93" i="37"/>
  <c r="L92" i="37"/>
  <c r="J92" i="37" a="1"/>
  <c r="J92" i="37" s="1"/>
  <c r="L25" i="37"/>
  <c r="T24" i="37" a="1"/>
  <c r="T24" i="37" s="1"/>
  <c r="B26" i="37"/>
  <c r="I25" i="37"/>
  <c r="J25" i="37" a="1"/>
  <c r="J25" i="37" s="1"/>
  <c r="D9" i="11"/>
  <c r="I93" i="37" l="1"/>
  <c r="L93" i="37"/>
  <c r="J93" i="37" a="1"/>
  <c r="J93" i="37" s="1"/>
  <c r="B94" i="37"/>
  <c r="L26" i="37"/>
  <c r="B27" i="37"/>
  <c r="J26" i="37" a="1"/>
  <c r="J26" i="37" s="1"/>
  <c r="I26" i="37"/>
  <c r="G9" i="11"/>
  <c r="J94" i="37" l="1" a="1"/>
  <c r="J94" i="37" s="1"/>
  <c r="I94" i="37"/>
  <c r="L94" i="37"/>
  <c r="B95" i="37"/>
  <c r="L27" i="37"/>
  <c r="B28" i="37"/>
  <c r="J27" i="37" a="1"/>
  <c r="J27" i="37" s="1"/>
  <c r="I27" i="37"/>
  <c r="D5" i="11"/>
  <c r="J5" i="11"/>
  <c r="D8" i="11"/>
  <c r="I95" i="37" l="1"/>
  <c r="L95" i="37"/>
  <c r="B96" i="37"/>
  <c r="J95" i="37" a="1"/>
  <c r="J95" i="37" s="1"/>
  <c r="L28" i="37"/>
  <c r="B29" i="37"/>
  <c r="J28" i="37" a="1"/>
  <c r="J28" i="37" s="1"/>
  <c r="I28" i="37"/>
  <c r="D6" i="11"/>
  <c r="G7" i="11"/>
  <c r="J4" i="11"/>
  <c r="G4" i="11"/>
  <c r="I96" i="37" l="1"/>
  <c r="B97" i="37"/>
  <c r="J96" i="37" a="1"/>
  <c r="J96" i="37" s="1"/>
  <c r="L96" i="37"/>
  <c r="L29" i="37"/>
  <c r="B30" i="37"/>
  <c r="J29" i="37" a="1"/>
  <c r="J29" i="37" s="1"/>
  <c r="I29" i="37"/>
  <c r="I97" i="37" l="1"/>
  <c r="L97" i="37"/>
  <c r="J97" i="37" a="1"/>
  <c r="J97" i="37" s="1"/>
  <c r="B98" i="37"/>
  <c r="L30" i="37"/>
  <c r="B31" i="37"/>
  <c r="I30" i="37"/>
  <c r="J30" i="37" a="1"/>
  <c r="J30" i="37" s="1"/>
  <c r="I98" i="37" l="1"/>
  <c r="L98" i="37"/>
  <c r="J98" i="37" a="1"/>
  <c r="J98" i="37" s="1"/>
  <c r="B99" i="37"/>
  <c r="L31" i="37"/>
  <c r="B32" i="37"/>
  <c r="I31" i="37"/>
  <c r="J31" i="37" a="1"/>
  <c r="J31" i="37" s="1"/>
  <c r="I99" i="37" l="1"/>
  <c r="L99" i="37"/>
  <c r="B100" i="37"/>
  <c r="J99" i="37" a="1"/>
  <c r="J99" i="37" s="1"/>
  <c r="L32" i="37"/>
  <c r="B33" i="37"/>
  <c r="J32" i="37" a="1"/>
  <c r="J32" i="37" s="1"/>
  <c r="I32" i="37"/>
  <c r="I100" i="37" l="1"/>
  <c r="B101" i="37"/>
  <c r="L100" i="37"/>
  <c r="J100" i="37" a="1"/>
  <c r="J100" i="37" s="1"/>
  <c r="L33" i="37"/>
  <c r="B34" i="37"/>
  <c r="I33" i="37"/>
  <c r="J33" i="37" a="1"/>
  <c r="J33" i="37" s="1"/>
  <c r="I101" i="37" l="1"/>
  <c r="L101" i="37"/>
  <c r="J101" i="37" a="1"/>
  <c r="J101" i="37" s="1"/>
  <c r="B102" i="37"/>
  <c r="L34" i="37"/>
  <c r="B35" i="37"/>
  <c r="J34" i="37" a="1"/>
  <c r="J34" i="37" s="1"/>
  <c r="I34" i="37"/>
  <c r="I102" i="37" l="1"/>
  <c r="J102" i="37" a="1"/>
  <c r="J102" i="37" s="1"/>
  <c r="L102" i="37"/>
  <c r="B103" i="37"/>
  <c r="L35" i="37"/>
  <c r="B36" i="37"/>
  <c r="J35" i="37" a="1"/>
  <c r="J35" i="37" s="1"/>
  <c r="I35" i="37"/>
  <c r="I103" i="37" l="1"/>
  <c r="L103" i="37"/>
  <c r="B104" i="37"/>
  <c r="J103" i="37" a="1"/>
  <c r="J103" i="37" s="1"/>
  <c r="L36" i="37"/>
  <c r="B37" i="37"/>
  <c r="J36" i="37" a="1"/>
  <c r="J36" i="37" s="1"/>
  <c r="I36" i="37"/>
  <c r="I104" i="37" l="1"/>
  <c r="B105" i="37"/>
  <c r="J104" i="37" a="1"/>
  <c r="J104" i="37" s="1"/>
  <c r="L104" i="37"/>
  <c r="L37" i="37"/>
  <c r="B38" i="37"/>
  <c r="J37" i="37" a="1"/>
  <c r="J37" i="37" s="1"/>
  <c r="I37" i="37"/>
  <c r="I105" i="37" l="1"/>
  <c r="L105" i="37"/>
  <c r="J105" i="37" a="1"/>
  <c r="J105" i="37" s="1"/>
  <c r="B106" i="37"/>
  <c r="L38" i="37"/>
  <c r="B39" i="37"/>
  <c r="I38" i="37"/>
  <c r="J38" i="37" a="1"/>
  <c r="J38" i="37" s="1"/>
  <c r="L106" i="37" l="1"/>
  <c r="J106" i="37" a="1"/>
  <c r="J106" i="37" s="1"/>
  <c r="I106" i="37"/>
  <c r="B107" i="37"/>
  <c r="L39" i="37"/>
  <c r="B40" i="37"/>
  <c r="J39" i="37" a="1"/>
  <c r="J39" i="37" s="1"/>
  <c r="I39" i="37"/>
  <c r="I107" i="37" l="1"/>
  <c r="L107" i="37"/>
  <c r="B108" i="37"/>
  <c r="J107" i="37" a="1"/>
  <c r="J107" i="37" s="1"/>
  <c r="L40" i="37"/>
  <c r="B41" i="37"/>
  <c r="I40" i="37"/>
  <c r="J40" i="37" a="1"/>
  <c r="J40" i="37" s="1"/>
  <c r="I108" i="37" l="1"/>
  <c r="B109" i="37"/>
  <c r="L108" i="37"/>
  <c r="J108" i="37" a="1"/>
  <c r="J108" i="37" s="1"/>
  <c r="L41" i="37"/>
  <c r="B42" i="37"/>
  <c r="I41" i="37"/>
  <c r="J41" i="37" a="1"/>
  <c r="J41" i="37" s="1"/>
  <c r="I109" i="37" l="1"/>
  <c r="L109" i="37"/>
  <c r="J109" i="37" a="1"/>
  <c r="J109" i="37" s="1"/>
  <c r="B110" i="37"/>
  <c r="L42" i="37"/>
  <c r="B43" i="37"/>
  <c r="J42" i="37" a="1"/>
  <c r="J42" i="37" s="1"/>
  <c r="I42" i="37"/>
  <c r="J110" i="37" l="1" a="1"/>
  <c r="J110" i="37" s="1"/>
  <c r="I110" i="37"/>
  <c r="L110" i="37"/>
  <c r="B111" i="37"/>
  <c r="L43" i="37"/>
  <c r="B44" i="37"/>
  <c r="J43" i="37" a="1"/>
  <c r="J43" i="37" s="1"/>
  <c r="I43" i="37"/>
  <c r="I111" i="37" l="1"/>
  <c r="L111" i="37"/>
  <c r="B112" i="37"/>
  <c r="J111" i="37" a="1"/>
  <c r="J111" i="37" s="1"/>
  <c r="L44" i="37"/>
  <c r="B45" i="37"/>
  <c r="J44" i="37" a="1"/>
  <c r="J44" i="37" s="1"/>
  <c r="I44" i="37"/>
  <c r="I112" i="37" l="1"/>
  <c r="B113" i="37"/>
  <c r="J112" i="37" a="1"/>
  <c r="J112" i="37" s="1"/>
  <c r="L112" i="37"/>
  <c r="L45" i="37"/>
  <c r="B46" i="37"/>
  <c r="J45" i="37" a="1"/>
  <c r="J45" i="37" s="1"/>
  <c r="I45" i="37"/>
  <c r="I113" i="37" l="1"/>
  <c r="L113" i="37"/>
  <c r="J113" i="37" a="1"/>
  <c r="J113" i="37" s="1"/>
  <c r="B114" i="37"/>
  <c r="L46" i="37"/>
  <c r="B47" i="37"/>
  <c r="I46" i="37"/>
  <c r="J46" i="37" a="1"/>
  <c r="J46" i="37" s="1"/>
  <c r="I114" i="37" l="1"/>
  <c r="L114" i="37"/>
  <c r="J114" i="37" a="1"/>
  <c r="J114" i="37" s="1"/>
  <c r="B115" i="37"/>
  <c r="L47" i="37"/>
  <c r="B48" i="37"/>
  <c r="J47" i="37" a="1"/>
  <c r="J47" i="37" s="1"/>
  <c r="I47" i="37"/>
  <c r="I115" i="37" l="1"/>
  <c r="L115" i="37"/>
  <c r="B116" i="37"/>
  <c r="J115" i="37" a="1"/>
  <c r="J115" i="37" s="1"/>
  <c r="L48" i="37"/>
  <c r="B49" i="37"/>
  <c r="J48" i="37" a="1"/>
  <c r="J48" i="37" s="1"/>
  <c r="I48" i="37"/>
  <c r="I116" i="37" l="1"/>
  <c r="B117" i="37"/>
  <c r="L116" i="37"/>
  <c r="J116" i="37" a="1"/>
  <c r="J116" i="37" s="1"/>
  <c r="L49" i="37"/>
  <c r="B50" i="37"/>
  <c r="I49" i="37"/>
  <c r="J49" i="37" a="1"/>
  <c r="J49" i="37" s="1"/>
  <c r="I117" i="37" l="1"/>
  <c r="L117" i="37"/>
  <c r="J117" i="37" a="1"/>
  <c r="J117" i="37" s="1"/>
  <c r="B118" i="37"/>
  <c r="L50" i="37"/>
  <c r="B51" i="37"/>
  <c r="J50" i="37" a="1"/>
  <c r="J50" i="37" s="1"/>
  <c r="I50" i="37"/>
  <c r="I118" i="37" l="1"/>
  <c r="J118" i="37" a="1"/>
  <c r="J118" i="37" s="1"/>
  <c r="L118" i="37"/>
  <c r="B119" i="37"/>
  <c r="L51" i="37"/>
  <c r="B52" i="37"/>
  <c r="L52" i="37" s="1"/>
  <c r="J51" i="37" a="1"/>
  <c r="J51" i="37" s="1"/>
  <c r="I51" i="37"/>
  <c r="I119" i="37" l="1"/>
  <c r="L119" i="37"/>
  <c r="B120" i="37"/>
  <c r="J119" i="37" a="1"/>
  <c r="J119" i="37" s="1"/>
  <c r="B53" i="37"/>
  <c r="I52" i="37"/>
  <c r="J52" i="37" a="1"/>
  <c r="J52" i="37" s="1"/>
  <c r="I120" i="37" l="1"/>
  <c r="B121" i="37"/>
  <c r="J120" i="37" a="1"/>
  <c r="J120" i="37" s="1"/>
  <c r="L120" i="37"/>
  <c r="L53" i="37"/>
  <c r="B54" i="37"/>
  <c r="J53" i="37" a="1"/>
  <c r="J53" i="37" s="1"/>
  <c r="I53" i="37"/>
  <c r="I121" i="37" l="1"/>
  <c r="L121" i="37"/>
  <c r="J121" i="37" a="1"/>
  <c r="J121" i="37" s="1"/>
  <c r="B122" i="37"/>
  <c r="L54" i="37"/>
  <c r="B55" i="37"/>
  <c r="I54" i="37"/>
  <c r="J54" i="37" a="1"/>
  <c r="J54" i="37" s="1"/>
  <c r="L122" i="37" l="1"/>
  <c r="J122" i="37" a="1"/>
  <c r="J122" i="37" s="1"/>
  <c r="I122" i="37"/>
  <c r="B123" i="37"/>
  <c r="L55" i="37"/>
  <c r="B56" i="37"/>
  <c r="I55" i="37"/>
  <c r="J55" i="37" a="1"/>
  <c r="J55" i="37" s="1"/>
  <c r="I123" i="37" l="1"/>
  <c r="L123" i="37"/>
  <c r="B124" i="37"/>
  <c r="J123" i="37" a="1"/>
  <c r="J123" i="37" s="1"/>
  <c r="L56" i="37"/>
  <c r="B57" i="37"/>
  <c r="J56" i="37" a="1"/>
  <c r="J56" i="37" s="1"/>
  <c r="I56" i="37"/>
  <c r="I124" i="37" l="1"/>
  <c r="B125" i="37"/>
  <c r="L124" i="37"/>
  <c r="J124" i="37" a="1"/>
  <c r="J124" i="37" s="1"/>
  <c r="L57" i="37"/>
  <c r="B58" i="37"/>
  <c r="I57" i="37"/>
  <c r="J57" i="37" a="1"/>
  <c r="J57" i="37" s="1"/>
  <c r="I125" i="37" l="1"/>
  <c r="L125" i="37"/>
  <c r="J125" i="37" a="1"/>
  <c r="J125" i="37" s="1"/>
  <c r="B126" i="37"/>
  <c r="L58" i="37"/>
  <c r="B59" i="37"/>
  <c r="J58" i="37" a="1"/>
  <c r="J58" i="37" s="1"/>
  <c r="I58" i="37"/>
  <c r="J126" i="37" l="1" a="1"/>
  <c r="J126" i="37" s="1"/>
  <c r="I126" i="37"/>
  <c r="L126" i="37"/>
  <c r="B127" i="37"/>
  <c r="L59" i="37"/>
  <c r="B60" i="37"/>
  <c r="J59" i="37" a="1"/>
  <c r="J59" i="37" s="1"/>
  <c r="I59" i="37"/>
  <c r="I127" i="37" l="1"/>
  <c r="L127" i="37"/>
  <c r="B128" i="37"/>
  <c r="J127" i="37" a="1"/>
  <c r="J127" i="37" s="1"/>
  <c r="L60" i="37"/>
  <c r="B61" i="37"/>
  <c r="J60" i="37" a="1"/>
  <c r="J60" i="37" s="1"/>
  <c r="I60" i="37"/>
  <c r="I128" i="37" l="1"/>
  <c r="B129" i="37"/>
  <c r="J128" i="37" a="1"/>
  <c r="J128" i="37" s="1"/>
  <c r="L128" i="37"/>
  <c r="L61" i="37"/>
  <c r="B62" i="37"/>
  <c r="J61" i="37" a="1"/>
  <c r="J61" i="37" s="1"/>
  <c r="I61" i="37"/>
  <c r="I129" i="37" l="1"/>
  <c r="L129" i="37"/>
  <c r="J129" i="37" a="1"/>
  <c r="J129" i="37" s="1"/>
  <c r="B130" i="37"/>
  <c r="L62" i="37"/>
  <c r="B63" i="37"/>
  <c r="I62" i="37"/>
  <c r="J62" i="37" a="1"/>
  <c r="J62" i="37" s="1"/>
  <c r="I130" i="37" l="1"/>
  <c r="L130" i="37"/>
  <c r="J130" i="37" a="1"/>
  <c r="J130" i="37" s="1"/>
  <c r="B131" i="37"/>
  <c r="L63" i="37"/>
  <c r="B64" i="37"/>
  <c r="I63" i="37"/>
  <c r="J63" i="37" a="1"/>
  <c r="J63" i="37" s="1"/>
  <c r="I131" i="37" l="1"/>
  <c r="L131" i="37"/>
  <c r="J131" i="37" a="1"/>
  <c r="J131" i="37" s="1"/>
  <c r="L64" i="37"/>
  <c r="B65" i="37"/>
  <c r="I64" i="37"/>
  <c r="J64" i="37" a="1"/>
  <c r="J64" i="37" s="1"/>
  <c r="L65" i="37" l="1"/>
  <c r="B66" i="37"/>
  <c r="I65" i="37"/>
  <c r="J65" i="37" a="1"/>
  <c r="J65" i="37" s="1"/>
  <c r="L66" i="37" l="1"/>
  <c r="J66" i="37" a="1"/>
  <c r="J66" i="37" s="1"/>
  <c r="I66" i="3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<sst xmlns="http://schemas.openxmlformats.org/spreadsheetml/2006/main" count="235" uniqueCount="61">
  <si>
    <t>Date</t>
  </si>
  <si>
    <t>IN</t>
  </si>
  <si>
    <t>OUT</t>
  </si>
  <si>
    <t>Temps presté</t>
  </si>
  <si>
    <t>Solde
journalier</t>
  </si>
  <si>
    <t>G</t>
  </si>
  <si>
    <t>Le solde est pour la date d'aujourd'hui tant que le tableau est mis à jour</t>
  </si>
  <si>
    <t>Données techniques</t>
  </si>
  <si>
    <t>Solde</t>
  </si>
  <si>
    <t>Temps de travail</t>
  </si>
  <si>
    <t>Semaine</t>
  </si>
  <si>
    <t>Jour</t>
  </si>
  <si>
    <t>Solde férié (par jour)</t>
  </si>
  <si>
    <t>Pour la formule</t>
  </si>
  <si>
    <t>38h/semaine</t>
  </si>
  <si>
    <t>30,24h/semaine</t>
  </si>
  <si>
    <t>30h/semaine</t>
  </si>
  <si>
    <t>19h/semaine</t>
  </si>
  <si>
    <t>A</t>
  </si>
  <si>
    <t>B</t>
  </si>
  <si>
    <t>C</t>
  </si>
  <si>
    <t>D</t>
  </si>
  <si>
    <t>E</t>
  </si>
  <si>
    <t>F</t>
  </si>
  <si>
    <t>H</t>
  </si>
  <si>
    <t>I</t>
  </si>
  <si>
    <t>J</t>
  </si>
  <si>
    <t>L</t>
  </si>
  <si>
    <t>K</t>
  </si>
  <si>
    <t>personne</t>
  </si>
  <si>
    <t>début</t>
  </si>
  <si>
    <t>temps de travail</t>
  </si>
  <si>
    <t>Personne</t>
  </si>
  <si>
    <t>2022</t>
  </si>
  <si>
    <t>2023</t>
  </si>
  <si>
    <t>2024</t>
  </si>
  <si>
    <t>temps
 de travail</t>
  </si>
  <si>
    <t>Temps
 théorique</t>
  </si>
  <si>
    <t>Jours
 feriés</t>
  </si>
  <si>
    <t>demi
mois</t>
  </si>
  <si>
    <t>pause</t>
  </si>
  <si>
    <t>Corr.</t>
  </si>
  <si>
    <t>Eindtotaal</t>
  </si>
  <si>
    <t>22-16</t>
  </si>
  <si>
    <t>22-17</t>
  </si>
  <si>
    <t>22-18</t>
  </si>
  <si>
    <t>22-19</t>
  </si>
  <si>
    <t>22-20</t>
  </si>
  <si>
    <t>22-21</t>
  </si>
  <si>
    <t>Waarden</t>
  </si>
  <si>
    <t>demi</t>
  </si>
  <si>
    <t>Totaal presté</t>
  </si>
  <si>
    <t>presté</t>
  </si>
  <si>
    <t>Totaal Solde</t>
  </si>
  <si>
    <t>sep</t>
  </si>
  <si>
    <t>Totaal sep</t>
  </si>
  <si>
    <t>okt</t>
  </si>
  <si>
    <t>Totaal okt</t>
  </si>
  <si>
    <t>nov</t>
  </si>
  <si>
    <t>Totaal nov</t>
  </si>
  <si>
    <t>check
double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</si>
</sst>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[h]:mm"/>
    <numFmt numFmtId="166" formatCode="[hh]:mm"/>
    <numFmt numFmtId="167" formatCode="mmm\ yy"/>
    <numFmt numFmtId="168" formatCode="h:mm;@"/>
    <numFmt numFmtId="169" formatCode="d/mm/yy;@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0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20" fontId="1" fillId="0" borderId="0" xfId="0" applyNumberFormat="1" applyFont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16" fontId="9" fillId="0" borderId="0" xfId="0" applyNumberFormat="1" applyFont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5" fontId="4" fillId="0" borderId="2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>
      <alignment horizontal="left" vertical="center"/>
    </xf>
    <xf numFmtId="167" fontId="1" fillId="0" borderId="0" xfId="0" applyNumberFormat="1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14" fontId="4" fillId="0" borderId="0" xfId="0" applyNumberFormat="1" applyFont="1" applyBorder="1" applyAlignment="1">
      <alignment horizontal="left" vertical="center"/>
    </xf>
    <xf numFmtId="168" fontId="4" fillId="0" borderId="0" xfId="0" applyNumberFormat="1" applyFont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center"/>
    </xf>
    <xf numFmtId="14" fontId="4" fillId="8" borderId="0" xfId="0" applyNumberFormat="1" applyFont="1" applyFill="1" applyBorder="1" applyAlignment="1">
      <alignment horizontal="left" vertical="center"/>
    </xf>
    <xf numFmtId="168" fontId="4" fillId="8" borderId="0" xfId="0" applyNumberFormat="1" applyFont="1" applyFill="1" applyBorder="1" applyAlignment="1">
      <alignment horizontal="left" vertical="center"/>
    </xf>
    <xf numFmtId="0" fontId="4" fillId="8" borderId="0" xfId="0" applyFont="1" applyFill="1" applyAlignment="1">
      <alignment horizontal="left" vertical="center"/>
    </xf>
    <xf numFmtId="14" fontId="4" fillId="8" borderId="0" xfId="0" applyNumberFormat="1" applyFont="1" applyFill="1" applyAlignment="1">
      <alignment horizontal="left" vertical="center"/>
    </xf>
    <xf numFmtId="0" fontId="4" fillId="8" borderId="0" xfId="0" applyNumberFormat="1" applyFont="1" applyFill="1" applyAlignment="1">
      <alignment horizontal="left" vertical="center"/>
    </xf>
    <xf numFmtId="168" fontId="4" fillId="8" borderId="0" xfId="0" applyNumberFormat="1" applyFont="1" applyFill="1" applyAlignment="1">
      <alignment horizontal="left" vertical="center"/>
    </xf>
    <xf numFmtId="169" fontId="4" fillId="0" borderId="0" xfId="0" applyNumberFormat="1" applyFont="1" applyAlignment="1">
      <alignment horizontal="left" vertical="center"/>
    </xf>
    <xf numFmtId="20" fontId="8" fillId="0" borderId="0" xfId="0" applyNumberFormat="1" applyFont="1" applyBorder="1" applyAlignment="1">
      <alignment horizontal="left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20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21" fontId="1" fillId="7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7" fontId="6" fillId="0" borderId="3" xfId="0" applyNumberFormat="1" applyFont="1" applyFill="1" applyBorder="1" applyAlignment="1">
      <alignment horizontal="center" vertical="center"/>
    </xf>
    <xf numFmtId="20" fontId="6" fillId="0" borderId="3" xfId="0" applyNumberFormat="1" applyFont="1" applyFill="1" applyBorder="1" applyAlignment="1">
      <alignment horizontal="center" vertical="center"/>
    </xf>
    <xf numFmtId="20" fontId="6" fillId="0" borderId="3" xfId="0" applyNumberFormat="1" applyFont="1" applyFill="1" applyBorder="1" applyAlignment="1">
      <alignment vertical="top"/>
    </xf>
    <xf numFmtId="17" fontId="5" fillId="0" borderId="3" xfId="0" applyNumberFormat="1" applyFont="1" applyFill="1" applyBorder="1" applyAlignment="1">
      <alignment horizontal="center" vertical="center"/>
    </xf>
    <xf numFmtId="20" fontId="5" fillId="0" borderId="3" xfId="0" applyNumberFormat="1" applyFont="1" applyFill="1" applyBorder="1" applyAlignment="1">
      <alignment vertical="top"/>
    </xf>
    <xf numFmtId="20" fontId="5" fillId="0" borderId="3" xfId="0" applyNumberFormat="1" applyFont="1" applyFill="1" applyBorder="1" applyAlignment="1">
      <alignment horizontal="center" vertical="center"/>
    </xf>
    <xf numFmtId="0" fontId="0" fillId="0" borderId="0" xfId="0" pivotButton="1"/>
    <xf numFmtId="166" fontId="0" fillId="0" borderId="0" xfId="0" applyNumberFormat="1"/>
    <xf numFmtId="165" fontId="0" fillId="0" borderId="0" xfId="0" applyNumberFormat="1"/>
    <xf numFmtId="164" fontId="0" fillId="0" borderId="0" xfId="0" applyNumberFormat="1"/>
    <xf numFmtId="164" fontId="0" fillId="3" borderId="0" xfId="0" applyNumberFormat="1" applyFill="1"/>
    <xf numFmtId="0" fontId="0" fillId="3" borderId="0" xfId="0" applyFill="1"/>
    <xf numFmtId="165" fontId="0" fillId="3" borderId="0" xfId="0" applyNumberFormat="1" applyFill="1"/>
    <xf numFmtId="166" fontId="0" fillId="3" borderId="0" xfId="0" applyNumberFormat="1" applyFill="1"/>
    <xf numFmtId="164" fontId="0" fillId="8" borderId="0" xfId="0" applyNumberFormat="1" applyFill="1"/>
    <xf numFmtId="0" fontId="0" fillId="8" borderId="0" xfId="0" applyFill="1"/>
    <xf numFmtId="165" fontId="0" fillId="8" borderId="0" xfId="0" applyNumberFormat="1" applyFill="1"/>
    <xf numFmtId="166" fontId="0" fillId="8" borderId="0" xfId="0" applyNumberFormat="1" applyFill="1"/>
    <xf numFmtId="166" fontId="4" fillId="0" borderId="0" xfId="0" applyNumberFormat="1" applyFont="1" applyAlignment="1">
      <alignment horizontal="left" vertical="center"/>
    </xf>
    <xf numFmtId="166" fontId="3" fillId="4" borderId="1" xfId="0" applyNumberFormat="1" applyFont="1" applyFill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20" fontId="11" fillId="0" borderId="0" xfId="0" applyNumberFormat="1" applyFont="1" applyFill="1" applyBorder="1" applyAlignment="1">
      <alignment horizontal="center" vertical="center"/>
    </xf>
    <xf numFmtId="20" fontId="11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2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</cellXfs>
  <cellStyles count="1">
    <cellStyle name="Standaard" xfId="0" builtinId="0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9" formatCode="d/mm/yy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9" formatCode="d/mm/yy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9" formatCode="d/mm/yy;@"/>
      <alignment horizontal="left" vertical="center" textRotation="0" wrapText="0" indent="0" justifyLastLine="0" shrinkToFit="0" readingOrder="0"/>
    </dxf>
    <dxf>
      <numFmt numFmtId="169" formatCode="d/m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8" formatCode="h:mm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8" formatCode="h:mm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/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family val="2"/>
        <scheme val="minor"/>
      </font>
      <numFmt numFmtId="25" formatCode="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family val="2"/>
        <scheme val="minor"/>
      </font>
      <numFmt numFmtId="25" formatCode="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family val="2"/>
        <scheme val="minor"/>
      </font>
      <numFmt numFmtId="25" formatCode="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family val="2"/>
        <scheme val="minor"/>
      </font>
      <numFmt numFmtId="25" formatCode="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family val="2"/>
        <scheme val="minor"/>
      </font>
      <numFmt numFmtId="25" formatCode="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family val="2"/>
        <scheme val="minor"/>
      </font>
      <numFmt numFmtId="25" formatCode="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family val="2"/>
        <scheme val="minor"/>
      </font>
      <numFmt numFmtId="25" formatCode="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numFmt numFmtId="25" formatCode="h:mm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5" formatCode="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[$-F800]dddd\,\ mmmm\ dd\,\ 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1" justifyLastLine="0" shrinkToFit="0" readingOrder="0"/>
    </dxf>
    <dxf>
      <fill>
        <patternFill>
          <bgColor rgb="FFA568D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A568D2"/>
      <color rgb="FFFF6DA8"/>
      <color rgb="FFFF0066"/>
      <color rgb="FFFF7C80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3419.739794444446" createdVersion="8" refreshedVersion="8" minRefreshableVersion="3" recordCount="130" xr:uid="{0006D997-5D96-4260-B714-9F6EC8134966}">
  <cacheSource type="worksheet">
    <worksheetSource name="Tabel2"/>
  </cacheSource>
  <cacheFields count="12">
    <cacheField name="Personne" numFmtId="1">
      <sharedItems count="2">
        <s v="A"/>
        <s v="B"/>
      </sharedItems>
    </cacheField>
    <cacheField name="Date" numFmtId="164">
      <sharedItems containsSemiMixedTypes="0" containsNonDate="0" containsDate="1" containsString="0" minDate="2022-09-01T00:00:00" maxDate="2022-12-01T00:00:00" count="65">
        <d v="2022-09-01T00:00:00"/>
        <d v="2022-09-02T00:00:00"/>
        <d v="2022-09-05T00:00:00"/>
        <d v="2022-09-06T00:00:00"/>
        <d v="2022-09-07T00:00:00"/>
        <d v="2022-09-08T00:00:00"/>
        <d v="2022-09-09T00:00:00"/>
        <d v="2022-09-12T00:00:00"/>
        <d v="2022-09-13T00:00:00"/>
        <d v="2022-09-14T00:00:00"/>
        <d v="2022-09-15T00:00:00"/>
        <d v="2022-09-16T00:00:00"/>
        <d v="2022-09-19T00:00:00"/>
        <d v="2022-09-20T00:00:00"/>
        <d v="2022-09-21T00:00:00"/>
        <d v="2022-09-22T00:00:00"/>
        <d v="2022-09-23T00:00:00"/>
        <d v="2022-09-26T00:00:00"/>
        <d v="2022-09-27T00:00:00"/>
        <d v="2022-09-28T00:00:00"/>
        <d v="2022-09-29T00:00:00"/>
        <d v="2022-09-30T00:00:00"/>
        <d v="2022-10-03T00:00:00"/>
        <d v="2022-10-04T00:00:00"/>
        <d v="2022-10-05T00:00:00"/>
        <d v="2022-10-06T00:00:00"/>
        <d v="2022-10-07T00:00:00"/>
        <d v="2022-10-10T00:00:00"/>
        <d v="2022-10-11T00:00:00"/>
        <d v="2022-10-12T00:00:00"/>
        <d v="2022-10-13T00:00:00"/>
        <d v="2022-10-14T00:00:00"/>
        <d v="2022-10-17T00:00:00"/>
        <d v="2022-10-18T00:00:00"/>
        <d v="2022-10-19T00:00:00"/>
        <d v="2022-10-20T00:00:00"/>
        <d v="2022-10-21T00:00:00"/>
        <d v="2022-10-24T00:00:00"/>
        <d v="2022-10-25T00:00:00"/>
        <d v="2022-10-26T00:00:00"/>
        <d v="2022-10-27T00:00:00"/>
        <d v="2022-10-28T00:00:00"/>
        <d v="2022-10-31T00:00:00"/>
        <d v="2022-11-01T00:00:00"/>
        <d v="2022-11-02T00:00:00"/>
        <d v="2022-11-03T00:00:00"/>
        <d v="2022-11-04T00:00:00"/>
        <d v="2022-11-07T00:00:00"/>
        <d v="2022-11-08T00:00:00"/>
        <d v="2022-11-09T00:00:00"/>
        <d v="2022-11-10T00:00:00"/>
        <d v="2022-11-11T00:00:00"/>
        <d v="2022-11-14T00:00:00"/>
        <d v="2022-11-15T00:00:00"/>
        <d v="2022-11-16T00:00:00"/>
        <d v="2022-11-17T00:00:00"/>
        <d v="2022-11-18T00:00:00"/>
        <d v="2022-11-21T00:00:00"/>
        <d v="2022-11-22T00:00:00"/>
        <d v="2022-11-23T00:00:00"/>
        <d v="2022-11-24T00:00:00"/>
        <d v="2022-11-25T00:00:00"/>
        <d v="2022-11-28T00:00:00"/>
        <d v="2022-11-29T00:00:00"/>
        <d v="2022-11-30T00:00:00"/>
      </sharedItems>
      <fieldGroup base="1">
        <rangePr groupBy="months" startDate="2022-09-01T00:00:00" endDate="2022-12-01T00:00:00"/>
        <groupItems count="14">
          <s v="&lt;1/09/2022"/>
          <s v="jan"/>
          <s v="feb"/>
          <s v="mrt"/>
          <s v="apr"/>
          <s v="mei"/>
          <s v="jun"/>
          <s v="jul"/>
          <s v="aug"/>
          <s v="sep"/>
          <s v="okt"/>
          <s v="nov"/>
          <s v="dec"/>
          <s v="&gt;1/12/2022"/>
        </groupItems>
      </fieldGroup>
    </cacheField>
    <cacheField name="IN" numFmtId="20">
      <sharedItems containsNonDate="0" containsDate="1" containsString="0" containsBlank="1" minDate="1904-01-01T08:30:00" maxDate="1904-01-01T09:08:00"/>
    </cacheField>
    <cacheField name="OUT" numFmtId="0">
      <sharedItems containsNonDate="0" containsDate="1" containsString="0" containsBlank="1" minDate="1904-01-01T13:29:00" maxDate="1904-01-01T17:05:00"/>
    </cacheField>
    <cacheField name="Corr." numFmtId="0">
      <sharedItems containsNonDate="0" containsString="0" containsBlank="1"/>
    </cacheField>
    <cacheField name="Temps presté" numFmtId="20">
      <sharedItems containsSemiMixedTypes="0" containsNonDate="0" containsDate="1" containsString="0" minDate="1904-01-01T00:00:00" maxDate="1904-01-01T08:05:00"/>
    </cacheField>
    <cacheField name="Solde_x000a_journalier" numFmtId="20">
      <sharedItems containsSemiMixedTypes="0" containsDate="1" containsString="0" containsMixedTypes="1" minDate="1904-01-08T22:18:11" maxDate="1904-01-01T00:00:00"/>
    </cacheField>
    <cacheField name="check_x000a_double" numFmtId="20">
      <sharedItems containsNonDate="0" containsString="0" containsBlank="1"/>
    </cacheField>
    <cacheField name="demi_x000a_mois" numFmtId="20">
      <sharedItems count="6">
        <s v="22-16"/>
        <s v="22-17"/>
        <s v="22-18"/>
        <s v="22-19"/>
        <s v="22-20"/>
        <s v="22-21"/>
      </sharedItems>
    </cacheField>
    <cacheField name="temps_x000a_ de travail" numFmtId="20">
      <sharedItems/>
    </cacheField>
    <cacheField name="Temps_x000a_ théorique" numFmtId="20">
      <sharedItems containsSemiMixedTypes="0" containsNonDate="0" containsDate="1" containsString="0" minDate="1904-01-01T03:48:00" maxDate="1904-01-01T07:36:00"/>
    </cacheField>
    <cacheField name="Jours_x000a_ feriés" numFmtId="2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0">
  <r>
    <x v="0"/>
    <x v="0"/>
    <d v="1904-01-01T08:30:00"/>
    <d v="1904-01-01T16:32:00"/>
    <m/>
    <d v="1904-01-01T07:32:00"/>
    <n v="-2.7777777777776569E-3"/>
    <m/>
    <x v="0"/>
    <s v="38h/semaine"/>
    <d v="1904-01-01T07:36:00"/>
    <s v=""/>
  </r>
  <r>
    <x v="0"/>
    <x v="1"/>
    <d v="1904-01-01T08:30:00"/>
    <d v="1904-01-01T16:52:00"/>
    <m/>
    <d v="1904-01-01T07:52:00"/>
    <d v="1904-01-01T00:16:00"/>
    <m/>
    <x v="0"/>
    <s v="38h/semaine"/>
    <d v="1904-01-01T07:36:00"/>
    <s v=""/>
  </r>
  <r>
    <x v="0"/>
    <x v="2"/>
    <d v="1904-01-01T08:30:00"/>
    <d v="1904-01-01T16:33:00"/>
    <m/>
    <d v="1904-01-01T07:33:00"/>
    <n v="-2.0833333333333259E-3"/>
    <m/>
    <x v="0"/>
    <s v="38h/semaine"/>
    <d v="1904-01-01T07:36:00"/>
    <s v=""/>
  </r>
  <r>
    <x v="0"/>
    <x v="3"/>
    <d v="1904-01-01T08:30:00"/>
    <d v="1904-01-01T16:30:00"/>
    <m/>
    <d v="1904-01-01T07:30:00"/>
    <n v="-4.1666666666666519E-3"/>
    <m/>
    <x v="0"/>
    <s v="38h/semaine"/>
    <d v="1904-01-01T07:36:00"/>
    <s v=""/>
  </r>
  <r>
    <x v="0"/>
    <x v="4"/>
    <m/>
    <m/>
    <m/>
    <d v="1904-01-01T00:00:00"/>
    <d v="1904-01-01T00:00:00"/>
    <m/>
    <x v="0"/>
    <s v="38h/semaine"/>
    <d v="1904-01-01T07:36:00"/>
    <s v=""/>
  </r>
  <r>
    <x v="0"/>
    <x v="5"/>
    <d v="1904-01-01T08:30:00"/>
    <d v="1904-01-01T16:30:00"/>
    <m/>
    <d v="1904-01-01T07:30:00"/>
    <n v="-4.1666666666666519E-3"/>
    <m/>
    <x v="0"/>
    <s v="38h/semaine"/>
    <d v="1904-01-01T07:36:00"/>
    <s v=""/>
  </r>
  <r>
    <x v="0"/>
    <x v="6"/>
    <d v="1904-01-01T08:30:00"/>
    <d v="1904-01-01T16:30:00"/>
    <m/>
    <d v="1904-01-01T07:30:00"/>
    <n v="-4.1666666666666519E-3"/>
    <m/>
    <x v="0"/>
    <s v="38h/semaine"/>
    <d v="1904-01-01T07:36:00"/>
    <s v=""/>
  </r>
  <r>
    <x v="0"/>
    <x v="7"/>
    <d v="1904-01-01T08:31:00"/>
    <d v="1904-01-01T16:31:00"/>
    <m/>
    <d v="1904-01-01T07:30:00"/>
    <n v="-4.1666666666666519E-3"/>
    <m/>
    <x v="0"/>
    <s v="38h/semaine"/>
    <d v="1904-01-01T07:36:00"/>
    <s v=""/>
  </r>
  <r>
    <x v="0"/>
    <x v="8"/>
    <d v="1904-01-01T08:30:00"/>
    <d v="1904-01-01T16:35:00"/>
    <m/>
    <d v="1904-01-01T07:35:00"/>
    <n v="-6.9444444444444198E-4"/>
    <m/>
    <x v="0"/>
    <s v="38h/semaine"/>
    <d v="1904-01-01T07:36:00"/>
    <s v=""/>
  </r>
  <r>
    <x v="0"/>
    <x v="9"/>
    <m/>
    <m/>
    <m/>
    <d v="1904-01-01T00:00:00"/>
    <d v="1904-01-01T00:00:00"/>
    <m/>
    <x v="0"/>
    <s v="38h/semaine"/>
    <d v="1904-01-01T07:36:00"/>
    <s v=""/>
  </r>
  <r>
    <x v="0"/>
    <x v="10"/>
    <d v="1904-01-01T08:32:00"/>
    <d v="1904-01-01T16:33:00"/>
    <m/>
    <d v="1904-01-01T07:31:00"/>
    <n v="-3.4722222222222099E-3"/>
    <m/>
    <x v="0"/>
    <s v="38h/semaine"/>
    <d v="1904-01-01T07:36:00"/>
    <s v=""/>
  </r>
  <r>
    <x v="0"/>
    <x v="11"/>
    <d v="1904-01-01T08:30:00"/>
    <d v="1904-01-01T17:01:00"/>
    <m/>
    <d v="1904-01-01T08:01:00"/>
    <d v="1904-01-01T00:25:00"/>
    <m/>
    <x v="1"/>
    <s v="38h/semaine"/>
    <d v="1904-01-01T07:36:00"/>
    <s v=""/>
  </r>
  <r>
    <x v="0"/>
    <x v="12"/>
    <d v="1904-01-01T08:47:00"/>
    <d v="1904-01-01T16:46:00"/>
    <m/>
    <d v="1904-01-01T07:29:00"/>
    <n v="-4.8611111111110938E-3"/>
    <m/>
    <x v="1"/>
    <s v="38h/semaine"/>
    <d v="1904-01-01T07:36:00"/>
    <s v=""/>
  </r>
  <r>
    <x v="0"/>
    <x v="13"/>
    <d v="1904-01-01T08:30:00"/>
    <d v="1904-01-01T16:32:00"/>
    <m/>
    <d v="1904-01-01T07:32:00"/>
    <d v="1904-01-01T01:32:00"/>
    <m/>
    <x v="1"/>
    <s v="30h/semaine"/>
    <d v="1904-01-01T06:00:00"/>
    <s v=""/>
  </r>
  <r>
    <x v="0"/>
    <x v="14"/>
    <m/>
    <m/>
    <m/>
    <d v="1904-01-01T00:00:00"/>
    <d v="1904-01-01T00:00:00"/>
    <m/>
    <x v="1"/>
    <s v="30h/semaine"/>
    <d v="1904-01-01T06:00:00"/>
    <s v=""/>
  </r>
  <r>
    <x v="0"/>
    <x v="15"/>
    <d v="1904-01-01T08:30:00"/>
    <d v="1904-01-01T16:30:00"/>
    <m/>
    <d v="1904-01-01T07:30:00"/>
    <d v="1904-01-01T01:30:00"/>
    <m/>
    <x v="1"/>
    <s v="30h/semaine"/>
    <d v="1904-01-01T06:00:00"/>
    <s v=""/>
  </r>
  <r>
    <x v="0"/>
    <x v="16"/>
    <m/>
    <m/>
    <m/>
    <d v="1904-01-01T00:00:00"/>
    <d v="1904-01-01T00:00:00"/>
    <m/>
    <x v="1"/>
    <s v="30h/semaine"/>
    <d v="1904-01-01T06:00:00"/>
    <s v=""/>
  </r>
  <r>
    <x v="0"/>
    <x v="17"/>
    <d v="1904-01-01T08:31:00"/>
    <d v="1904-01-01T16:31:00"/>
    <m/>
    <d v="1904-01-01T07:30:00"/>
    <d v="1904-01-01T01:30:00"/>
    <m/>
    <x v="1"/>
    <s v="30h/semaine"/>
    <d v="1904-01-01T06:00:00"/>
    <s v=""/>
  </r>
  <r>
    <x v="0"/>
    <x v="18"/>
    <d v="1904-01-01T08:33:00"/>
    <d v="1904-01-01T16:38:00"/>
    <m/>
    <d v="1904-01-01T07:35:00"/>
    <d v="1904-01-01T01:35:00"/>
    <m/>
    <x v="1"/>
    <s v="30h/semaine"/>
    <d v="1904-01-01T06:00:00"/>
    <s v=""/>
  </r>
  <r>
    <x v="0"/>
    <x v="19"/>
    <m/>
    <m/>
    <m/>
    <d v="1904-01-01T00:00:00"/>
    <d v="1904-01-01T00:00:00"/>
    <m/>
    <x v="1"/>
    <s v="30h/semaine"/>
    <d v="1904-01-01T06:00:00"/>
    <s v=""/>
  </r>
  <r>
    <x v="0"/>
    <x v="20"/>
    <d v="1904-01-01T08:30:00"/>
    <d v="1904-01-01T16:46:00"/>
    <m/>
    <d v="1904-01-01T07:46:00"/>
    <d v="1904-01-01T01:46:00"/>
    <m/>
    <x v="1"/>
    <s v="30h/semaine"/>
    <d v="1904-01-01T06:00:00"/>
    <s v=""/>
  </r>
  <r>
    <x v="0"/>
    <x v="21"/>
    <d v="1904-01-01T08:30:00"/>
    <d v="1904-01-01T16:36:00"/>
    <m/>
    <d v="1904-01-01T07:36:00"/>
    <d v="1904-01-01T01:36:00"/>
    <m/>
    <x v="1"/>
    <s v="30h/semaine"/>
    <d v="1904-01-01T06:00:00"/>
    <s v=""/>
  </r>
  <r>
    <x v="0"/>
    <x v="22"/>
    <d v="1904-01-01T08:30:00"/>
    <d v="1904-01-01T16:46:00"/>
    <m/>
    <d v="1904-01-01T07:46:00"/>
    <d v="1904-01-01T01:46:00"/>
    <m/>
    <x v="2"/>
    <s v="30h/semaine"/>
    <d v="1904-01-01T06:00:00"/>
    <s v=""/>
  </r>
  <r>
    <x v="0"/>
    <x v="23"/>
    <d v="1904-01-01T08:49:00"/>
    <d v="1904-01-01T16:31:00"/>
    <m/>
    <d v="1904-01-01T07:12:00"/>
    <d v="1904-01-01T01:12:00"/>
    <m/>
    <x v="2"/>
    <s v="30h/semaine"/>
    <d v="1904-01-01T06:00:00"/>
    <s v=""/>
  </r>
  <r>
    <x v="0"/>
    <x v="24"/>
    <m/>
    <m/>
    <m/>
    <d v="1904-01-01T00:00:00"/>
    <d v="1904-01-01T00:00:00"/>
    <m/>
    <x v="2"/>
    <s v="30h/semaine"/>
    <d v="1904-01-01T06:00:00"/>
    <s v=""/>
  </r>
  <r>
    <x v="0"/>
    <x v="25"/>
    <d v="1904-01-01T08:30:00"/>
    <d v="1904-01-01T16:39:00"/>
    <m/>
    <d v="1904-01-01T07:39:00"/>
    <d v="1904-01-01T01:39:00"/>
    <m/>
    <x v="2"/>
    <s v="30h/semaine"/>
    <d v="1904-01-01T06:00:00"/>
    <s v=""/>
  </r>
  <r>
    <x v="0"/>
    <x v="26"/>
    <m/>
    <m/>
    <m/>
    <d v="1904-01-01T00:00:00"/>
    <d v="1904-01-01T00:00:00"/>
    <m/>
    <x v="2"/>
    <s v="30h/semaine"/>
    <d v="1904-01-01T06:00:00"/>
    <s v=""/>
  </r>
  <r>
    <x v="0"/>
    <x v="27"/>
    <m/>
    <m/>
    <m/>
    <d v="1904-01-01T00:00:00"/>
    <d v="1904-01-01T00:00:00"/>
    <m/>
    <x v="2"/>
    <s v="30,24h/semaine"/>
    <d v="1904-01-01T06:02:53"/>
    <s v=""/>
  </r>
  <r>
    <x v="0"/>
    <x v="28"/>
    <d v="1904-01-01T08:30:00"/>
    <d v="1904-01-01T16:47:00"/>
    <m/>
    <d v="1904-01-01T07:47:00"/>
    <d v="1904-01-01T01:44:07"/>
    <m/>
    <x v="2"/>
    <s v="30,24h/semaine"/>
    <d v="1904-01-01T06:02:53"/>
    <s v=""/>
  </r>
  <r>
    <x v="0"/>
    <x v="29"/>
    <m/>
    <m/>
    <m/>
    <d v="1904-01-01T00:00:00"/>
    <d v="1904-01-01T00:00:00"/>
    <m/>
    <x v="2"/>
    <s v="30,24h/semaine"/>
    <d v="1904-01-01T06:02:53"/>
    <s v=""/>
  </r>
  <r>
    <x v="0"/>
    <x v="30"/>
    <d v="1904-01-01T08:32:00"/>
    <d v="1904-01-01T16:49:00"/>
    <m/>
    <d v="1904-01-01T07:47:00"/>
    <d v="1904-01-01T01:44:07"/>
    <m/>
    <x v="2"/>
    <s v="30,24h/semaine"/>
    <d v="1904-01-01T06:02:53"/>
    <s v=""/>
  </r>
  <r>
    <x v="0"/>
    <x v="31"/>
    <d v="1904-01-01T08:30:00"/>
    <d v="1904-01-01T16:38:00"/>
    <m/>
    <d v="1904-01-01T07:38:00"/>
    <d v="1904-01-01T01:35:07"/>
    <m/>
    <x v="2"/>
    <s v="30,24h/semaine"/>
    <d v="1904-01-01T06:02:53"/>
    <s v=""/>
  </r>
  <r>
    <x v="0"/>
    <x v="32"/>
    <d v="1904-01-01T09:08:00"/>
    <d v="1904-01-01T16:31:00"/>
    <m/>
    <d v="1904-01-01T06:53:00"/>
    <d v="1904-01-01T00:50:07"/>
    <m/>
    <x v="3"/>
    <s v="30,24h/semaine"/>
    <d v="1904-01-01T06:02:53"/>
    <s v=""/>
  </r>
  <r>
    <x v="0"/>
    <x v="33"/>
    <d v="1904-01-01T08:54:00"/>
    <d v="1904-01-01T16:44:00"/>
    <m/>
    <d v="1904-01-01T07:20:00"/>
    <d v="1904-01-01T01:17:07"/>
    <m/>
    <x v="3"/>
    <s v="30,24h/semaine"/>
    <d v="1904-01-01T06:02:53"/>
    <s v=""/>
  </r>
  <r>
    <x v="0"/>
    <x v="34"/>
    <m/>
    <m/>
    <m/>
    <d v="1904-01-01T00:00:00"/>
    <d v="1904-01-01T00:00:00"/>
    <m/>
    <x v="3"/>
    <s v="30,24h/semaine"/>
    <d v="1904-01-01T06:02:53"/>
    <s v=""/>
  </r>
  <r>
    <x v="0"/>
    <x v="35"/>
    <d v="1904-01-01T08:30:00"/>
    <d v="1904-01-01T17:05:00"/>
    <m/>
    <d v="1904-01-01T08:05:00"/>
    <d v="1904-01-01T02:02:07"/>
    <m/>
    <x v="3"/>
    <s v="30,24h/semaine"/>
    <d v="1904-01-01T06:02:53"/>
    <s v=""/>
  </r>
  <r>
    <x v="0"/>
    <x v="36"/>
    <d v="1904-01-01T08:30:00"/>
    <d v="1904-01-01T16:51:00"/>
    <m/>
    <d v="1904-01-01T07:51:00"/>
    <d v="1904-01-01T01:48:07"/>
    <m/>
    <x v="3"/>
    <s v="30,24h/semaine"/>
    <d v="1904-01-01T06:02:53"/>
    <s v=""/>
  </r>
  <r>
    <x v="0"/>
    <x v="37"/>
    <d v="1904-01-01T08:30:00"/>
    <d v="1904-01-01T16:52:00"/>
    <m/>
    <d v="1904-01-01T07:52:00"/>
    <d v="1904-01-01T01:49:07"/>
    <m/>
    <x v="3"/>
    <s v="30,24h/semaine"/>
    <d v="1904-01-01T06:02:53"/>
    <s v=""/>
  </r>
  <r>
    <x v="0"/>
    <x v="38"/>
    <d v="1904-01-01T08:36:00"/>
    <d v="1904-01-01T16:32:00"/>
    <m/>
    <d v="1904-01-01T07:26:00"/>
    <d v="1904-01-01T01:23:07"/>
    <m/>
    <x v="3"/>
    <s v="30,24h/semaine"/>
    <d v="1904-01-01T06:02:53"/>
    <s v=""/>
  </r>
  <r>
    <x v="0"/>
    <x v="39"/>
    <m/>
    <m/>
    <m/>
    <d v="1904-01-01T00:00:00"/>
    <d v="1904-01-01T00:00:00"/>
    <m/>
    <x v="3"/>
    <s v="30,24h/semaine"/>
    <d v="1904-01-01T06:02:53"/>
    <s v=""/>
  </r>
  <r>
    <x v="0"/>
    <x v="40"/>
    <d v="1904-01-01T08:30:00"/>
    <d v="1904-01-01T16:32:00"/>
    <m/>
    <d v="1904-01-01T07:32:00"/>
    <d v="1904-01-01T01:29:07"/>
    <m/>
    <x v="3"/>
    <s v="30,24h/semaine"/>
    <d v="1904-01-01T06:02:53"/>
    <s v=""/>
  </r>
  <r>
    <x v="0"/>
    <x v="41"/>
    <d v="1904-01-01T08:37:00"/>
    <d v="1904-01-01T17:04:00"/>
    <m/>
    <d v="1904-01-01T07:57:00"/>
    <d v="1904-01-01T01:54:07"/>
    <m/>
    <x v="3"/>
    <s v="30,24h/semaine"/>
    <d v="1904-01-01T06:02:53"/>
    <s v=""/>
  </r>
  <r>
    <x v="0"/>
    <x v="42"/>
    <m/>
    <m/>
    <m/>
    <d v="1904-01-01T00:00:00"/>
    <d v="1904-01-01T00:00:00"/>
    <m/>
    <x v="3"/>
    <s v="30,24h/semaine"/>
    <d v="1904-01-01T06:02:53"/>
    <s v=""/>
  </r>
  <r>
    <x v="0"/>
    <x v="43"/>
    <m/>
    <m/>
    <m/>
    <d v="1904-01-01T00:00:00"/>
    <d v="1904-01-01T00:00:00"/>
    <m/>
    <x v="4"/>
    <s v="30,24h/semaine"/>
    <d v="1904-01-01T06:02:53"/>
    <s v=""/>
  </r>
  <r>
    <x v="0"/>
    <x v="44"/>
    <m/>
    <m/>
    <m/>
    <d v="1904-01-01T00:00:00"/>
    <d v="1904-01-01T00:00:00"/>
    <m/>
    <x v="4"/>
    <s v="30,24h/semaine"/>
    <d v="1904-01-01T06:02:53"/>
    <s v=""/>
  </r>
  <r>
    <x v="0"/>
    <x v="45"/>
    <d v="1904-01-01T08:42:00"/>
    <d v="1904-01-01T16:44:00"/>
    <m/>
    <d v="1904-01-01T07:32:00"/>
    <d v="1904-01-01T01:29:07"/>
    <m/>
    <x v="4"/>
    <s v="30,24h/semaine"/>
    <d v="1904-01-01T06:02:53"/>
    <s v=""/>
  </r>
  <r>
    <x v="0"/>
    <x v="46"/>
    <d v="1904-01-01T08:34:00"/>
    <d v="1904-01-01T16:32:00"/>
    <m/>
    <d v="1904-01-01T07:28:00"/>
    <d v="1904-01-01T03:40:00"/>
    <m/>
    <x v="4"/>
    <s v="19h/semaine"/>
    <d v="1904-01-01T03:48:00"/>
    <s v=""/>
  </r>
  <r>
    <x v="0"/>
    <x v="47"/>
    <d v="1904-01-01T08:36:00"/>
    <d v="1904-01-01T16:30:00"/>
    <m/>
    <d v="1904-01-01T07:24:00"/>
    <d v="1904-01-01T03:36:00"/>
    <m/>
    <x v="4"/>
    <s v="19h/semaine"/>
    <d v="1904-01-01T03:48:00"/>
    <s v=""/>
  </r>
  <r>
    <x v="0"/>
    <x v="48"/>
    <d v="1904-01-01T08:32:00"/>
    <d v="1904-01-01T13:29:00"/>
    <m/>
    <d v="1904-01-01T04:27:00"/>
    <d v="1904-01-01T00:39:00"/>
    <m/>
    <x v="4"/>
    <s v="19h/semaine"/>
    <d v="1904-01-01T03:48:00"/>
    <s v=""/>
  </r>
  <r>
    <x v="0"/>
    <x v="49"/>
    <m/>
    <m/>
    <m/>
    <d v="1904-01-01T00:00:00"/>
    <d v="1904-01-01T00:00:00"/>
    <m/>
    <x v="4"/>
    <s v="19h/semaine"/>
    <d v="1904-01-01T03:48:00"/>
    <s v=""/>
  </r>
  <r>
    <x v="0"/>
    <x v="50"/>
    <m/>
    <m/>
    <m/>
    <d v="1904-01-01T00:00:00"/>
    <d v="1904-01-01T00:00:00"/>
    <m/>
    <x v="4"/>
    <s v="19h/semaine"/>
    <d v="1904-01-01T03:48:00"/>
    <s v=""/>
  </r>
  <r>
    <x v="0"/>
    <x v="51"/>
    <m/>
    <m/>
    <m/>
    <d v="1904-01-01T00:00:00"/>
    <n v="-0.15416666666666667"/>
    <m/>
    <x v="4"/>
    <s v="19h/semaine"/>
    <d v="1904-01-01T03:48:00"/>
    <s v="X"/>
  </r>
  <r>
    <x v="0"/>
    <x v="52"/>
    <m/>
    <m/>
    <m/>
    <d v="1904-01-01T00:00:00"/>
    <d v="1904-01-01T00:00:00"/>
    <m/>
    <x v="4"/>
    <s v="19h/semaine"/>
    <d v="1904-01-01T03:48:00"/>
    <s v=""/>
  </r>
  <r>
    <x v="0"/>
    <x v="53"/>
    <m/>
    <m/>
    <m/>
    <d v="1904-01-01T00:00:00"/>
    <d v="1904-01-01T00:00:00"/>
    <m/>
    <x v="4"/>
    <s v="19h/semaine"/>
    <d v="1904-01-01T03:48:00"/>
    <s v=""/>
  </r>
  <r>
    <x v="0"/>
    <x v="54"/>
    <m/>
    <m/>
    <m/>
    <d v="1904-01-01T00:00:00"/>
    <d v="1904-01-01T00:00:00"/>
    <m/>
    <x v="5"/>
    <s v="19h/semaine"/>
    <d v="1904-01-01T03:48:00"/>
    <s v=""/>
  </r>
  <r>
    <x v="0"/>
    <x v="55"/>
    <m/>
    <m/>
    <m/>
    <d v="1904-01-01T00:00:00"/>
    <d v="1904-01-01T00:00:00"/>
    <m/>
    <x v="5"/>
    <s v="19h/semaine"/>
    <d v="1904-01-01T03:48:00"/>
    <s v=""/>
  </r>
  <r>
    <x v="0"/>
    <x v="56"/>
    <m/>
    <m/>
    <m/>
    <d v="1904-01-01T00:00:00"/>
    <d v="1904-01-01T00:00:00"/>
    <m/>
    <x v="5"/>
    <s v="19h/semaine"/>
    <d v="1904-01-01T03:48:00"/>
    <s v=""/>
  </r>
  <r>
    <x v="0"/>
    <x v="57"/>
    <m/>
    <m/>
    <m/>
    <d v="1904-01-01T00:00:00"/>
    <d v="1904-01-01T00:00:00"/>
    <m/>
    <x v="5"/>
    <s v="19h/semaine"/>
    <d v="1904-01-01T03:48:00"/>
    <s v=""/>
  </r>
  <r>
    <x v="0"/>
    <x v="58"/>
    <m/>
    <m/>
    <m/>
    <d v="1904-01-01T00:00:00"/>
    <d v="1904-01-01T00:00:00"/>
    <m/>
    <x v="5"/>
    <s v="19h/semaine"/>
    <d v="1904-01-01T03:48:00"/>
    <s v=""/>
  </r>
  <r>
    <x v="0"/>
    <x v="59"/>
    <m/>
    <m/>
    <m/>
    <d v="1904-01-01T00:00:00"/>
    <d v="1904-01-01T00:00:00"/>
    <m/>
    <x v="5"/>
    <s v="19h/semaine"/>
    <d v="1904-01-01T03:48:00"/>
    <s v=""/>
  </r>
  <r>
    <x v="0"/>
    <x v="60"/>
    <m/>
    <m/>
    <m/>
    <d v="1904-01-01T00:00:00"/>
    <d v="1904-01-01T00:00:00"/>
    <m/>
    <x v="5"/>
    <s v="19h/semaine"/>
    <d v="1904-01-01T03:48:00"/>
    <s v=""/>
  </r>
  <r>
    <x v="0"/>
    <x v="61"/>
    <m/>
    <m/>
    <m/>
    <d v="1904-01-01T00:00:00"/>
    <d v="1904-01-01T00:00:00"/>
    <m/>
    <x v="5"/>
    <s v="19h/semaine"/>
    <d v="1904-01-01T03:48:00"/>
    <s v=""/>
  </r>
  <r>
    <x v="0"/>
    <x v="62"/>
    <m/>
    <m/>
    <m/>
    <d v="1904-01-01T00:00:00"/>
    <d v="1904-01-01T00:00:00"/>
    <m/>
    <x v="5"/>
    <s v="19h/semaine"/>
    <d v="1904-01-01T03:48:00"/>
    <s v=""/>
  </r>
  <r>
    <x v="0"/>
    <x v="63"/>
    <m/>
    <m/>
    <m/>
    <d v="1904-01-01T00:00:00"/>
    <d v="1904-01-01T00:00:00"/>
    <m/>
    <x v="5"/>
    <s v="19h/semaine"/>
    <d v="1904-01-01T03:48:00"/>
    <s v=""/>
  </r>
  <r>
    <x v="0"/>
    <x v="64"/>
    <m/>
    <m/>
    <m/>
    <d v="1904-01-01T00:00:00"/>
    <d v="1904-01-01T00:00:00"/>
    <m/>
    <x v="5"/>
    <s v="19h/semaine"/>
    <d v="1904-01-01T03:48:00"/>
    <s v=""/>
  </r>
  <r>
    <x v="1"/>
    <x v="0"/>
    <d v="1904-01-01T08:30:00"/>
    <d v="1904-01-01T16:32:00"/>
    <m/>
    <d v="1904-01-01T07:32:00"/>
    <d v="1904-01-01T01:29:07"/>
    <m/>
    <x v="0"/>
    <s v="30,24h/semaine"/>
    <d v="1904-01-01T06:02:53"/>
    <s v=""/>
  </r>
  <r>
    <x v="1"/>
    <x v="1"/>
    <d v="1904-01-01T08:30:00"/>
    <d v="1904-01-01T16:52:00"/>
    <m/>
    <d v="1904-01-01T07:52:00"/>
    <d v="1904-01-01T01:49:07"/>
    <m/>
    <x v="0"/>
    <s v="30,24h/semaine"/>
    <d v="1904-01-01T06:02:53"/>
    <s v=""/>
  </r>
  <r>
    <x v="1"/>
    <x v="2"/>
    <d v="1904-01-01T08:30:00"/>
    <d v="1904-01-01T16:33:00"/>
    <m/>
    <d v="1904-01-01T07:33:00"/>
    <d v="1904-01-01T01:30:07"/>
    <m/>
    <x v="0"/>
    <s v="30,24h/semaine"/>
    <d v="1904-01-01T06:02:53"/>
    <s v=""/>
  </r>
  <r>
    <x v="1"/>
    <x v="3"/>
    <d v="1904-01-01T08:30:00"/>
    <d v="1904-01-01T16:30:00"/>
    <m/>
    <d v="1904-01-01T07:30:00"/>
    <d v="1904-01-01T01:27:07"/>
    <m/>
    <x v="0"/>
    <s v="30,24h/semaine"/>
    <d v="1904-01-01T06:02:53"/>
    <s v=""/>
  </r>
  <r>
    <x v="1"/>
    <x v="4"/>
    <m/>
    <m/>
    <m/>
    <d v="1904-01-01T00:00:00"/>
    <d v="1904-01-01T00:00:00"/>
    <m/>
    <x v="0"/>
    <s v="30,24h/semaine"/>
    <d v="1904-01-01T06:02:53"/>
    <s v=""/>
  </r>
  <r>
    <x v="1"/>
    <x v="5"/>
    <d v="1904-01-01T08:30:00"/>
    <d v="1904-01-01T16:30:00"/>
    <m/>
    <d v="1904-01-01T07:30:00"/>
    <d v="1904-01-01T01:27:07"/>
    <m/>
    <x v="0"/>
    <s v="30,24h/semaine"/>
    <d v="1904-01-01T06:02:53"/>
    <s v=""/>
  </r>
  <r>
    <x v="1"/>
    <x v="6"/>
    <d v="1904-01-01T08:30:00"/>
    <d v="1904-01-01T16:30:00"/>
    <m/>
    <d v="1904-01-01T07:30:00"/>
    <d v="1904-01-01T01:27:07"/>
    <m/>
    <x v="0"/>
    <s v="30,24h/semaine"/>
    <d v="1904-01-01T06:02:53"/>
    <s v=""/>
  </r>
  <r>
    <x v="1"/>
    <x v="7"/>
    <d v="1904-01-01T08:31:00"/>
    <d v="1904-01-01T16:31:00"/>
    <m/>
    <d v="1904-01-01T07:30:00"/>
    <d v="1904-01-01T01:27:07"/>
    <m/>
    <x v="0"/>
    <s v="30,24h/semaine"/>
    <d v="1904-01-01T06:02:53"/>
    <s v=""/>
  </r>
  <r>
    <x v="1"/>
    <x v="8"/>
    <d v="1904-01-01T08:30:00"/>
    <d v="1904-01-01T16:35:00"/>
    <m/>
    <d v="1904-01-01T07:35:00"/>
    <d v="1904-01-01T01:32:07"/>
    <m/>
    <x v="0"/>
    <s v="30,24h/semaine"/>
    <d v="1904-01-01T06:02:53"/>
    <s v=""/>
  </r>
  <r>
    <x v="1"/>
    <x v="9"/>
    <m/>
    <m/>
    <m/>
    <d v="1904-01-01T00:00:00"/>
    <d v="1904-01-01T00:00:00"/>
    <m/>
    <x v="0"/>
    <s v="30,24h/semaine"/>
    <d v="1904-01-01T06:02:53"/>
    <s v=""/>
  </r>
  <r>
    <x v="1"/>
    <x v="10"/>
    <d v="1904-01-01T08:32:00"/>
    <d v="1904-01-01T16:33:00"/>
    <m/>
    <d v="1904-01-01T07:31:00"/>
    <d v="1904-01-01T01:28:07"/>
    <m/>
    <x v="0"/>
    <s v="30,24h/semaine"/>
    <d v="1904-01-01T06:02:53"/>
    <s v=""/>
  </r>
  <r>
    <x v="1"/>
    <x v="11"/>
    <d v="1904-01-01T08:30:00"/>
    <d v="1904-01-01T17:01:00"/>
    <m/>
    <d v="1904-01-01T08:01:00"/>
    <d v="1904-01-01T01:58:07"/>
    <m/>
    <x v="1"/>
    <s v="30,24h/semaine"/>
    <d v="1904-01-01T06:02:53"/>
    <s v=""/>
  </r>
  <r>
    <x v="1"/>
    <x v="12"/>
    <d v="1904-01-01T08:47:00"/>
    <d v="1904-01-01T16:46:00"/>
    <m/>
    <d v="1904-01-01T07:29:00"/>
    <d v="1904-01-01T01:26:07"/>
    <m/>
    <x v="1"/>
    <s v="30,24h/semaine"/>
    <d v="1904-01-01T06:02:53"/>
    <s v=""/>
  </r>
  <r>
    <x v="1"/>
    <x v="13"/>
    <d v="1904-01-01T08:30:00"/>
    <d v="1904-01-01T16:32:00"/>
    <m/>
    <d v="1904-01-01T07:32:00"/>
    <d v="1904-01-01T01:29:07"/>
    <m/>
    <x v="1"/>
    <s v="30,24h/semaine"/>
    <d v="1904-01-01T06:02:53"/>
    <s v=""/>
  </r>
  <r>
    <x v="1"/>
    <x v="14"/>
    <m/>
    <m/>
    <m/>
    <d v="1904-01-01T00:00:00"/>
    <d v="1904-01-01T00:00:00"/>
    <m/>
    <x v="1"/>
    <s v="30,24h/semaine"/>
    <d v="1904-01-01T06:02:53"/>
    <s v=""/>
  </r>
  <r>
    <x v="1"/>
    <x v="15"/>
    <d v="1904-01-01T08:30:00"/>
    <d v="1904-01-01T16:30:00"/>
    <m/>
    <d v="1904-01-01T07:30:00"/>
    <d v="1904-01-01T01:27:07"/>
    <m/>
    <x v="1"/>
    <s v="30,24h/semaine"/>
    <d v="1904-01-01T06:02:53"/>
    <s v=""/>
  </r>
  <r>
    <x v="1"/>
    <x v="16"/>
    <m/>
    <m/>
    <m/>
    <d v="1904-01-01T00:00:00"/>
    <d v="1904-01-01T00:00:00"/>
    <m/>
    <x v="1"/>
    <s v="30,24h/semaine"/>
    <d v="1904-01-01T06:02:53"/>
    <s v=""/>
  </r>
  <r>
    <x v="1"/>
    <x v="17"/>
    <d v="1904-01-01T08:31:00"/>
    <d v="1904-01-01T16:31:00"/>
    <m/>
    <d v="1904-01-01T07:30:00"/>
    <d v="1904-01-01T01:27:07"/>
    <m/>
    <x v="1"/>
    <s v="30,24h/semaine"/>
    <d v="1904-01-01T06:02:53"/>
    <s v=""/>
  </r>
  <r>
    <x v="1"/>
    <x v="18"/>
    <d v="1904-01-01T08:33:00"/>
    <d v="1904-01-01T16:38:00"/>
    <m/>
    <d v="1904-01-01T07:35:00"/>
    <d v="1904-01-01T01:32:07"/>
    <m/>
    <x v="1"/>
    <s v="30,24h/semaine"/>
    <d v="1904-01-01T06:02:53"/>
    <s v=""/>
  </r>
  <r>
    <x v="1"/>
    <x v="19"/>
    <m/>
    <m/>
    <m/>
    <d v="1904-01-01T00:00:00"/>
    <d v="1904-01-01T00:00:00"/>
    <m/>
    <x v="1"/>
    <s v="30,24h/semaine"/>
    <d v="1904-01-01T06:02:53"/>
    <s v=""/>
  </r>
  <r>
    <x v="1"/>
    <x v="20"/>
    <d v="1904-01-01T08:30:00"/>
    <d v="1904-01-01T16:46:00"/>
    <m/>
    <d v="1904-01-01T07:46:00"/>
    <d v="1904-01-01T01:43:07"/>
    <m/>
    <x v="1"/>
    <s v="30,24h/semaine"/>
    <d v="1904-01-01T06:02:53"/>
    <s v=""/>
  </r>
  <r>
    <x v="1"/>
    <x v="21"/>
    <d v="1904-01-01T08:30:00"/>
    <d v="1904-01-01T16:36:00"/>
    <m/>
    <d v="1904-01-01T07:36:00"/>
    <d v="1904-01-01T01:33:07"/>
    <m/>
    <x v="1"/>
    <s v="30,24h/semaine"/>
    <d v="1904-01-01T06:02:53"/>
    <s v=""/>
  </r>
  <r>
    <x v="1"/>
    <x v="22"/>
    <d v="1904-01-01T08:30:00"/>
    <d v="1904-01-01T16:46:00"/>
    <m/>
    <d v="1904-01-01T07:46:00"/>
    <d v="1904-01-01T01:43:07"/>
    <m/>
    <x v="2"/>
    <s v="30,24h/semaine"/>
    <d v="1904-01-01T06:02:53"/>
    <s v=""/>
  </r>
  <r>
    <x v="1"/>
    <x v="23"/>
    <d v="1904-01-01T08:49:00"/>
    <d v="1904-01-01T16:31:00"/>
    <m/>
    <d v="1904-01-01T07:12:00"/>
    <d v="1904-01-01T01:09:07"/>
    <m/>
    <x v="2"/>
    <s v="30,24h/semaine"/>
    <d v="1904-01-01T06:02:53"/>
    <s v=""/>
  </r>
  <r>
    <x v="1"/>
    <x v="24"/>
    <m/>
    <m/>
    <m/>
    <d v="1904-01-01T00:00:00"/>
    <d v="1904-01-01T00:00:00"/>
    <m/>
    <x v="2"/>
    <s v="30,24h/semaine"/>
    <d v="1904-01-01T06:02:53"/>
    <s v=""/>
  </r>
  <r>
    <x v="1"/>
    <x v="25"/>
    <d v="1904-01-01T08:30:00"/>
    <d v="1904-01-01T16:39:00"/>
    <m/>
    <d v="1904-01-01T07:39:00"/>
    <d v="1904-01-01T01:36:07"/>
    <m/>
    <x v="2"/>
    <s v="30,24h/semaine"/>
    <d v="1904-01-01T06:02:53"/>
    <s v=""/>
  </r>
  <r>
    <x v="1"/>
    <x v="26"/>
    <m/>
    <m/>
    <m/>
    <d v="1904-01-01T00:00:00"/>
    <d v="1904-01-01T00:00:00"/>
    <m/>
    <x v="2"/>
    <s v="30,24h/semaine"/>
    <d v="1904-01-01T06:02:53"/>
    <s v=""/>
  </r>
  <r>
    <x v="1"/>
    <x v="27"/>
    <m/>
    <m/>
    <m/>
    <d v="1904-01-01T00:00:00"/>
    <d v="1904-01-01T00:00:00"/>
    <m/>
    <x v="2"/>
    <s v="30,24h/semaine"/>
    <d v="1904-01-01T06:02:53"/>
    <s v=""/>
  </r>
  <r>
    <x v="1"/>
    <x v="28"/>
    <d v="1904-01-01T08:30:00"/>
    <d v="1904-01-01T16:47:00"/>
    <m/>
    <d v="1904-01-01T07:47:00"/>
    <d v="1904-01-01T01:44:07"/>
    <m/>
    <x v="2"/>
    <s v="30,24h/semaine"/>
    <d v="1904-01-01T06:02:53"/>
    <s v=""/>
  </r>
  <r>
    <x v="1"/>
    <x v="29"/>
    <m/>
    <m/>
    <m/>
    <d v="1904-01-01T00:00:00"/>
    <d v="1904-01-01T00:00:00"/>
    <m/>
    <x v="2"/>
    <s v="30,24h/semaine"/>
    <d v="1904-01-01T06:02:53"/>
    <s v=""/>
  </r>
  <r>
    <x v="1"/>
    <x v="30"/>
    <d v="1904-01-01T08:32:00"/>
    <d v="1904-01-01T16:49:00"/>
    <m/>
    <d v="1904-01-01T07:47:00"/>
    <d v="1904-01-01T01:44:07"/>
    <m/>
    <x v="2"/>
    <s v="30,24h/semaine"/>
    <d v="1904-01-01T06:02:53"/>
    <s v=""/>
  </r>
  <r>
    <x v="1"/>
    <x v="31"/>
    <d v="1904-01-01T08:30:00"/>
    <d v="1904-01-01T16:38:00"/>
    <m/>
    <d v="1904-01-01T07:38:00"/>
    <d v="1904-01-01T01:35:07"/>
    <m/>
    <x v="2"/>
    <s v="30,24h/semaine"/>
    <d v="1904-01-01T06:02:53"/>
    <s v=""/>
  </r>
  <r>
    <x v="1"/>
    <x v="32"/>
    <d v="1904-01-01T09:08:00"/>
    <d v="1904-01-01T16:31:00"/>
    <m/>
    <d v="1904-01-01T06:53:00"/>
    <d v="1904-01-01T00:50:07"/>
    <m/>
    <x v="3"/>
    <s v="30,24h/semaine"/>
    <d v="1904-01-01T06:02:53"/>
    <s v=""/>
  </r>
  <r>
    <x v="1"/>
    <x v="33"/>
    <d v="1904-01-01T08:54:00"/>
    <d v="1904-01-01T16:44:00"/>
    <m/>
    <d v="1904-01-01T07:20:00"/>
    <d v="1904-01-01T01:17:07"/>
    <m/>
    <x v="3"/>
    <s v="30,24h/semaine"/>
    <d v="1904-01-01T06:02:53"/>
    <s v=""/>
  </r>
  <r>
    <x v="1"/>
    <x v="34"/>
    <m/>
    <m/>
    <m/>
    <d v="1904-01-01T00:00:00"/>
    <d v="1904-01-01T00:00:00"/>
    <m/>
    <x v="3"/>
    <s v="30,24h/semaine"/>
    <d v="1904-01-01T06:02:53"/>
    <s v=""/>
  </r>
  <r>
    <x v="1"/>
    <x v="35"/>
    <d v="1904-01-01T08:30:00"/>
    <d v="1904-01-01T17:05:00"/>
    <m/>
    <d v="1904-01-01T08:05:00"/>
    <d v="1904-01-01T02:02:07"/>
    <m/>
    <x v="3"/>
    <s v="30,24h/semaine"/>
    <d v="1904-01-01T06:02:53"/>
    <s v=""/>
  </r>
  <r>
    <x v="1"/>
    <x v="36"/>
    <d v="1904-01-01T08:30:00"/>
    <d v="1904-01-01T16:51:00"/>
    <m/>
    <d v="1904-01-01T07:51:00"/>
    <d v="1904-01-01T01:48:07"/>
    <m/>
    <x v="3"/>
    <s v="30,24h/semaine"/>
    <d v="1904-01-01T06:02:53"/>
    <s v=""/>
  </r>
  <r>
    <x v="1"/>
    <x v="37"/>
    <d v="1904-01-01T08:30:00"/>
    <d v="1904-01-01T16:52:00"/>
    <m/>
    <d v="1904-01-01T07:52:00"/>
    <d v="1904-01-01T01:49:07"/>
    <m/>
    <x v="3"/>
    <s v="30,24h/semaine"/>
    <d v="1904-01-01T06:02:53"/>
    <s v=""/>
  </r>
  <r>
    <x v="1"/>
    <x v="38"/>
    <d v="1904-01-01T08:36:00"/>
    <d v="1904-01-01T16:32:00"/>
    <m/>
    <d v="1904-01-01T07:26:00"/>
    <d v="1904-01-01T01:23:07"/>
    <m/>
    <x v="3"/>
    <s v="30,24h/semaine"/>
    <d v="1904-01-01T06:02:53"/>
    <s v=""/>
  </r>
  <r>
    <x v="1"/>
    <x v="39"/>
    <m/>
    <m/>
    <m/>
    <d v="1904-01-01T00:00:00"/>
    <d v="1904-01-01T00:00:00"/>
    <m/>
    <x v="3"/>
    <s v="30,24h/semaine"/>
    <d v="1904-01-01T06:02:53"/>
    <s v=""/>
  </r>
  <r>
    <x v="1"/>
    <x v="40"/>
    <d v="1904-01-01T08:30:00"/>
    <d v="1904-01-01T16:32:00"/>
    <m/>
    <d v="1904-01-01T07:32:00"/>
    <d v="1904-01-01T01:29:07"/>
    <m/>
    <x v="3"/>
    <s v="30,24h/semaine"/>
    <d v="1904-01-01T06:02:53"/>
    <s v=""/>
  </r>
  <r>
    <x v="1"/>
    <x v="41"/>
    <d v="1904-01-01T08:37:00"/>
    <d v="1904-01-01T17:04:00"/>
    <m/>
    <d v="1904-01-01T07:57:00"/>
    <d v="1904-01-01T01:54:07"/>
    <m/>
    <x v="3"/>
    <s v="30,24h/semaine"/>
    <d v="1904-01-01T06:02:53"/>
    <s v=""/>
  </r>
  <r>
    <x v="1"/>
    <x v="42"/>
    <m/>
    <m/>
    <m/>
    <d v="1904-01-01T00:00:00"/>
    <d v="1904-01-01T00:00:00"/>
    <m/>
    <x v="3"/>
    <s v="30,24h/semaine"/>
    <d v="1904-01-01T06:02:53"/>
    <s v=""/>
  </r>
  <r>
    <x v="1"/>
    <x v="43"/>
    <m/>
    <m/>
    <m/>
    <d v="1904-01-01T00:00:00"/>
    <d v="1904-01-01T00:00:00"/>
    <m/>
    <x v="4"/>
    <s v="30,24h/semaine"/>
    <d v="1904-01-01T06:02:53"/>
    <s v=""/>
  </r>
  <r>
    <x v="1"/>
    <x v="44"/>
    <m/>
    <m/>
    <m/>
    <d v="1904-01-01T00:00:00"/>
    <d v="1904-01-01T00:00:00"/>
    <m/>
    <x v="4"/>
    <s v="30,24h/semaine"/>
    <d v="1904-01-01T06:02:53"/>
    <s v=""/>
  </r>
  <r>
    <x v="1"/>
    <x v="45"/>
    <d v="1904-01-01T08:42:00"/>
    <d v="1904-01-01T16:44:00"/>
    <m/>
    <d v="1904-01-01T07:32:00"/>
    <d v="1904-01-01T01:29:07"/>
    <m/>
    <x v="4"/>
    <s v="30,24h/semaine"/>
    <d v="1904-01-01T06:02:53"/>
    <s v=""/>
  </r>
  <r>
    <x v="1"/>
    <x v="46"/>
    <d v="1904-01-01T08:34:00"/>
    <d v="1904-01-01T16:32:00"/>
    <m/>
    <d v="1904-01-01T07:28:00"/>
    <d v="1904-01-01T01:25:07"/>
    <m/>
    <x v="4"/>
    <s v="30,24h/semaine"/>
    <d v="1904-01-01T06:02:53"/>
    <s v=""/>
  </r>
  <r>
    <x v="1"/>
    <x v="47"/>
    <d v="1904-01-01T08:36:00"/>
    <d v="1904-01-01T16:30:00"/>
    <m/>
    <d v="1904-01-01T07:24:00"/>
    <d v="1904-01-01T01:21:07"/>
    <m/>
    <x v="4"/>
    <s v="30,24h/semaine"/>
    <d v="1904-01-01T06:02:53"/>
    <s v=""/>
  </r>
  <r>
    <x v="1"/>
    <x v="48"/>
    <d v="1904-01-01T08:32:00"/>
    <d v="1904-01-01T13:29:00"/>
    <m/>
    <d v="1904-01-01T04:27:00"/>
    <n v="-6.6583333333333355E-2"/>
    <m/>
    <x v="4"/>
    <s v="30,24h/semaine"/>
    <d v="1904-01-01T06:02:53"/>
    <s v=""/>
  </r>
  <r>
    <x v="1"/>
    <x v="49"/>
    <m/>
    <m/>
    <m/>
    <d v="1904-01-01T00:00:00"/>
    <d v="1904-01-01T00:00:00"/>
    <m/>
    <x v="4"/>
    <s v="30,24h/semaine"/>
    <d v="1904-01-01T06:02:53"/>
    <s v=""/>
  </r>
  <r>
    <x v="1"/>
    <x v="50"/>
    <m/>
    <m/>
    <m/>
    <d v="1904-01-01T00:00:00"/>
    <d v="1904-01-01T00:00:00"/>
    <m/>
    <x v="4"/>
    <s v="30,24h/semaine"/>
    <d v="1904-01-01T06:02:53"/>
    <s v=""/>
  </r>
  <r>
    <x v="1"/>
    <x v="51"/>
    <m/>
    <m/>
    <m/>
    <d v="1904-01-01T00:00:00"/>
    <n v="-6.0499999999999998E-2"/>
    <m/>
    <x v="4"/>
    <s v="30,24h/semaine"/>
    <d v="1904-01-01T06:02:53"/>
    <s v="X"/>
  </r>
  <r>
    <x v="1"/>
    <x v="52"/>
    <m/>
    <m/>
    <m/>
    <d v="1904-01-01T00:00:00"/>
    <d v="1904-01-01T00:00:00"/>
    <m/>
    <x v="4"/>
    <s v="30,24h/semaine"/>
    <d v="1904-01-01T06:02:53"/>
    <s v=""/>
  </r>
  <r>
    <x v="1"/>
    <x v="53"/>
    <m/>
    <m/>
    <m/>
    <d v="1904-01-01T00:00:00"/>
    <d v="1904-01-01T00:00:00"/>
    <m/>
    <x v="4"/>
    <s v="30,24h/semaine"/>
    <d v="1904-01-01T06:02:53"/>
    <s v=""/>
  </r>
  <r>
    <x v="1"/>
    <x v="54"/>
    <m/>
    <m/>
    <m/>
    <d v="1904-01-01T00:00:00"/>
    <d v="1904-01-01T00:00:00"/>
    <m/>
    <x v="5"/>
    <s v="30,24h/semaine"/>
    <d v="1904-01-01T06:02:53"/>
    <s v=""/>
  </r>
  <r>
    <x v="1"/>
    <x v="55"/>
    <m/>
    <m/>
    <m/>
    <d v="1904-01-01T00:00:00"/>
    <d v="1904-01-01T00:00:00"/>
    <m/>
    <x v="5"/>
    <s v="30,24h/semaine"/>
    <d v="1904-01-01T06:02:53"/>
    <s v=""/>
  </r>
  <r>
    <x v="1"/>
    <x v="56"/>
    <m/>
    <m/>
    <m/>
    <d v="1904-01-01T00:00:00"/>
    <d v="1904-01-01T00:00:00"/>
    <m/>
    <x v="5"/>
    <s v="30,24h/semaine"/>
    <d v="1904-01-01T06:02:53"/>
    <s v=""/>
  </r>
  <r>
    <x v="1"/>
    <x v="57"/>
    <m/>
    <m/>
    <m/>
    <d v="1904-01-01T00:00:00"/>
    <d v="1904-01-01T00:00:00"/>
    <m/>
    <x v="5"/>
    <s v="30,24h/semaine"/>
    <d v="1904-01-01T06:02:53"/>
    <s v=""/>
  </r>
  <r>
    <x v="1"/>
    <x v="58"/>
    <m/>
    <m/>
    <m/>
    <d v="1904-01-01T00:00:00"/>
    <d v="1904-01-01T00:00:00"/>
    <m/>
    <x v="5"/>
    <s v="30,24h/semaine"/>
    <d v="1904-01-01T06:02:53"/>
    <s v=""/>
  </r>
  <r>
    <x v="1"/>
    <x v="59"/>
    <m/>
    <m/>
    <m/>
    <d v="1904-01-01T00:00:00"/>
    <d v="1904-01-01T00:00:00"/>
    <m/>
    <x v="5"/>
    <s v="30,24h/semaine"/>
    <d v="1904-01-01T06:02:53"/>
    <s v=""/>
  </r>
  <r>
    <x v="1"/>
    <x v="60"/>
    <m/>
    <m/>
    <m/>
    <d v="1904-01-01T00:00:00"/>
    <d v="1904-01-01T00:00:00"/>
    <m/>
    <x v="5"/>
    <s v="30,24h/semaine"/>
    <d v="1904-01-01T06:02:53"/>
    <s v=""/>
  </r>
  <r>
    <x v="1"/>
    <x v="61"/>
    <m/>
    <m/>
    <m/>
    <d v="1904-01-01T00:00:00"/>
    <d v="1904-01-01T00:00:00"/>
    <m/>
    <x v="5"/>
    <s v="30,24h/semaine"/>
    <d v="1904-01-01T06:02:53"/>
    <s v=""/>
  </r>
  <r>
    <x v="1"/>
    <x v="62"/>
    <m/>
    <m/>
    <m/>
    <d v="1904-01-01T00:00:00"/>
    <d v="1904-01-01T00:00:00"/>
    <m/>
    <x v="5"/>
    <s v="30,24h/semaine"/>
    <d v="1904-01-01T06:02:53"/>
    <s v=""/>
  </r>
  <r>
    <x v="1"/>
    <x v="63"/>
    <m/>
    <m/>
    <m/>
    <d v="1904-01-01T00:00:00"/>
    <d v="1904-01-01T00:00:00"/>
    <m/>
    <x v="5"/>
    <s v="30,24h/semaine"/>
    <d v="1904-01-01T06:02:53"/>
    <s v=""/>
  </r>
  <r>
    <x v="1"/>
    <x v="64"/>
    <m/>
    <m/>
    <m/>
    <d v="1904-01-01T00:00:00"/>
    <d v="1904-01-01T00:00:00"/>
    <m/>
    <x v="5"/>
    <s v="30,24h/semaine"/>
    <d v="1904-01-01T06:02:53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8C50F7-4192-4E18-9836-3E85CF456A0A}" name="Draaitabel1" cacheId="35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B3:I18" firstHeaderRow="1" firstDataRow="3" firstDataCol="2"/>
  <pivotFields count="12">
    <pivotField axis="axisCol" compact="0" outline="0" subtotalTop="0" showAll="0" insertBlankRow="1">
      <items count="3">
        <item x="0"/>
        <item x="1"/>
        <item t="default"/>
      </items>
    </pivotField>
    <pivotField axis="axisRow" compact="0" numFmtId="164" outline="0" subtotalTop="0" showAll="0" insertBlankRow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2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2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name="demi" axis="axisRow" compact="0" outline="0" subtotalTop="0" showAll="0" insertBlankRow="1">
      <items count="7">
        <item x="0"/>
        <item x="1"/>
        <item x="2"/>
        <item x="3"/>
        <item x="4"/>
        <item x="5"/>
        <item t="default"/>
      </items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8"/>
  </rowFields>
  <rowItems count="13">
    <i>
      <x v="9"/>
      <x/>
    </i>
    <i r="1">
      <x v="1"/>
    </i>
    <i t="default">
      <x v="9"/>
    </i>
    <i t="blank">
      <x v="9"/>
    </i>
    <i>
      <x v="10"/>
      <x v="2"/>
    </i>
    <i r="1">
      <x v="3"/>
    </i>
    <i t="default">
      <x v="10"/>
    </i>
    <i t="blank">
      <x v="10"/>
    </i>
    <i>
      <x v="11"/>
      <x v="4"/>
    </i>
    <i r="1">
      <x v="5"/>
    </i>
    <i t="default">
      <x v="11"/>
    </i>
    <i t="blank">
      <x v="11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presté" fld="5" baseField="4" baseItem="0" numFmtId="165"/>
    <dataField name="Solde" fld="6" baseField="4" baseItem="0" numFmtId="166"/>
  </dataFields>
  <formats count="2">
    <format dxfId="28">
      <pivotArea dataOnly="0" outline="0" fieldPosition="0">
        <references count="1">
          <reference field="1" count="0" defaultSubtotal="1"/>
        </references>
      </pivotArea>
    </format>
    <format dxfId="27">
      <pivotArea dataOnly="0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8FCB53-9B7B-4AA3-A4D5-41714C5A6175}" name="Tabel2" displayName="Tabel2" ref="A1:L131" totalsRowShown="0" headerRowDxfId="42" dataDxfId="41">
  <autoFilter ref="A1:L131" xr:uid="{178FCB53-9B7B-4AA3-A4D5-41714C5A6175}"/>
  <tableColumns count="12">
    <tableColumn id="3" xr3:uid="{8F70AD53-5FEB-45E9-B2B3-6F08E4A2E93D}" name="Personne" dataDxfId="40"/>
    <tableColumn id="4" xr3:uid="{39674715-D32F-4CCD-B266-BD486732CF1A}" name="Date" dataDxfId="39">
      <calculatedColumnFormula>B1+CHOOSE(WEEKDAY(B1,2),1,1,1,1,3,2,1)</calculatedColumnFormula>
    </tableColumn>
    <tableColumn id="7" xr3:uid="{D250B835-0E5A-4014-A059-FD014154FA8C}" name="IN" dataDxfId="38"/>
    <tableColumn id="8" xr3:uid="{10399215-0A76-4976-9453-0B3C8BCA10A7}" name="OUT" dataDxfId="37"/>
    <tableColumn id="16" xr3:uid="{689BE43F-2C17-4BB9-9FED-8EC69198A176}" name="Corr." dataDxfId="36"/>
    <tableColumn id="9" xr3:uid="{E743BE5C-1B16-441E-8AE6-C3D261D445CB}" name="Temps presté" dataDxfId="35">
      <calculatedColumnFormula>IF(COUNT(C2:D2)&lt;&gt;2,0,D2-C2-(D2-C2&gt;=pause)*IF(E2&lt;&gt;"",E2,pause))</calculatedColumnFormula>
    </tableColumn>
    <tableColumn id="10" xr3:uid="{380273AB-FB04-4421-81F2-571431A30AA7}" name="Solde_x000a_journalier" dataDxfId="34">
      <calculatedColumnFormula>IF(L2="x",Tabel2[[#This Row],[Temps
 théorique]]-RECAP!$Y$6,(F2-K2)*(COUNT(C2:D2)=2))</calculatedColumnFormula>
    </tableColumn>
    <tableColumn id="17" xr3:uid="{9793207E-A0A0-465E-9A67-ABE08494445B}" name="check_x000a_double" dataDxfId="33"/>
    <tableColumn id="18" xr3:uid="{7783CC61-C5DB-4A13-8B56-09CAF61F1EDB}" name="demi_x000a_mois" dataDxfId="32">
      <calculatedColumnFormula>MOD(YEAR(Tabel2[[#This Row],[Date]]),100)&amp;"-"&amp;(MONTH(Tabel2[[#This Row],[Date]])-1)*2+(DAY(Tabel2[[#This Row],[Date]])&gt;15)</calculatedColumnFormula>
    </tableColumn>
    <tableColumn id="19" xr3:uid="{167593D7-C734-4D3A-B05F-5B5D1E74350F}" name="temps_x000a_ de travail" dataDxfId="31">
      <calculatedColumnFormula array="1">INDEX(RECAP!N:N,_xlfn.AGGREGATE(14,6,ROW(Tabel1[personne])/((Tabel1[personne]=Tabel2[[#This Row],[Personne]])*(Tabel1[début]&lt;=Tabel2[[#This Row],[Date]])),1))</calculatedColumnFormula>
    </tableColumn>
    <tableColumn id="20" xr3:uid="{33A01998-BECC-4D66-8DBE-ACD7512D9C9C}" name="Temps_x000a_ théorique" dataDxfId="30">
      <calculatedColumnFormula>VLOOKUP(J2,RECAP!$T$4:$V$7,3,0)</calculatedColumnFormula>
    </tableColumn>
    <tableColumn id="21" xr3:uid="{4EFB17AB-00C2-4F06-A5B3-7B9F3AD9266B}" name="Jours_x000a_ feriés" dataDxfId="29">
      <calculatedColumnFormula>IF(WORKDAY.INTL(Tabel2[[#This Row],[Date]]-1,1,"0000000",TBL_Féries[])&lt;&gt;Tabel2[[#This Row],[Date]],"X","")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65A7ED-EF49-4774-A5A6-182ADA3AE235}" name="Tabel1" displayName="Tabel1" ref="L3:Q18" totalsRowShown="0" headerRowDxfId="12" dataDxfId="11">
  <autoFilter ref="L3:Q18" xr:uid="{2E65A7ED-EF49-4774-A5A6-182ADA3AE235}"/>
  <sortState xmlns:xlrd2="http://schemas.microsoft.com/office/spreadsheetml/2017/richdata2" ref="L4:Q18">
    <sortCondition ref="L4:L18"/>
    <sortCondition ref="M4:M18"/>
  </sortState>
  <tableColumns count="6">
    <tableColumn id="1" xr3:uid="{E6B72E30-A82E-4A34-B8C4-2C1D7CC2D91F}" name="personne" dataDxfId="10"/>
    <tableColumn id="2" xr3:uid="{5014F7B4-FF7D-4A64-898B-F84B67E369BF}" name="début" dataDxfId="9"/>
    <tableColumn id="3" xr3:uid="{54D969A1-6405-4238-8B8C-25BE333FBE2F}" name="temps de travail" dataDxfId="8"/>
    <tableColumn id="4" xr3:uid="{EEA1A753-B733-46D2-86F5-3C3A336E8389}" name="Semaine" dataDxfId="7">
      <calculatedColumnFormula>VLOOKUP($N4,$T$4:$W$7,2,0)</calculatedColumnFormula>
    </tableColumn>
    <tableColumn id="5" xr3:uid="{BD5A1872-3F34-43CB-A1DC-8B3CE56E3A2F}" name="Jour" dataDxfId="6">
      <calculatedColumnFormula>VLOOKUP($N4,$T$4:$W$7,3,0)</calculatedColumnFormula>
    </tableColumn>
    <tableColumn id="6" xr3:uid="{7DD80D61-C5CC-4735-BC5A-2F0E41F956B9}" name="Solde férié (par jour)" dataDxfId="5">
      <calculatedColumnFormula>VLOOKUP($N4,$T$4:$W$7,4,0)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9C89A0B-E72F-424B-ABDC-913ED2774FDB}" name="TBL_Féries" displayName="TBL_Féries" ref="T12:V14" totalsRowShown="0" headerRowDxfId="4" dataDxfId="3">
  <autoFilter ref="T12:V14" xr:uid="{79C89A0B-E72F-424B-ABDC-913ED2774FDB}"/>
  <tableColumns count="3">
    <tableColumn id="1" xr3:uid="{AE693D38-48E0-4B96-BFDE-30C1AD1D6398}" name="2022" dataDxfId="2"/>
    <tableColumn id="2" xr3:uid="{D11F928F-D9A7-4E11-BE22-C2A326694063}" name="2023" dataDxfId="1">
      <calculatedColumnFormula>EDATE(T13,12)</calculatedColumnFormula>
    </tableColumn>
    <tableColumn id="3" xr3:uid="{6416AA3D-0124-4C97-A9AD-4C2B87A5EB39}" name="2024" dataDxfId="0">
      <calculatedColumnFormula>EDATE(U13,24)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W131"/>
  <sheetViews>
    <sheetView showZeros="0" tabSelected="1" zoomScale="90" zoomScaleNormal="90" workbookViewId="0">
      <selection activeCell="O14" sqref="O14"/>
    </sheetView>
  </sheetViews>
  <sheetFormatPr defaultColWidth="10.5703125" defaultRowHeight="15.75" x14ac:dyDescent="0.25"/>
  <cols>
    <col min="1" max="1" width="15" style="35" customWidth="1"/>
    <col min="2" max="2" width="31.42578125" style="35" bestFit="1" customWidth="1"/>
    <col min="3" max="3" width="8.28515625" style="35" bestFit="1" customWidth="1"/>
    <col min="4" max="4" width="10.140625" style="35" bestFit="1" customWidth="1"/>
    <col min="5" max="5" width="9.85546875" style="65" bestFit="1" customWidth="1"/>
    <col min="6" max="6" width="18.85546875" style="68" bestFit="1" customWidth="1"/>
    <col min="7" max="7" width="13.42578125" style="68" bestFit="1" customWidth="1"/>
    <col min="8" max="8" width="12.85546875" style="68" bestFit="1" customWidth="1"/>
    <col min="9" max="9" width="10.5703125" style="69" bestFit="1" customWidth="1"/>
    <col min="10" max="10" width="16.140625" style="69" bestFit="1" customWidth="1"/>
    <col min="11" max="11" width="15.28515625" style="69" bestFit="1" customWidth="1"/>
    <col min="12" max="12" width="11.7109375" style="70" bestFit="1" customWidth="1"/>
    <col min="13" max="15" width="13.42578125" style="36" customWidth="1"/>
    <col min="16" max="16" width="5" style="1" bestFit="1" customWidth="1"/>
    <col min="17" max="17" width="10.5703125" style="1"/>
    <col min="18" max="18" width="6.5703125" style="1" bestFit="1" customWidth="1"/>
    <col min="19" max="19" width="7.85546875" style="1" bestFit="1" customWidth="1"/>
    <col min="20" max="20" width="1.7109375" style="1" bestFit="1" customWidth="1"/>
    <col min="21" max="21" width="11.28515625" style="1" bestFit="1" customWidth="1"/>
    <col min="22" max="16384" width="10.5703125" style="1"/>
  </cols>
  <sheetData>
    <row r="1" spans="1:23" s="38" customFormat="1" ht="30" x14ac:dyDescent="0.25">
      <c r="A1" s="71" t="s">
        <v>32</v>
      </c>
      <c r="B1" s="72" t="s">
        <v>0</v>
      </c>
      <c r="C1" s="71" t="s">
        <v>1</v>
      </c>
      <c r="D1" s="71" t="s">
        <v>2</v>
      </c>
      <c r="E1" s="73" t="s">
        <v>41</v>
      </c>
      <c r="F1" s="71" t="s">
        <v>3</v>
      </c>
      <c r="G1" s="72" t="s">
        <v>4</v>
      </c>
      <c r="H1" s="74" t="s">
        <v>60</v>
      </c>
      <c r="I1" s="71" t="s">
        <v>39</v>
      </c>
      <c r="J1" s="75" t="s">
        <v>36</v>
      </c>
      <c r="K1" s="72" t="s">
        <v>37</v>
      </c>
      <c r="L1" s="73" t="s">
        <v>38</v>
      </c>
      <c r="M1" s="41"/>
      <c r="N1" s="41"/>
      <c r="O1" s="41"/>
      <c r="R1" s="39" t="s">
        <v>40</v>
      </c>
      <c r="S1" s="40">
        <v>2.0833333333333332E-2</v>
      </c>
    </row>
    <row r="2" spans="1:23" ht="21" x14ac:dyDescent="0.25">
      <c r="A2" s="63" t="s">
        <v>18</v>
      </c>
      <c r="B2" s="64">
        <v>43343</v>
      </c>
      <c r="C2" s="37">
        <v>0.35416666666666669</v>
      </c>
      <c r="D2" s="37">
        <v>0.68888888888888899</v>
      </c>
      <c r="E2" s="42"/>
      <c r="F2" s="66">
        <f t="shared" ref="F2:F33" si="0">IF(COUNT(C2:D2)&lt;&gt;2,0,D2-C2-(D2-C2&gt;=pause)*IF(E2&lt;&gt;"",E2,pause))</f>
        <v>0.31388888888888899</v>
      </c>
      <c r="G2" s="66">
        <f>IF(L2="x",Tabel2[[#This Row],[Temps
 théorique]]-RECAP!$Y$6,(F2-K2)*(COUNT(C2:D2)=2))</f>
        <v>-2.7777777777776569E-3</v>
      </c>
      <c r="H2" s="66"/>
      <c r="I2" s="66" t="str">
        <f>MOD(YEAR(Tabel2[[#This Row],[Date]]),100)&amp;"-"&amp;(MONTH(Tabel2[[#This Row],[Date]])-1)*2+(DAY(Tabel2[[#This Row],[Date]])&gt;15)</f>
        <v>22-16</v>
      </c>
      <c r="J2" s="66" t="str" cm="1">
        <f t="array" ref="J2">INDEX(RECAP!N:N,_xlfn.AGGREGATE(14,6,ROW(Tabel1[personne])/((Tabel1[personne]=Tabel2[[#This Row],[Personne]])*(Tabel1[début]&lt;=Tabel2[[#This Row],[Date]])),1))</f>
        <v>38h/semaine</v>
      </c>
      <c r="K2" s="66">
        <f>VLOOKUP(J2,RECAP!$T$4:$V$7,3,0)</f>
        <v>0.31666666666666665</v>
      </c>
      <c r="L2" s="67" t="str">
        <f>IF(WORKDAY.INTL(Tabel2[[#This Row],[Date]]-1,1,"0000000",TBL_Féries[])&lt;&gt;Tabel2[[#This Row],[Date]],"X","")</f>
        <v/>
      </c>
      <c r="M2" s="34"/>
      <c r="N2" s="34"/>
      <c r="O2" s="34"/>
      <c r="P2" s="33"/>
      <c r="W2" s="10"/>
    </row>
    <row r="3" spans="1:23" ht="21" x14ac:dyDescent="0.25">
      <c r="A3" s="63" t="s">
        <v>18</v>
      </c>
      <c r="B3" s="64">
        <f>B2+CHOOSE(WEEKDAY(B2,2),1,1,1,1,3,2,1)</f>
        <v>43344</v>
      </c>
      <c r="C3" s="37">
        <v>0.35416666666666669</v>
      </c>
      <c r="D3" s="37">
        <v>0.70277777777777783</v>
      </c>
      <c r="E3" s="43"/>
      <c r="F3" s="66">
        <f t="shared" si="0"/>
        <v>0.32777777777777783</v>
      </c>
      <c r="G3" s="66">
        <f>IF(L3="x",Tabel2[[#This Row],[Temps
 théorique]]-RECAP!$Y$6,(F3-K3)*(COUNT(C3:D3)=2))</f>
        <v>1.1111111111111183E-2</v>
      </c>
      <c r="H3" s="66"/>
      <c r="I3" s="66" t="str">
        <f>MOD(YEAR(Tabel2[[#This Row],[Date]]),100)&amp;"-"&amp;(MONTH(Tabel2[[#This Row],[Date]])-1)*2+(DAY(Tabel2[[#This Row],[Date]])&gt;15)</f>
        <v>22-16</v>
      </c>
      <c r="J3" s="66" t="str" cm="1">
        <f t="array" ref="J3">INDEX(RECAP!N:N,_xlfn.AGGREGATE(14,6,ROW(Tabel1[personne])/((Tabel1[personne]=Tabel2[[#This Row],[Personne]])*(Tabel1[début]&lt;=Tabel2[[#This Row],[Date]])),1))</f>
        <v>38h/semaine</v>
      </c>
      <c r="K3" s="66">
        <f>VLOOKUP(J3,RECAP!$T$4:$V$7,3,0)</f>
        <v>0.31666666666666665</v>
      </c>
      <c r="L3" s="67" t="str">
        <f>IF(WORKDAY.INTL(Tabel2[[#This Row],[Date]]-1,1,"0000000",TBL_Féries[])&lt;&gt;Tabel2[[#This Row],[Date]],"X","")</f>
        <v/>
      </c>
      <c r="M3" s="34"/>
      <c r="N3" s="34"/>
      <c r="O3" s="34"/>
      <c r="P3" s="33"/>
      <c r="W3" s="10"/>
    </row>
    <row r="4" spans="1:23" ht="21" x14ac:dyDescent="0.25">
      <c r="A4" s="63" t="s">
        <v>18</v>
      </c>
      <c r="B4" s="64">
        <f t="shared" ref="B4:B66" si="1">B3+CHOOSE(WEEKDAY(B3,2),1,1,1,1,3,2,1)</f>
        <v>43347</v>
      </c>
      <c r="C4" s="37">
        <v>0.35416666666666669</v>
      </c>
      <c r="D4" s="37">
        <v>0.68958333333333333</v>
      </c>
      <c r="E4" s="43"/>
      <c r="F4" s="66">
        <f t="shared" si="0"/>
        <v>0.31458333333333333</v>
      </c>
      <c r="G4" s="66">
        <f>IF(L4="x",Tabel2[[#This Row],[Temps
 théorique]]-RECAP!$Y$6,(F4-K4)*(COUNT(C4:D4)=2))</f>
        <v>-2.0833333333333259E-3</v>
      </c>
      <c r="H4" s="66"/>
      <c r="I4" s="66" t="str">
        <f>MOD(YEAR(Tabel2[[#This Row],[Date]]),100)&amp;"-"&amp;(MONTH(Tabel2[[#This Row],[Date]])-1)*2+(DAY(Tabel2[[#This Row],[Date]])&gt;15)</f>
        <v>22-16</v>
      </c>
      <c r="J4" s="66" t="str" cm="1">
        <f t="array" ref="J4">INDEX(RECAP!N:N,_xlfn.AGGREGATE(14,6,ROW(Tabel1[personne])/((Tabel1[personne]=Tabel2[[#This Row],[Personne]])*(Tabel1[début]&lt;=Tabel2[[#This Row],[Date]])),1))</f>
        <v>38h/semaine</v>
      </c>
      <c r="K4" s="66">
        <f>VLOOKUP(J4,RECAP!$T$4:$V$7,3,0)</f>
        <v>0.31666666666666665</v>
      </c>
      <c r="L4" s="67" t="str">
        <f>IF(WORKDAY.INTL(Tabel2[[#This Row],[Date]]-1,1,"0000000",TBL_Féries[])&lt;&gt;Tabel2[[#This Row],[Date]],"X","")</f>
        <v/>
      </c>
      <c r="M4" s="34"/>
      <c r="N4" s="34"/>
      <c r="O4" s="34"/>
      <c r="P4" s="33"/>
      <c r="R4" s="10"/>
    </row>
    <row r="5" spans="1:23" ht="21" x14ac:dyDescent="0.25">
      <c r="A5" s="63" t="s">
        <v>18</v>
      </c>
      <c r="B5" s="64">
        <f t="shared" si="1"/>
        <v>43348</v>
      </c>
      <c r="C5" s="37">
        <v>0.35416666666666669</v>
      </c>
      <c r="D5" s="37">
        <v>0.6875</v>
      </c>
      <c r="E5" s="44"/>
      <c r="F5" s="66">
        <f t="shared" si="0"/>
        <v>0.3125</v>
      </c>
      <c r="G5" s="66">
        <f>IF(L5="x",Tabel2[[#This Row],[Temps
 théorique]]-RECAP!$Y$6,(F5-K5)*(COUNT(C5:D5)=2))</f>
        <v>-4.1666666666666519E-3</v>
      </c>
      <c r="H5" s="66"/>
      <c r="I5" s="66" t="str">
        <f>MOD(YEAR(Tabel2[[#This Row],[Date]]),100)&amp;"-"&amp;(MONTH(Tabel2[[#This Row],[Date]])-1)*2+(DAY(Tabel2[[#This Row],[Date]])&gt;15)</f>
        <v>22-16</v>
      </c>
      <c r="J5" s="66" t="str" cm="1">
        <f t="array" ref="J5">INDEX(RECAP!N:N,_xlfn.AGGREGATE(14,6,ROW(Tabel1[personne])/((Tabel1[personne]=Tabel2[[#This Row],[Personne]])*(Tabel1[début]&lt;=Tabel2[[#This Row],[Date]])),1))</f>
        <v>38h/semaine</v>
      </c>
      <c r="K5" s="66">
        <f>VLOOKUP(J5,RECAP!$T$4:$V$7,3,0)</f>
        <v>0.31666666666666665</v>
      </c>
      <c r="L5" s="67" t="str">
        <f>IF(WORKDAY.INTL(Tabel2[[#This Row],[Date]]-1,1,"0000000",TBL_Féries[])&lt;&gt;Tabel2[[#This Row],[Date]],"X","")</f>
        <v/>
      </c>
      <c r="M5" s="34"/>
      <c r="N5" s="34"/>
      <c r="O5" s="34"/>
      <c r="P5" s="33"/>
    </row>
    <row r="6" spans="1:23" ht="21" x14ac:dyDescent="0.25">
      <c r="A6" s="63" t="s">
        <v>18</v>
      </c>
      <c r="B6" s="64">
        <f t="shared" si="1"/>
        <v>43349</v>
      </c>
      <c r="C6" s="37"/>
      <c r="D6" s="37"/>
      <c r="E6" s="44"/>
      <c r="F6" s="66">
        <f t="shared" si="0"/>
        <v>0</v>
      </c>
      <c r="G6" s="66">
        <f>IF(L6="x",Tabel2[[#This Row],[Temps
 théorique]]-RECAP!$Y$6,(F6-K6)*(COUNT(C6:D6)=2))</f>
        <v>0</v>
      </c>
      <c r="H6" s="66"/>
      <c r="I6" s="66" t="str">
        <f>MOD(YEAR(Tabel2[[#This Row],[Date]]),100)&amp;"-"&amp;(MONTH(Tabel2[[#This Row],[Date]])-1)*2+(DAY(Tabel2[[#This Row],[Date]])&gt;15)</f>
        <v>22-16</v>
      </c>
      <c r="J6" s="66" t="str" cm="1">
        <f t="array" ref="J6">INDEX(RECAP!N:N,_xlfn.AGGREGATE(14,6,ROW(Tabel1[personne])/((Tabel1[personne]=Tabel2[[#This Row],[Personne]])*(Tabel1[début]&lt;=Tabel2[[#This Row],[Date]])),1))</f>
        <v>38h/semaine</v>
      </c>
      <c r="K6" s="66">
        <f>VLOOKUP(J6,RECAP!$T$4:$V$7,3,0)</f>
        <v>0.31666666666666665</v>
      </c>
      <c r="L6" s="67" t="str">
        <f>IF(WORKDAY.INTL(Tabel2[[#This Row],[Date]]-1,1,"0000000",TBL_Féries[])&lt;&gt;Tabel2[[#This Row],[Date]],"X","")</f>
        <v/>
      </c>
      <c r="M6" s="34"/>
      <c r="N6" s="34"/>
      <c r="O6" s="34"/>
      <c r="P6" s="33"/>
      <c r="R6" s="10"/>
    </row>
    <row r="7" spans="1:23" ht="21" x14ac:dyDescent="0.25">
      <c r="A7" s="63" t="s">
        <v>18</v>
      </c>
      <c r="B7" s="64">
        <f t="shared" si="1"/>
        <v>43350</v>
      </c>
      <c r="C7" s="37">
        <v>0.35416666666666669</v>
      </c>
      <c r="D7" s="37">
        <v>0.6875</v>
      </c>
      <c r="E7" s="44"/>
      <c r="F7" s="66">
        <f t="shared" si="0"/>
        <v>0.3125</v>
      </c>
      <c r="G7" s="66">
        <f>IF(L7="x",Tabel2[[#This Row],[Temps
 théorique]]-RECAP!$Y$6,(F7-K7)*(COUNT(C7:D7)=2))</f>
        <v>-4.1666666666666519E-3</v>
      </c>
      <c r="H7" s="66"/>
      <c r="I7" s="66" t="str">
        <f>MOD(YEAR(Tabel2[[#This Row],[Date]]),100)&amp;"-"&amp;(MONTH(Tabel2[[#This Row],[Date]])-1)*2+(DAY(Tabel2[[#This Row],[Date]])&gt;15)</f>
        <v>22-16</v>
      </c>
      <c r="J7" s="66" t="str" cm="1">
        <f t="array" ref="J7">INDEX(RECAP!N:N,_xlfn.AGGREGATE(14,6,ROW(Tabel1[personne])/((Tabel1[personne]=Tabel2[[#This Row],[Personne]])*(Tabel1[début]&lt;=Tabel2[[#This Row],[Date]])),1))</f>
        <v>38h/semaine</v>
      </c>
      <c r="K7" s="66">
        <f>VLOOKUP(J7,RECAP!$T$4:$V$7,3,0)</f>
        <v>0.31666666666666665</v>
      </c>
      <c r="L7" s="67" t="str">
        <f>IF(WORKDAY.INTL(Tabel2[[#This Row],[Date]]-1,1,"0000000",TBL_Féries[])&lt;&gt;Tabel2[[#This Row],[Date]],"X","")</f>
        <v/>
      </c>
      <c r="M7" s="34"/>
      <c r="N7" s="34"/>
      <c r="O7" s="34"/>
      <c r="P7" s="33"/>
      <c r="R7" s="10"/>
    </row>
    <row r="8" spans="1:23" ht="21" x14ac:dyDescent="0.25">
      <c r="A8" s="63" t="s">
        <v>18</v>
      </c>
      <c r="B8" s="64">
        <f t="shared" si="1"/>
        <v>43351</v>
      </c>
      <c r="C8" s="37">
        <v>0.35416666666666669</v>
      </c>
      <c r="D8" s="37">
        <v>0.6875</v>
      </c>
      <c r="E8" s="44"/>
      <c r="F8" s="66">
        <f t="shared" si="0"/>
        <v>0.3125</v>
      </c>
      <c r="G8" s="66">
        <f>IF(L8="x",Tabel2[[#This Row],[Temps
 théorique]]-RECAP!$Y$6,(F8-K8)*(COUNT(C8:D8)=2))</f>
        <v>-4.1666666666666519E-3</v>
      </c>
      <c r="H8" s="66"/>
      <c r="I8" s="66" t="str">
        <f>MOD(YEAR(Tabel2[[#This Row],[Date]]),100)&amp;"-"&amp;(MONTH(Tabel2[[#This Row],[Date]])-1)*2+(DAY(Tabel2[[#This Row],[Date]])&gt;15)</f>
        <v>22-16</v>
      </c>
      <c r="J8" s="66" t="str" cm="1">
        <f t="array" ref="J8">INDEX(RECAP!N:N,_xlfn.AGGREGATE(14,6,ROW(Tabel1[personne])/((Tabel1[personne]=Tabel2[[#This Row],[Personne]])*(Tabel1[début]&lt;=Tabel2[[#This Row],[Date]])),1))</f>
        <v>38h/semaine</v>
      </c>
      <c r="K8" s="66">
        <f>VLOOKUP(J8,RECAP!$T$4:$V$7,3,0)</f>
        <v>0.31666666666666665</v>
      </c>
      <c r="L8" s="67" t="str">
        <f>IF(WORKDAY.INTL(Tabel2[[#This Row],[Date]]-1,1,"0000000",TBL_Féries[])&lt;&gt;Tabel2[[#This Row],[Date]],"X","")</f>
        <v/>
      </c>
      <c r="M8" s="34"/>
      <c r="N8" s="34"/>
      <c r="O8" s="34"/>
      <c r="P8" s="33"/>
      <c r="R8" s="10"/>
    </row>
    <row r="9" spans="1:23" ht="21" x14ac:dyDescent="0.25">
      <c r="A9" s="63" t="s">
        <v>18</v>
      </c>
      <c r="B9" s="64">
        <f t="shared" si="1"/>
        <v>43354</v>
      </c>
      <c r="C9" s="37">
        <v>0.35486111111111113</v>
      </c>
      <c r="D9" s="37">
        <v>0.68819444444444444</v>
      </c>
      <c r="E9" s="44"/>
      <c r="F9" s="66">
        <f t="shared" si="0"/>
        <v>0.3125</v>
      </c>
      <c r="G9" s="66">
        <f>IF(L9="x",Tabel2[[#This Row],[Temps
 théorique]]-RECAP!$Y$6,(F9-K9)*(COUNT(C9:D9)=2))</f>
        <v>-4.1666666666666519E-3</v>
      </c>
      <c r="H9" s="66"/>
      <c r="I9" s="66" t="str">
        <f>MOD(YEAR(Tabel2[[#This Row],[Date]]),100)&amp;"-"&amp;(MONTH(Tabel2[[#This Row],[Date]])-1)*2+(DAY(Tabel2[[#This Row],[Date]])&gt;15)</f>
        <v>22-16</v>
      </c>
      <c r="J9" s="66" t="str" cm="1">
        <f t="array" ref="J9">INDEX(RECAP!N:N,_xlfn.AGGREGATE(14,6,ROW(Tabel1[personne])/((Tabel1[personne]=Tabel2[[#This Row],[Personne]])*(Tabel1[début]&lt;=Tabel2[[#This Row],[Date]])),1))</f>
        <v>38h/semaine</v>
      </c>
      <c r="K9" s="66">
        <f>VLOOKUP(J9,RECAP!$T$4:$V$7,3,0)</f>
        <v>0.31666666666666665</v>
      </c>
      <c r="L9" s="67" t="str">
        <f>IF(WORKDAY.INTL(Tabel2[[#This Row],[Date]]-1,1,"0000000",TBL_Féries[])&lt;&gt;Tabel2[[#This Row],[Date]],"X","")</f>
        <v/>
      </c>
      <c r="M9" s="34"/>
      <c r="N9" s="34"/>
      <c r="O9" s="34"/>
      <c r="P9" s="33"/>
      <c r="R9" s="10"/>
    </row>
    <row r="10" spans="1:23" ht="21" x14ac:dyDescent="0.25">
      <c r="A10" s="63" t="s">
        <v>18</v>
      </c>
      <c r="B10" s="64">
        <f t="shared" si="1"/>
        <v>43355</v>
      </c>
      <c r="C10" s="37">
        <v>0.35416666666666669</v>
      </c>
      <c r="D10" s="37">
        <v>0.69097222222222221</v>
      </c>
      <c r="E10" s="44"/>
      <c r="F10" s="66">
        <f t="shared" si="0"/>
        <v>0.31597222222222221</v>
      </c>
      <c r="G10" s="66">
        <f>IF(L10="x",Tabel2[[#This Row],[Temps
 théorique]]-RECAP!$Y$6,(F10-K10)*(COUNT(C10:D10)=2))</f>
        <v>-6.9444444444444198E-4</v>
      </c>
      <c r="H10" s="66"/>
      <c r="I10" s="66" t="str">
        <f>MOD(YEAR(Tabel2[[#This Row],[Date]]),100)&amp;"-"&amp;(MONTH(Tabel2[[#This Row],[Date]])-1)*2+(DAY(Tabel2[[#This Row],[Date]])&gt;15)</f>
        <v>22-16</v>
      </c>
      <c r="J10" s="66" t="str" cm="1">
        <f t="array" ref="J10">INDEX(RECAP!N:N,_xlfn.AGGREGATE(14,6,ROW(Tabel1[personne])/((Tabel1[personne]=Tabel2[[#This Row],[Personne]])*(Tabel1[début]&lt;=Tabel2[[#This Row],[Date]])),1))</f>
        <v>38h/semaine</v>
      </c>
      <c r="K10" s="66">
        <f>VLOOKUP(J10,RECAP!$T$4:$V$7,3,0)</f>
        <v>0.31666666666666665</v>
      </c>
      <c r="L10" s="67" t="str">
        <f>IF(WORKDAY.INTL(Tabel2[[#This Row],[Date]]-1,1,"0000000",TBL_Féries[])&lt;&gt;Tabel2[[#This Row],[Date]],"X","")</f>
        <v/>
      </c>
      <c r="M10" s="34"/>
      <c r="N10" s="34"/>
      <c r="O10" s="34"/>
      <c r="P10" s="33"/>
      <c r="R10" s="10"/>
    </row>
    <row r="11" spans="1:23" ht="21" x14ac:dyDescent="0.25">
      <c r="A11" s="63" t="s">
        <v>18</v>
      </c>
      <c r="B11" s="64">
        <f t="shared" si="1"/>
        <v>43356</v>
      </c>
      <c r="C11" s="37"/>
      <c r="D11" s="37"/>
      <c r="E11" s="44"/>
      <c r="F11" s="66">
        <f t="shared" si="0"/>
        <v>0</v>
      </c>
      <c r="G11" s="66">
        <f>IF(L11="x",Tabel2[[#This Row],[Temps
 théorique]]-RECAP!$Y$6,(F11-K11)*(COUNT(C11:D11)=2))</f>
        <v>0</v>
      </c>
      <c r="H11" s="66"/>
      <c r="I11" s="66" t="str">
        <f>MOD(YEAR(Tabel2[[#This Row],[Date]]),100)&amp;"-"&amp;(MONTH(Tabel2[[#This Row],[Date]])-1)*2+(DAY(Tabel2[[#This Row],[Date]])&gt;15)</f>
        <v>22-16</v>
      </c>
      <c r="J11" s="66" t="str" cm="1">
        <f t="array" ref="J11">INDEX(RECAP!N:N,_xlfn.AGGREGATE(14,6,ROW(Tabel1[personne])/((Tabel1[personne]=Tabel2[[#This Row],[Personne]])*(Tabel1[début]&lt;=Tabel2[[#This Row],[Date]])),1))</f>
        <v>38h/semaine</v>
      </c>
      <c r="K11" s="66">
        <f>VLOOKUP(J11,RECAP!$T$4:$V$7,3,0)</f>
        <v>0.31666666666666665</v>
      </c>
      <c r="L11" s="67" t="str">
        <f>IF(WORKDAY.INTL(Tabel2[[#This Row],[Date]]-1,1,"0000000",TBL_Féries[])&lt;&gt;Tabel2[[#This Row],[Date]],"X","")</f>
        <v/>
      </c>
      <c r="M11" s="34"/>
      <c r="N11" s="34"/>
      <c r="O11" s="34"/>
      <c r="P11" s="33"/>
      <c r="R11" s="10"/>
    </row>
    <row r="12" spans="1:23" ht="21" x14ac:dyDescent="0.25">
      <c r="A12" s="63" t="s">
        <v>18</v>
      </c>
      <c r="B12" s="64">
        <f t="shared" si="1"/>
        <v>43357</v>
      </c>
      <c r="C12" s="37">
        <v>0.35555555555555557</v>
      </c>
      <c r="D12" s="37">
        <v>0.68958333333333333</v>
      </c>
      <c r="E12" s="44"/>
      <c r="F12" s="66">
        <f t="shared" si="0"/>
        <v>0.31319444444444444</v>
      </c>
      <c r="G12" s="66">
        <f>IF(L12="x",Tabel2[[#This Row],[Temps
 théorique]]-RECAP!$Y$6,(F12-K12)*(COUNT(C12:D12)=2))</f>
        <v>-3.4722222222222099E-3</v>
      </c>
      <c r="H12" s="66"/>
      <c r="I12" s="66" t="str">
        <f>MOD(YEAR(Tabel2[[#This Row],[Date]]),100)&amp;"-"&amp;(MONTH(Tabel2[[#This Row],[Date]])-1)*2+(DAY(Tabel2[[#This Row],[Date]])&gt;15)</f>
        <v>22-16</v>
      </c>
      <c r="J12" s="66" t="str" cm="1">
        <f t="array" ref="J12">INDEX(RECAP!N:N,_xlfn.AGGREGATE(14,6,ROW(Tabel1[personne])/((Tabel1[personne]=Tabel2[[#This Row],[Personne]])*(Tabel1[début]&lt;=Tabel2[[#This Row],[Date]])),1))</f>
        <v>38h/semaine</v>
      </c>
      <c r="K12" s="66">
        <f>VLOOKUP(J12,RECAP!$T$4:$V$7,3,0)</f>
        <v>0.31666666666666665</v>
      </c>
      <c r="L12" s="67" t="str">
        <f>IF(WORKDAY.INTL(Tabel2[[#This Row],[Date]]-1,1,"0000000",TBL_Féries[])&lt;&gt;Tabel2[[#This Row],[Date]],"X","")</f>
        <v/>
      </c>
      <c r="M12" s="34"/>
      <c r="N12" s="34"/>
      <c r="O12" s="34"/>
      <c r="P12" s="33"/>
      <c r="Q12" s="10"/>
      <c r="R12" s="10"/>
    </row>
    <row r="13" spans="1:23" ht="21" x14ac:dyDescent="0.25">
      <c r="A13" s="63" t="s">
        <v>18</v>
      </c>
      <c r="B13" s="64">
        <f t="shared" si="1"/>
        <v>43358</v>
      </c>
      <c r="C13" s="37">
        <v>0.35416666666666669</v>
      </c>
      <c r="D13" s="37">
        <v>0.7090277777777777</v>
      </c>
      <c r="E13" s="44"/>
      <c r="F13" s="66">
        <f t="shared" si="0"/>
        <v>0.3340277777777777</v>
      </c>
      <c r="G13" s="66">
        <f>IF(L13="x",Tabel2[[#This Row],[Temps
 théorique]]-RECAP!$Y$6,(F13-K13)*(COUNT(C13:D13)=2))</f>
        <v>1.7361111111111049E-2</v>
      </c>
      <c r="H13" s="66"/>
      <c r="I13" s="66" t="str">
        <f>MOD(YEAR(Tabel2[[#This Row],[Date]]),100)&amp;"-"&amp;(MONTH(Tabel2[[#This Row],[Date]])-1)*2+(DAY(Tabel2[[#This Row],[Date]])&gt;15)</f>
        <v>22-17</v>
      </c>
      <c r="J13" s="66" t="str" cm="1">
        <f t="array" ref="J13">INDEX(RECAP!N:N,_xlfn.AGGREGATE(14,6,ROW(Tabel1[personne])/((Tabel1[personne]=Tabel2[[#This Row],[Personne]])*(Tabel1[début]&lt;=Tabel2[[#This Row],[Date]])),1))</f>
        <v>38h/semaine</v>
      </c>
      <c r="K13" s="66">
        <f>VLOOKUP(J13,RECAP!$T$4:$V$7,3,0)</f>
        <v>0.31666666666666665</v>
      </c>
      <c r="L13" s="67" t="str">
        <f>IF(WORKDAY.INTL(Tabel2[[#This Row],[Date]]-1,1,"0000000",TBL_Féries[])&lt;&gt;Tabel2[[#This Row],[Date]],"X","")</f>
        <v/>
      </c>
      <c r="M13" s="34"/>
      <c r="N13" s="34"/>
      <c r="O13" s="34"/>
      <c r="P13" s="33"/>
      <c r="R13" s="21"/>
      <c r="S13" s="20"/>
      <c r="W13" s="10"/>
    </row>
    <row r="14" spans="1:23" ht="21" x14ac:dyDescent="0.25">
      <c r="A14" s="63" t="s">
        <v>18</v>
      </c>
      <c r="B14" s="64">
        <f t="shared" si="1"/>
        <v>43361</v>
      </c>
      <c r="C14" s="37">
        <v>0.3659722222222222</v>
      </c>
      <c r="D14" s="37">
        <v>0.69861111111111107</v>
      </c>
      <c r="E14" s="44"/>
      <c r="F14" s="66">
        <f t="shared" si="0"/>
        <v>0.31180555555555556</v>
      </c>
      <c r="G14" s="66">
        <f>IF(L14="x",Tabel2[[#This Row],[Temps
 théorique]]-RECAP!$Y$6,(F14-K14)*(COUNT(C14:D14)=2))</f>
        <v>-4.8611111111110938E-3</v>
      </c>
      <c r="H14" s="66"/>
      <c r="I14" s="66" t="str">
        <f>MOD(YEAR(Tabel2[[#This Row],[Date]]),100)&amp;"-"&amp;(MONTH(Tabel2[[#This Row],[Date]])-1)*2+(DAY(Tabel2[[#This Row],[Date]])&gt;15)</f>
        <v>22-17</v>
      </c>
      <c r="J14" s="66" t="str" cm="1">
        <f t="array" ref="J14">INDEX(RECAP!N:N,_xlfn.AGGREGATE(14,6,ROW(Tabel1[personne])/((Tabel1[personne]=Tabel2[[#This Row],[Personne]])*(Tabel1[début]&lt;=Tabel2[[#This Row],[Date]])),1))</f>
        <v>38h/semaine</v>
      </c>
      <c r="K14" s="66">
        <f>VLOOKUP(J14,RECAP!$T$4:$V$7,3,0)</f>
        <v>0.31666666666666665</v>
      </c>
      <c r="L14" s="67" t="str">
        <f>IF(WORKDAY.INTL(Tabel2[[#This Row],[Date]]-1,1,"0000000",TBL_Féries[])&lt;&gt;Tabel2[[#This Row],[Date]],"X","")</f>
        <v/>
      </c>
      <c r="M14" s="34"/>
      <c r="N14" s="34"/>
      <c r="O14" s="34"/>
      <c r="P14" s="33"/>
      <c r="W14" s="10"/>
    </row>
    <row r="15" spans="1:23" ht="21" x14ac:dyDescent="0.25">
      <c r="A15" s="63" t="s">
        <v>18</v>
      </c>
      <c r="B15" s="64">
        <f t="shared" si="1"/>
        <v>43362</v>
      </c>
      <c r="C15" s="37">
        <v>0.35416666666666669</v>
      </c>
      <c r="D15" s="37">
        <v>0.68888888888888899</v>
      </c>
      <c r="E15" s="44"/>
      <c r="F15" s="66">
        <f t="shared" si="0"/>
        <v>0.31388888888888899</v>
      </c>
      <c r="G15" s="66">
        <f>IF(L15="x",Tabel2[[#This Row],[Temps
 théorique]]-RECAP!$Y$6,(F15-K15)*(COUNT(C15:D15)=2))</f>
        <v>6.3888888888888995E-2</v>
      </c>
      <c r="H15" s="66"/>
      <c r="I15" s="66" t="str">
        <f>MOD(YEAR(Tabel2[[#This Row],[Date]]),100)&amp;"-"&amp;(MONTH(Tabel2[[#This Row],[Date]])-1)*2+(DAY(Tabel2[[#This Row],[Date]])&gt;15)</f>
        <v>22-17</v>
      </c>
      <c r="J15" s="66" t="str" cm="1">
        <f t="array" ref="J15">INDEX(RECAP!N:N,_xlfn.AGGREGATE(14,6,ROW(Tabel1[personne])/((Tabel1[personne]=Tabel2[[#This Row],[Personne]])*(Tabel1[début]&lt;=Tabel2[[#This Row],[Date]])),1))</f>
        <v>30h/semaine</v>
      </c>
      <c r="K15" s="66">
        <f>VLOOKUP(J15,RECAP!$T$4:$V$7,3,0)</f>
        <v>0.25</v>
      </c>
      <c r="L15" s="67" t="str">
        <f>IF(WORKDAY.INTL(Tabel2[[#This Row],[Date]]-1,1,"0000000",TBL_Féries[])&lt;&gt;Tabel2[[#This Row],[Date]],"X","")</f>
        <v/>
      </c>
      <c r="M15" s="34"/>
      <c r="N15" s="34"/>
      <c r="O15" s="34"/>
      <c r="P15" s="33"/>
      <c r="W15" s="10"/>
    </row>
    <row r="16" spans="1:23" ht="21" x14ac:dyDescent="0.25">
      <c r="A16" s="63" t="s">
        <v>18</v>
      </c>
      <c r="B16" s="64">
        <f t="shared" si="1"/>
        <v>43363</v>
      </c>
      <c r="C16" s="37"/>
      <c r="D16" s="37"/>
      <c r="E16" s="44"/>
      <c r="F16" s="66">
        <f t="shared" si="0"/>
        <v>0</v>
      </c>
      <c r="G16" s="66">
        <f>IF(L16="x",Tabel2[[#This Row],[Temps
 théorique]]-RECAP!$Y$6,(F16-K16)*(COUNT(C16:D16)=2))</f>
        <v>0</v>
      </c>
      <c r="H16" s="66"/>
      <c r="I16" s="66" t="str">
        <f>MOD(YEAR(Tabel2[[#This Row],[Date]]),100)&amp;"-"&amp;(MONTH(Tabel2[[#This Row],[Date]])-1)*2+(DAY(Tabel2[[#This Row],[Date]])&gt;15)</f>
        <v>22-17</v>
      </c>
      <c r="J16" s="66" t="str" cm="1">
        <f t="array" ref="J16">INDEX(RECAP!N:N,_xlfn.AGGREGATE(14,6,ROW(Tabel1[personne])/((Tabel1[personne]=Tabel2[[#This Row],[Personne]])*(Tabel1[début]&lt;=Tabel2[[#This Row],[Date]])),1))</f>
        <v>30h/semaine</v>
      </c>
      <c r="K16" s="66">
        <f>VLOOKUP(J16,RECAP!$T$4:$V$7,3,0)</f>
        <v>0.25</v>
      </c>
      <c r="L16" s="67" t="str">
        <f>IF(WORKDAY.INTL(Tabel2[[#This Row],[Date]]-1,1,"0000000",TBL_Féries[])&lt;&gt;Tabel2[[#This Row],[Date]],"X","")</f>
        <v/>
      </c>
      <c r="M16" s="34"/>
      <c r="N16" s="34"/>
      <c r="O16" s="34"/>
      <c r="P16" s="33"/>
      <c r="W16" s="10"/>
    </row>
    <row r="17" spans="1:23" ht="21" x14ac:dyDescent="0.25">
      <c r="A17" s="63" t="s">
        <v>18</v>
      </c>
      <c r="B17" s="64">
        <f t="shared" si="1"/>
        <v>43364</v>
      </c>
      <c r="C17" s="37">
        <v>0.35416666666666669</v>
      </c>
      <c r="D17" s="37">
        <v>0.6875</v>
      </c>
      <c r="E17" s="44"/>
      <c r="F17" s="66">
        <f t="shared" si="0"/>
        <v>0.3125</v>
      </c>
      <c r="G17" s="66">
        <f>IF(L17="x",Tabel2[[#This Row],[Temps
 théorique]]-RECAP!$Y$6,(F17-K17)*(COUNT(C17:D17)=2))</f>
        <v>6.25E-2</v>
      </c>
      <c r="H17" s="66"/>
      <c r="I17" s="66" t="str">
        <f>MOD(YEAR(Tabel2[[#This Row],[Date]]),100)&amp;"-"&amp;(MONTH(Tabel2[[#This Row],[Date]])-1)*2+(DAY(Tabel2[[#This Row],[Date]])&gt;15)</f>
        <v>22-17</v>
      </c>
      <c r="J17" s="66" t="str" cm="1">
        <f t="array" ref="J17">INDEX(RECAP!N:N,_xlfn.AGGREGATE(14,6,ROW(Tabel1[personne])/((Tabel1[personne]=Tabel2[[#This Row],[Personne]])*(Tabel1[début]&lt;=Tabel2[[#This Row],[Date]])),1))</f>
        <v>30h/semaine</v>
      </c>
      <c r="K17" s="66">
        <f>VLOOKUP(J17,RECAP!$T$4:$V$7,3,0)</f>
        <v>0.25</v>
      </c>
      <c r="L17" s="67" t="str">
        <f>IF(WORKDAY.INTL(Tabel2[[#This Row],[Date]]-1,1,"0000000",TBL_Féries[])&lt;&gt;Tabel2[[#This Row],[Date]],"X","")</f>
        <v/>
      </c>
      <c r="M17" s="34"/>
      <c r="N17" s="34"/>
      <c r="O17" s="34"/>
      <c r="P17" s="33"/>
      <c r="T17" s="1" t="str" cm="1">
        <f t="array" ref="T17">IF(J17="X",IFERROR(_xlfn.AGGREGATE(14,6,ROW($J$1:J16)/($J$1:J16="X"),1),2),"-")</f>
        <v>-</v>
      </c>
      <c r="W17" s="10"/>
    </row>
    <row r="18" spans="1:23" ht="21" x14ac:dyDescent="0.25">
      <c r="A18" s="63" t="s">
        <v>18</v>
      </c>
      <c r="B18" s="64">
        <f t="shared" si="1"/>
        <v>43365</v>
      </c>
      <c r="C18" s="37"/>
      <c r="D18" s="37"/>
      <c r="E18" s="44"/>
      <c r="F18" s="66">
        <f t="shared" si="0"/>
        <v>0</v>
      </c>
      <c r="G18" s="66">
        <f>IF(L18="x",Tabel2[[#This Row],[Temps
 théorique]]-RECAP!$Y$6,(F18-K18)*(COUNT(C18:D18)=2))</f>
        <v>0</v>
      </c>
      <c r="H18" s="66"/>
      <c r="I18" s="66" t="str">
        <f>MOD(YEAR(Tabel2[[#This Row],[Date]]),100)&amp;"-"&amp;(MONTH(Tabel2[[#This Row],[Date]])-1)*2+(DAY(Tabel2[[#This Row],[Date]])&gt;15)</f>
        <v>22-17</v>
      </c>
      <c r="J18" s="66" t="str" cm="1">
        <f t="array" ref="J18">INDEX(RECAP!N:N,_xlfn.AGGREGATE(14,6,ROW(Tabel1[personne])/((Tabel1[personne]=Tabel2[[#This Row],[Personne]])*(Tabel1[début]&lt;=Tabel2[[#This Row],[Date]])),1))</f>
        <v>30h/semaine</v>
      </c>
      <c r="K18" s="66">
        <f>VLOOKUP(J18,RECAP!$T$4:$V$7,3,0)</f>
        <v>0.25</v>
      </c>
      <c r="L18" s="67" t="str">
        <f>IF(WORKDAY.INTL(Tabel2[[#This Row],[Date]]-1,1,"0000000",TBL_Féries[])&lt;&gt;Tabel2[[#This Row],[Date]],"X","")</f>
        <v/>
      </c>
      <c r="M18" s="34"/>
      <c r="N18" s="34"/>
      <c r="O18" s="34"/>
      <c r="P18" s="33"/>
      <c r="T18" s="1" t="str" cm="1">
        <f t="array" ref="T18">IF(J18="X",IFERROR(_xlfn.AGGREGATE(14,6,ROW($J$1:J17)/($J$1:J17="X"),1),2),"-")</f>
        <v>-</v>
      </c>
      <c r="W18" s="10"/>
    </row>
    <row r="19" spans="1:23" ht="21" x14ac:dyDescent="0.25">
      <c r="A19" s="63" t="s">
        <v>18</v>
      </c>
      <c r="B19" s="64">
        <f t="shared" si="1"/>
        <v>43368</v>
      </c>
      <c r="C19" s="37">
        <v>0.35486111111111113</v>
      </c>
      <c r="D19" s="37">
        <v>0.68819444444444444</v>
      </c>
      <c r="E19" s="44"/>
      <c r="F19" s="66">
        <f t="shared" si="0"/>
        <v>0.3125</v>
      </c>
      <c r="G19" s="66">
        <f>IF(L19="x",Tabel2[[#This Row],[Temps
 théorique]]-RECAP!$Y$6,(F19-K19)*(COUNT(C19:D19)=2))</f>
        <v>6.25E-2</v>
      </c>
      <c r="H19" s="66"/>
      <c r="I19" s="66" t="str">
        <f>MOD(YEAR(Tabel2[[#This Row],[Date]]),100)&amp;"-"&amp;(MONTH(Tabel2[[#This Row],[Date]])-1)*2+(DAY(Tabel2[[#This Row],[Date]])&gt;15)</f>
        <v>22-17</v>
      </c>
      <c r="J19" s="66" t="str" cm="1">
        <f t="array" ref="J19">INDEX(RECAP!N:N,_xlfn.AGGREGATE(14,6,ROW(Tabel1[personne])/((Tabel1[personne]=Tabel2[[#This Row],[Personne]])*(Tabel1[début]&lt;=Tabel2[[#This Row],[Date]])),1))</f>
        <v>30h/semaine</v>
      </c>
      <c r="K19" s="66">
        <f>VLOOKUP(J19,RECAP!$T$4:$V$7,3,0)</f>
        <v>0.25</v>
      </c>
      <c r="L19" s="67" t="str">
        <f>IF(WORKDAY.INTL(Tabel2[[#This Row],[Date]]-1,1,"0000000",TBL_Féries[])&lt;&gt;Tabel2[[#This Row],[Date]],"X","")</f>
        <v/>
      </c>
      <c r="M19" s="34"/>
      <c r="N19" s="34"/>
      <c r="O19" s="34"/>
      <c r="P19" s="33"/>
      <c r="Q19" s="11"/>
      <c r="T19" s="1" t="str" cm="1">
        <f t="array" ref="T19">IF(J19="X",IFERROR(_xlfn.AGGREGATE(14,6,ROW($J$1:J18)/($J$1:J18="X"),1),2),"-")</f>
        <v>-</v>
      </c>
      <c r="W19" s="10"/>
    </row>
    <row r="20" spans="1:23" ht="21" x14ac:dyDescent="0.25">
      <c r="A20" s="63" t="s">
        <v>18</v>
      </c>
      <c r="B20" s="64">
        <f t="shared" si="1"/>
        <v>43369</v>
      </c>
      <c r="C20" s="37">
        <v>0.35625000000000001</v>
      </c>
      <c r="D20" s="37">
        <v>0.69305555555555554</v>
      </c>
      <c r="E20" s="44"/>
      <c r="F20" s="66">
        <f t="shared" si="0"/>
        <v>0.31597222222222221</v>
      </c>
      <c r="G20" s="66">
        <f>IF(L20="x",Tabel2[[#This Row],[Temps
 théorique]]-RECAP!$Y$6,(F20-K20)*(COUNT(C20:D20)=2))</f>
        <v>6.597222222222221E-2</v>
      </c>
      <c r="H20" s="66"/>
      <c r="I20" s="66" t="str">
        <f>MOD(YEAR(Tabel2[[#This Row],[Date]]),100)&amp;"-"&amp;(MONTH(Tabel2[[#This Row],[Date]])-1)*2+(DAY(Tabel2[[#This Row],[Date]])&gt;15)</f>
        <v>22-17</v>
      </c>
      <c r="J20" s="66" t="str" cm="1">
        <f t="array" ref="J20">INDEX(RECAP!N:N,_xlfn.AGGREGATE(14,6,ROW(Tabel1[personne])/((Tabel1[personne]=Tabel2[[#This Row],[Personne]])*(Tabel1[début]&lt;=Tabel2[[#This Row],[Date]])),1))</f>
        <v>30h/semaine</v>
      </c>
      <c r="K20" s="66">
        <f>VLOOKUP(J20,RECAP!$T$4:$V$7,3,0)</f>
        <v>0.25</v>
      </c>
      <c r="L20" s="67" t="str">
        <f>IF(WORKDAY.INTL(Tabel2[[#This Row],[Date]]-1,1,"0000000",TBL_Féries[])&lt;&gt;Tabel2[[#This Row],[Date]],"X","")</f>
        <v/>
      </c>
      <c r="M20" s="34"/>
      <c r="N20" s="34"/>
      <c r="O20" s="34"/>
      <c r="P20" s="33"/>
      <c r="S20" s="10"/>
      <c r="T20" s="1" t="str" cm="1">
        <f t="array" ref="T20">IF(J20="X",IFERROR(_xlfn.AGGREGATE(14,6,ROW($J$1:J19)/($J$1:J19="X"),1),2),"-")</f>
        <v>-</v>
      </c>
      <c r="W20" s="10"/>
    </row>
    <row r="21" spans="1:23" ht="21" x14ac:dyDescent="0.25">
      <c r="A21" s="63" t="s">
        <v>18</v>
      </c>
      <c r="B21" s="64">
        <f t="shared" si="1"/>
        <v>43370</v>
      </c>
      <c r="C21" s="37"/>
      <c r="D21" s="37"/>
      <c r="E21" s="44"/>
      <c r="F21" s="66">
        <f t="shared" si="0"/>
        <v>0</v>
      </c>
      <c r="G21" s="66">
        <f>IF(L21="x",Tabel2[[#This Row],[Temps
 théorique]]-RECAP!$Y$6,(F21-K21)*(COUNT(C21:D21)=2))</f>
        <v>0</v>
      </c>
      <c r="H21" s="66"/>
      <c r="I21" s="66" t="str">
        <f>MOD(YEAR(Tabel2[[#This Row],[Date]]),100)&amp;"-"&amp;(MONTH(Tabel2[[#This Row],[Date]])-1)*2+(DAY(Tabel2[[#This Row],[Date]])&gt;15)</f>
        <v>22-17</v>
      </c>
      <c r="J21" s="66" t="str" cm="1">
        <f t="array" ref="J21">INDEX(RECAP!N:N,_xlfn.AGGREGATE(14,6,ROW(Tabel1[personne])/((Tabel1[personne]=Tabel2[[#This Row],[Personne]])*(Tabel1[début]&lt;=Tabel2[[#This Row],[Date]])),1))</f>
        <v>30h/semaine</v>
      </c>
      <c r="K21" s="66">
        <f>VLOOKUP(J21,RECAP!$T$4:$V$7,3,0)</f>
        <v>0.25</v>
      </c>
      <c r="L21" s="67" t="str">
        <f>IF(WORKDAY.INTL(Tabel2[[#This Row],[Date]]-1,1,"0000000",TBL_Féries[])&lt;&gt;Tabel2[[#This Row],[Date]],"X","")</f>
        <v/>
      </c>
      <c r="M21" s="34"/>
      <c r="N21" s="34"/>
      <c r="O21" s="34"/>
      <c r="P21" s="33"/>
      <c r="Q21" s="10"/>
      <c r="T21" s="1" t="str" cm="1">
        <f t="array" ref="T21">IF(J21="X",IFERROR(_xlfn.AGGREGATE(14,6,ROW($J$1:J20)/($J$1:J20="X"),1),2),"-")</f>
        <v>-</v>
      </c>
      <c r="W21" s="10"/>
    </row>
    <row r="22" spans="1:23" ht="21" x14ac:dyDescent="0.25">
      <c r="A22" s="63" t="s">
        <v>18</v>
      </c>
      <c r="B22" s="64">
        <f t="shared" si="1"/>
        <v>43371</v>
      </c>
      <c r="C22" s="37">
        <v>0.35416666666666669</v>
      </c>
      <c r="D22" s="37">
        <v>0.69861111111111107</v>
      </c>
      <c r="E22" s="44"/>
      <c r="F22" s="66">
        <f t="shared" si="0"/>
        <v>0.32361111111111107</v>
      </c>
      <c r="G22" s="66">
        <f>IF(L22="x",Tabel2[[#This Row],[Temps
 théorique]]-RECAP!$Y$6,(F22-K22)*(COUNT(C22:D22)=2))</f>
        <v>7.3611111111111072E-2</v>
      </c>
      <c r="H22" s="66"/>
      <c r="I22" s="66" t="str">
        <f>MOD(YEAR(Tabel2[[#This Row],[Date]]),100)&amp;"-"&amp;(MONTH(Tabel2[[#This Row],[Date]])-1)*2+(DAY(Tabel2[[#This Row],[Date]])&gt;15)</f>
        <v>22-17</v>
      </c>
      <c r="J22" s="66" t="str" cm="1">
        <f t="array" ref="J22">INDEX(RECAP!N:N,_xlfn.AGGREGATE(14,6,ROW(Tabel1[personne])/((Tabel1[personne]=Tabel2[[#This Row],[Personne]])*(Tabel1[début]&lt;=Tabel2[[#This Row],[Date]])),1))</f>
        <v>30h/semaine</v>
      </c>
      <c r="K22" s="66">
        <f>VLOOKUP(J22,RECAP!$T$4:$V$7,3,0)</f>
        <v>0.25</v>
      </c>
      <c r="L22" s="67" t="str">
        <f>IF(WORKDAY.INTL(Tabel2[[#This Row],[Date]]-1,1,"0000000",TBL_Féries[])&lt;&gt;Tabel2[[#This Row],[Date]],"X","")</f>
        <v/>
      </c>
      <c r="M22" s="34"/>
      <c r="N22" s="34"/>
      <c r="O22" s="34"/>
      <c r="P22" s="33"/>
      <c r="Q22" s="10"/>
      <c r="T22" s="1" t="str" cm="1">
        <f t="array" ref="T22">IF(J22="X",IFERROR(_xlfn.AGGREGATE(14,6,ROW($J$1:J21)/($J$1:J21="X"),1),2),"-")</f>
        <v>-</v>
      </c>
      <c r="W22" s="10"/>
    </row>
    <row r="23" spans="1:23" ht="21" x14ac:dyDescent="0.25">
      <c r="A23" s="63" t="s">
        <v>18</v>
      </c>
      <c r="B23" s="64">
        <f t="shared" si="1"/>
        <v>43372</v>
      </c>
      <c r="C23" s="37">
        <v>0.35416666666666669</v>
      </c>
      <c r="D23" s="37">
        <v>0.69166666666666676</v>
      </c>
      <c r="E23" s="44"/>
      <c r="F23" s="66">
        <f t="shared" si="0"/>
        <v>0.31666666666666676</v>
      </c>
      <c r="G23" s="66">
        <f>IF(L23="x",Tabel2[[#This Row],[Temps
 théorique]]-RECAP!$Y$6,(F23-K23)*(COUNT(C23:D23)=2))</f>
        <v>6.6666666666666763E-2</v>
      </c>
      <c r="H23" s="66"/>
      <c r="I23" s="66" t="str">
        <f>MOD(YEAR(Tabel2[[#This Row],[Date]]),100)&amp;"-"&amp;(MONTH(Tabel2[[#This Row],[Date]])-1)*2+(DAY(Tabel2[[#This Row],[Date]])&gt;15)</f>
        <v>22-17</v>
      </c>
      <c r="J23" s="66" t="str" cm="1">
        <f t="array" ref="J23">INDEX(RECAP!N:N,_xlfn.AGGREGATE(14,6,ROW(Tabel1[personne])/((Tabel1[personne]=Tabel2[[#This Row],[Personne]])*(Tabel1[début]&lt;=Tabel2[[#This Row],[Date]])),1))</f>
        <v>30h/semaine</v>
      </c>
      <c r="K23" s="66">
        <f>VLOOKUP(J23,RECAP!$T$4:$V$7,3,0)</f>
        <v>0.25</v>
      </c>
      <c r="L23" s="67" t="str">
        <f>IF(WORKDAY.INTL(Tabel2[[#This Row],[Date]]-1,1,"0000000",TBL_Féries[])&lt;&gt;Tabel2[[#This Row],[Date]],"X","")</f>
        <v/>
      </c>
      <c r="M23" s="34"/>
      <c r="N23" s="34"/>
      <c r="O23" s="34"/>
      <c r="P23" s="33"/>
      <c r="T23" s="1" t="str" cm="1">
        <f t="array" ref="T23">IF(J23="X",IFERROR(_xlfn.AGGREGATE(14,6,ROW($J$1:J22)/($J$1:J22="X"),1),2),"-")</f>
        <v>-</v>
      </c>
      <c r="W23" s="10"/>
    </row>
    <row r="24" spans="1:23" ht="21" x14ac:dyDescent="0.25">
      <c r="A24" s="63" t="s">
        <v>18</v>
      </c>
      <c r="B24" s="64">
        <f t="shared" si="1"/>
        <v>43375</v>
      </c>
      <c r="C24" s="37">
        <v>0.35416666666666669</v>
      </c>
      <c r="D24" s="37">
        <v>0.69861111111111107</v>
      </c>
      <c r="E24" s="45"/>
      <c r="F24" s="66">
        <f t="shared" si="0"/>
        <v>0.32361111111111107</v>
      </c>
      <c r="G24" s="66">
        <f>IF(L24="x",Tabel2[[#This Row],[Temps
 théorique]]-RECAP!$Y$6,(F24-K24)*(COUNT(C24:D24)=2))</f>
        <v>7.3611111111111072E-2</v>
      </c>
      <c r="H24" s="66"/>
      <c r="I24" s="66" t="str">
        <f>MOD(YEAR(Tabel2[[#This Row],[Date]]),100)&amp;"-"&amp;(MONTH(Tabel2[[#This Row],[Date]])-1)*2+(DAY(Tabel2[[#This Row],[Date]])&gt;15)</f>
        <v>22-18</v>
      </c>
      <c r="J24" s="66" t="str" cm="1">
        <f t="array" ref="J24">INDEX(RECAP!N:N,_xlfn.AGGREGATE(14,6,ROW(Tabel1[personne])/((Tabel1[personne]=Tabel2[[#This Row],[Personne]])*(Tabel1[début]&lt;=Tabel2[[#This Row],[Date]])),1))</f>
        <v>30h/semaine</v>
      </c>
      <c r="K24" s="66">
        <f>VLOOKUP(J24,RECAP!$T$4:$V$7,3,0)</f>
        <v>0.25</v>
      </c>
      <c r="L24" s="67" t="str">
        <f>IF(WORKDAY.INTL(Tabel2[[#This Row],[Date]]-1,1,"0000000",TBL_Féries[])&lt;&gt;Tabel2[[#This Row],[Date]],"X","")</f>
        <v/>
      </c>
      <c r="M24" s="34"/>
      <c r="N24" s="34"/>
      <c r="O24" s="34"/>
      <c r="P24" s="33"/>
      <c r="T24" s="1" t="str" cm="1">
        <f t="array" ref="T24">IF(J24="X",IFERROR(_xlfn.AGGREGATE(14,6,ROW($J$1:J23)/($J$1:J23="X"),1),2),"-")</f>
        <v>-</v>
      </c>
      <c r="W24" s="10"/>
    </row>
    <row r="25" spans="1:23" ht="21" x14ac:dyDescent="0.25">
      <c r="A25" s="63" t="s">
        <v>18</v>
      </c>
      <c r="B25" s="64">
        <f t="shared" si="1"/>
        <v>43376</v>
      </c>
      <c r="C25" s="37">
        <v>0.36736111111111108</v>
      </c>
      <c r="D25" s="37">
        <v>0.68819444444444444</v>
      </c>
      <c r="E25" s="46"/>
      <c r="F25" s="66">
        <f t="shared" si="0"/>
        <v>0.30000000000000004</v>
      </c>
      <c r="G25" s="66">
        <f>IF(L25="x",Tabel2[[#This Row],[Temps
 théorique]]-RECAP!$Y$6,(F25-K25)*(COUNT(C25:D25)=2))</f>
        <v>5.0000000000000044E-2</v>
      </c>
      <c r="H25" s="66"/>
      <c r="I25" s="66" t="str">
        <f>MOD(YEAR(Tabel2[[#This Row],[Date]]),100)&amp;"-"&amp;(MONTH(Tabel2[[#This Row],[Date]])-1)*2+(DAY(Tabel2[[#This Row],[Date]])&gt;15)</f>
        <v>22-18</v>
      </c>
      <c r="J25" s="66" t="str" cm="1">
        <f t="array" ref="J25">INDEX(RECAP!N:N,_xlfn.AGGREGATE(14,6,ROW(Tabel1[personne])/((Tabel1[personne]=Tabel2[[#This Row],[Personne]])*(Tabel1[début]&lt;=Tabel2[[#This Row],[Date]])),1))</f>
        <v>30h/semaine</v>
      </c>
      <c r="K25" s="66">
        <f>VLOOKUP(J25,RECAP!$T$4:$V$7,3,0)</f>
        <v>0.25</v>
      </c>
      <c r="L25" s="67" t="str">
        <f>IF(WORKDAY.INTL(Tabel2[[#This Row],[Date]]-1,1,"0000000",TBL_Féries[])&lt;&gt;Tabel2[[#This Row],[Date]],"X","")</f>
        <v/>
      </c>
      <c r="M25" s="34"/>
      <c r="N25" s="34"/>
      <c r="O25" s="34"/>
      <c r="P25" s="33"/>
      <c r="Q25" s="10"/>
      <c r="W25" s="10"/>
    </row>
    <row r="26" spans="1:23" ht="21" x14ac:dyDescent="0.25">
      <c r="A26" s="63" t="s">
        <v>18</v>
      </c>
      <c r="B26" s="64">
        <f t="shared" si="1"/>
        <v>43377</v>
      </c>
      <c r="C26" s="37"/>
      <c r="D26" s="37"/>
      <c r="E26" s="47"/>
      <c r="F26" s="66">
        <f t="shared" si="0"/>
        <v>0</v>
      </c>
      <c r="G26" s="66">
        <f>IF(L26="x",Tabel2[[#This Row],[Temps
 théorique]]-RECAP!$Y$6,(F26-K26)*(COUNT(C26:D26)=2))</f>
        <v>0</v>
      </c>
      <c r="H26" s="66"/>
      <c r="I26" s="66" t="str">
        <f>MOD(YEAR(Tabel2[[#This Row],[Date]]),100)&amp;"-"&amp;(MONTH(Tabel2[[#This Row],[Date]])-1)*2+(DAY(Tabel2[[#This Row],[Date]])&gt;15)</f>
        <v>22-18</v>
      </c>
      <c r="J26" s="66" t="str" cm="1">
        <f t="array" ref="J26">INDEX(RECAP!N:N,_xlfn.AGGREGATE(14,6,ROW(Tabel1[personne])/((Tabel1[personne]=Tabel2[[#This Row],[Personne]])*(Tabel1[début]&lt;=Tabel2[[#This Row],[Date]])),1))</f>
        <v>30h/semaine</v>
      </c>
      <c r="K26" s="66">
        <f>VLOOKUP(J26,RECAP!$T$4:$V$7,3,0)</f>
        <v>0.25</v>
      </c>
      <c r="L26" s="67" t="str">
        <f>IF(WORKDAY.INTL(Tabel2[[#This Row],[Date]]-1,1,"0000000",TBL_Féries[])&lt;&gt;Tabel2[[#This Row],[Date]],"X","")</f>
        <v/>
      </c>
      <c r="M26" s="34"/>
      <c r="N26" s="34"/>
      <c r="O26" s="34"/>
      <c r="P26" s="33"/>
      <c r="W26" s="10"/>
    </row>
    <row r="27" spans="1:23" ht="21" x14ac:dyDescent="0.25">
      <c r="A27" s="63" t="s">
        <v>18</v>
      </c>
      <c r="B27" s="64">
        <f t="shared" si="1"/>
        <v>43378</v>
      </c>
      <c r="C27" s="37">
        <v>0.35416666666666669</v>
      </c>
      <c r="D27" s="37">
        <v>0.69374999999999998</v>
      </c>
      <c r="E27" s="46"/>
      <c r="F27" s="66">
        <f t="shared" si="0"/>
        <v>0.31874999999999998</v>
      </c>
      <c r="G27" s="66">
        <f>IF(L27="x",Tabel2[[#This Row],[Temps
 théorique]]-RECAP!$Y$6,(F27-K27)*(COUNT(C27:D27)=2))</f>
        <v>6.8749999999999978E-2</v>
      </c>
      <c r="H27" s="66"/>
      <c r="I27" s="66" t="str">
        <f>MOD(YEAR(Tabel2[[#This Row],[Date]]),100)&amp;"-"&amp;(MONTH(Tabel2[[#This Row],[Date]])-1)*2+(DAY(Tabel2[[#This Row],[Date]])&gt;15)</f>
        <v>22-18</v>
      </c>
      <c r="J27" s="66" t="str" cm="1">
        <f t="array" ref="J27">INDEX(RECAP!N:N,_xlfn.AGGREGATE(14,6,ROW(Tabel1[personne])/((Tabel1[personne]=Tabel2[[#This Row],[Personne]])*(Tabel1[début]&lt;=Tabel2[[#This Row],[Date]])),1))</f>
        <v>30h/semaine</v>
      </c>
      <c r="K27" s="66">
        <f>VLOOKUP(J27,RECAP!$T$4:$V$7,3,0)</f>
        <v>0.25</v>
      </c>
      <c r="L27" s="67" t="str">
        <f>IF(WORKDAY.INTL(Tabel2[[#This Row],[Date]]-1,1,"0000000",TBL_Féries[])&lt;&gt;Tabel2[[#This Row],[Date]],"X","")</f>
        <v/>
      </c>
      <c r="M27" s="34"/>
      <c r="N27" s="34"/>
      <c r="O27" s="34"/>
      <c r="P27" s="33"/>
      <c r="W27" s="10"/>
    </row>
    <row r="28" spans="1:23" ht="21" x14ac:dyDescent="0.25">
      <c r="A28" s="63" t="s">
        <v>18</v>
      </c>
      <c r="B28" s="64">
        <f t="shared" si="1"/>
        <v>43379</v>
      </c>
      <c r="C28" s="37"/>
      <c r="D28" s="37"/>
      <c r="E28" s="46"/>
      <c r="F28" s="66">
        <f t="shared" si="0"/>
        <v>0</v>
      </c>
      <c r="G28" s="66">
        <f>IF(L28="x",Tabel2[[#This Row],[Temps
 théorique]]-RECAP!$Y$6,(F28-K28)*(COUNT(C28:D28)=2))</f>
        <v>0</v>
      </c>
      <c r="H28" s="66"/>
      <c r="I28" s="66" t="str">
        <f>MOD(YEAR(Tabel2[[#This Row],[Date]]),100)&amp;"-"&amp;(MONTH(Tabel2[[#This Row],[Date]])-1)*2+(DAY(Tabel2[[#This Row],[Date]])&gt;15)</f>
        <v>22-18</v>
      </c>
      <c r="J28" s="66" t="str" cm="1">
        <f t="array" ref="J28">INDEX(RECAP!N:N,_xlfn.AGGREGATE(14,6,ROW(Tabel1[personne])/((Tabel1[personne]=Tabel2[[#This Row],[Personne]])*(Tabel1[début]&lt;=Tabel2[[#This Row],[Date]])),1))</f>
        <v>30h/semaine</v>
      </c>
      <c r="K28" s="66">
        <f>VLOOKUP(J28,RECAP!$T$4:$V$7,3,0)</f>
        <v>0.25</v>
      </c>
      <c r="L28" s="67" t="str">
        <f>IF(WORKDAY.INTL(Tabel2[[#This Row],[Date]]-1,1,"0000000",TBL_Féries[])&lt;&gt;Tabel2[[#This Row],[Date]],"X","")</f>
        <v/>
      </c>
      <c r="M28" s="34"/>
      <c r="N28" s="34"/>
      <c r="O28" s="34"/>
      <c r="P28" s="33"/>
      <c r="W28" s="10"/>
    </row>
    <row r="29" spans="1:23" ht="21" x14ac:dyDescent="0.25">
      <c r="A29" s="63" t="s">
        <v>18</v>
      </c>
      <c r="B29" s="64">
        <f t="shared" si="1"/>
        <v>43382</v>
      </c>
      <c r="C29" s="37"/>
      <c r="D29" s="37"/>
      <c r="E29" s="46"/>
      <c r="F29" s="66">
        <f t="shared" si="0"/>
        <v>0</v>
      </c>
      <c r="G29" s="66">
        <f>IF(L29="x",Tabel2[[#This Row],[Temps
 théorique]]-RECAP!$Y$6,(F29-K29)*(COUNT(C29:D29)=2))</f>
        <v>0</v>
      </c>
      <c r="H29" s="66"/>
      <c r="I29" s="66" t="str">
        <f>MOD(YEAR(Tabel2[[#This Row],[Date]]),100)&amp;"-"&amp;(MONTH(Tabel2[[#This Row],[Date]])-1)*2+(DAY(Tabel2[[#This Row],[Date]])&gt;15)</f>
        <v>22-18</v>
      </c>
      <c r="J29" s="66" t="str" cm="1">
        <f t="array" ref="J29">INDEX(RECAP!N:N,_xlfn.AGGREGATE(14,6,ROW(Tabel1[personne])/((Tabel1[personne]=Tabel2[[#This Row],[Personne]])*(Tabel1[début]&lt;=Tabel2[[#This Row],[Date]])),1))</f>
        <v>30,24h/semaine</v>
      </c>
      <c r="K29" s="66">
        <f>VLOOKUP(J29,RECAP!$T$4:$V$7,3,0)</f>
        <v>0.252</v>
      </c>
      <c r="L29" s="67" t="str">
        <f>IF(WORKDAY.INTL(Tabel2[[#This Row],[Date]]-1,1,"0000000",TBL_Féries[])&lt;&gt;Tabel2[[#This Row],[Date]],"X","")</f>
        <v/>
      </c>
      <c r="M29" s="34"/>
      <c r="N29" s="34"/>
      <c r="O29" s="34"/>
      <c r="P29" s="33"/>
      <c r="Q29" s="10"/>
      <c r="W29" s="10"/>
    </row>
    <row r="30" spans="1:23" ht="21" x14ac:dyDescent="0.25">
      <c r="A30" s="63" t="s">
        <v>18</v>
      </c>
      <c r="B30" s="64">
        <f t="shared" si="1"/>
        <v>43383</v>
      </c>
      <c r="C30" s="37">
        <v>0.35416666666666669</v>
      </c>
      <c r="D30" s="37">
        <v>0.69930555555555562</v>
      </c>
      <c r="E30" s="46"/>
      <c r="F30" s="66">
        <f t="shared" si="0"/>
        <v>0.32430555555555562</v>
      </c>
      <c r="G30" s="66">
        <f>IF(L30="x",Tabel2[[#This Row],[Temps
 théorique]]-RECAP!$Y$6,(F30-K30)*(COUNT(C30:D30)=2))</f>
        <v>7.2305555555555623E-2</v>
      </c>
      <c r="H30" s="66"/>
      <c r="I30" s="66" t="str">
        <f>MOD(YEAR(Tabel2[[#This Row],[Date]]),100)&amp;"-"&amp;(MONTH(Tabel2[[#This Row],[Date]])-1)*2+(DAY(Tabel2[[#This Row],[Date]])&gt;15)</f>
        <v>22-18</v>
      </c>
      <c r="J30" s="66" t="str" cm="1">
        <f t="array" ref="J30">INDEX(RECAP!N:N,_xlfn.AGGREGATE(14,6,ROW(Tabel1[personne])/((Tabel1[personne]=Tabel2[[#This Row],[Personne]])*(Tabel1[début]&lt;=Tabel2[[#This Row],[Date]])),1))</f>
        <v>30,24h/semaine</v>
      </c>
      <c r="K30" s="66">
        <f>VLOOKUP(J30,RECAP!$T$4:$V$7,3,0)</f>
        <v>0.252</v>
      </c>
      <c r="L30" s="67" t="str">
        <f>IF(WORKDAY.INTL(Tabel2[[#This Row],[Date]]-1,1,"0000000",TBL_Féries[])&lt;&gt;Tabel2[[#This Row],[Date]],"X","")</f>
        <v/>
      </c>
      <c r="M30" s="34"/>
      <c r="N30" s="34"/>
      <c r="O30" s="34"/>
      <c r="P30" s="33"/>
      <c r="Q30" s="10"/>
      <c r="W30" s="10"/>
    </row>
    <row r="31" spans="1:23" ht="21" x14ac:dyDescent="0.25">
      <c r="A31" s="63" t="s">
        <v>18</v>
      </c>
      <c r="B31" s="64">
        <f t="shared" si="1"/>
        <v>43384</v>
      </c>
      <c r="C31" s="37"/>
      <c r="D31" s="37"/>
      <c r="E31" s="46"/>
      <c r="F31" s="66">
        <f t="shared" si="0"/>
        <v>0</v>
      </c>
      <c r="G31" s="66">
        <f>IF(L31="x",Tabel2[[#This Row],[Temps
 théorique]]-RECAP!$Y$6,(F31-K31)*(COUNT(C31:D31)=2))</f>
        <v>0</v>
      </c>
      <c r="H31" s="66"/>
      <c r="I31" s="66" t="str">
        <f>MOD(YEAR(Tabel2[[#This Row],[Date]]),100)&amp;"-"&amp;(MONTH(Tabel2[[#This Row],[Date]])-1)*2+(DAY(Tabel2[[#This Row],[Date]])&gt;15)</f>
        <v>22-18</v>
      </c>
      <c r="J31" s="66" t="str" cm="1">
        <f t="array" ref="J31">INDEX(RECAP!N:N,_xlfn.AGGREGATE(14,6,ROW(Tabel1[personne])/((Tabel1[personne]=Tabel2[[#This Row],[Personne]])*(Tabel1[début]&lt;=Tabel2[[#This Row],[Date]])),1))</f>
        <v>30,24h/semaine</v>
      </c>
      <c r="K31" s="66">
        <f>VLOOKUP(J31,RECAP!$T$4:$V$7,3,0)</f>
        <v>0.252</v>
      </c>
      <c r="L31" s="67" t="str">
        <f>IF(WORKDAY.INTL(Tabel2[[#This Row],[Date]]-1,1,"0000000",TBL_Féries[])&lt;&gt;Tabel2[[#This Row],[Date]],"X","")</f>
        <v/>
      </c>
      <c r="M31" s="34"/>
      <c r="N31" s="34"/>
      <c r="O31" s="34"/>
      <c r="P31" s="33"/>
      <c r="W31" s="10"/>
    </row>
    <row r="32" spans="1:23" ht="21" x14ac:dyDescent="0.25">
      <c r="A32" s="63" t="s">
        <v>18</v>
      </c>
      <c r="B32" s="64">
        <f t="shared" si="1"/>
        <v>43385</v>
      </c>
      <c r="C32" s="37">
        <v>0.35555555555555557</v>
      </c>
      <c r="D32" s="37">
        <v>0.7006944444444444</v>
      </c>
      <c r="E32" s="46"/>
      <c r="F32" s="66">
        <f t="shared" si="0"/>
        <v>0.32430555555555551</v>
      </c>
      <c r="G32" s="66">
        <f>IF(L32="x",Tabel2[[#This Row],[Temps
 théorique]]-RECAP!$Y$6,(F32-K32)*(COUNT(C32:D32)=2))</f>
        <v>7.2305555555555512E-2</v>
      </c>
      <c r="H32" s="66"/>
      <c r="I32" s="66" t="str">
        <f>MOD(YEAR(Tabel2[[#This Row],[Date]]),100)&amp;"-"&amp;(MONTH(Tabel2[[#This Row],[Date]])-1)*2+(DAY(Tabel2[[#This Row],[Date]])&gt;15)</f>
        <v>22-18</v>
      </c>
      <c r="J32" s="66" t="str" cm="1">
        <f t="array" ref="J32">INDEX(RECAP!N:N,_xlfn.AGGREGATE(14,6,ROW(Tabel1[personne])/((Tabel1[personne]=Tabel2[[#This Row],[Personne]])*(Tabel1[début]&lt;=Tabel2[[#This Row],[Date]])),1))</f>
        <v>30,24h/semaine</v>
      </c>
      <c r="K32" s="66">
        <f>VLOOKUP(J32,RECAP!$T$4:$V$7,3,0)</f>
        <v>0.252</v>
      </c>
      <c r="L32" s="67" t="str">
        <f>IF(WORKDAY.INTL(Tabel2[[#This Row],[Date]]-1,1,"0000000",TBL_Féries[])&lt;&gt;Tabel2[[#This Row],[Date]],"X","")</f>
        <v/>
      </c>
      <c r="M32" s="34"/>
      <c r="N32" s="34"/>
      <c r="O32" s="34"/>
      <c r="P32" s="33"/>
      <c r="W32" s="10"/>
    </row>
    <row r="33" spans="1:23" ht="21" x14ac:dyDescent="0.25">
      <c r="A33" s="63" t="s">
        <v>18</v>
      </c>
      <c r="B33" s="64">
        <f t="shared" si="1"/>
        <v>43386</v>
      </c>
      <c r="C33" s="37">
        <v>0.35416666666666669</v>
      </c>
      <c r="D33" s="37">
        <v>0.69305555555555554</v>
      </c>
      <c r="E33" s="46"/>
      <c r="F33" s="66">
        <f t="shared" si="0"/>
        <v>0.31805555555555554</v>
      </c>
      <c r="G33" s="66">
        <f>IF(L33="x",Tabel2[[#This Row],[Temps
 théorique]]-RECAP!$Y$6,(F33-K33)*(COUNT(C33:D33)=2))</f>
        <v>6.6055555555555534E-2</v>
      </c>
      <c r="H33" s="66"/>
      <c r="I33" s="66" t="str">
        <f>MOD(YEAR(Tabel2[[#This Row],[Date]]),100)&amp;"-"&amp;(MONTH(Tabel2[[#This Row],[Date]])-1)*2+(DAY(Tabel2[[#This Row],[Date]])&gt;15)</f>
        <v>22-18</v>
      </c>
      <c r="J33" s="66" t="str" cm="1">
        <f t="array" ref="J33">INDEX(RECAP!N:N,_xlfn.AGGREGATE(14,6,ROW(Tabel1[personne])/((Tabel1[personne]=Tabel2[[#This Row],[Personne]])*(Tabel1[début]&lt;=Tabel2[[#This Row],[Date]])),1))</f>
        <v>30,24h/semaine</v>
      </c>
      <c r="K33" s="66">
        <f>VLOOKUP(J33,RECAP!$T$4:$V$7,3,0)</f>
        <v>0.252</v>
      </c>
      <c r="L33" s="67" t="str">
        <f>IF(WORKDAY.INTL(Tabel2[[#This Row],[Date]]-1,1,"0000000",TBL_Féries[])&lt;&gt;Tabel2[[#This Row],[Date]],"X","")</f>
        <v/>
      </c>
      <c r="M33" s="34"/>
      <c r="N33" s="34"/>
      <c r="O33" s="34"/>
      <c r="P33" s="33"/>
      <c r="W33" s="10"/>
    </row>
    <row r="34" spans="1:23" ht="21" x14ac:dyDescent="0.25">
      <c r="A34" s="63" t="s">
        <v>18</v>
      </c>
      <c r="B34" s="64">
        <f t="shared" si="1"/>
        <v>43389</v>
      </c>
      <c r="C34" s="37">
        <v>0.38055555555555554</v>
      </c>
      <c r="D34" s="37">
        <v>0.68819444444444444</v>
      </c>
      <c r="E34" s="46"/>
      <c r="F34" s="66">
        <f t="shared" ref="F34:F65" si="2">IF(COUNT(C34:D34)&lt;&gt;2,0,D34-C34-(D34-C34&gt;=pause)*IF(E34&lt;&gt;"",E34,pause))</f>
        <v>0.28680555555555559</v>
      </c>
      <c r="G34" s="66">
        <f>IF(L34="x",Tabel2[[#This Row],[Temps
 théorique]]-RECAP!$Y$6,(F34-K34)*(COUNT(C34:D34)=2))</f>
        <v>3.480555555555559E-2</v>
      </c>
      <c r="H34" s="66"/>
      <c r="I34" s="66" t="str">
        <f>MOD(YEAR(Tabel2[[#This Row],[Date]]),100)&amp;"-"&amp;(MONTH(Tabel2[[#This Row],[Date]])-1)*2+(DAY(Tabel2[[#This Row],[Date]])&gt;15)</f>
        <v>22-19</v>
      </c>
      <c r="J34" s="66" t="str" cm="1">
        <f t="array" ref="J34">INDEX(RECAP!N:N,_xlfn.AGGREGATE(14,6,ROW(Tabel1[personne])/((Tabel1[personne]=Tabel2[[#This Row],[Personne]])*(Tabel1[début]&lt;=Tabel2[[#This Row],[Date]])),1))</f>
        <v>30,24h/semaine</v>
      </c>
      <c r="K34" s="66">
        <f>VLOOKUP(J34,RECAP!$T$4:$V$7,3,0)</f>
        <v>0.252</v>
      </c>
      <c r="L34" s="67" t="str">
        <f>IF(WORKDAY.INTL(Tabel2[[#This Row],[Date]]-1,1,"0000000",TBL_Féries[])&lt;&gt;Tabel2[[#This Row],[Date]],"X","")</f>
        <v/>
      </c>
      <c r="M34" s="34"/>
      <c r="N34" s="34"/>
      <c r="O34" s="34"/>
      <c r="P34" s="33"/>
      <c r="W34" s="10"/>
    </row>
    <row r="35" spans="1:23" ht="21" x14ac:dyDescent="0.25">
      <c r="A35" s="63" t="s">
        <v>18</v>
      </c>
      <c r="B35" s="64">
        <f t="shared" si="1"/>
        <v>43390</v>
      </c>
      <c r="C35" s="37">
        <v>0.37083333333333335</v>
      </c>
      <c r="D35" s="37">
        <v>0.6972222222222223</v>
      </c>
      <c r="E35" s="46"/>
      <c r="F35" s="66">
        <f t="shared" si="2"/>
        <v>0.30555555555555564</v>
      </c>
      <c r="G35" s="66">
        <f>IF(L35="x",Tabel2[[#This Row],[Temps
 théorique]]-RECAP!$Y$6,(F35-K35)*(COUNT(C35:D35)=2))</f>
        <v>5.3555555555555634E-2</v>
      </c>
      <c r="H35" s="66"/>
      <c r="I35" s="66" t="str">
        <f>MOD(YEAR(Tabel2[[#This Row],[Date]]),100)&amp;"-"&amp;(MONTH(Tabel2[[#This Row],[Date]])-1)*2+(DAY(Tabel2[[#This Row],[Date]])&gt;15)</f>
        <v>22-19</v>
      </c>
      <c r="J35" s="66" t="str" cm="1">
        <f t="array" ref="J35">INDEX(RECAP!N:N,_xlfn.AGGREGATE(14,6,ROW(Tabel1[personne])/((Tabel1[personne]=Tabel2[[#This Row],[Personne]])*(Tabel1[début]&lt;=Tabel2[[#This Row],[Date]])),1))</f>
        <v>30,24h/semaine</v>
      </c>
      <c r="K35" s="66">
        <f>VLOOKUP(J35,RECAP!$T$4:$V$7,3,0)</f>
        <v>0.252</v>
      </c>
      <c r="L35" s="67" t="str">
        <f>IF(WORKDAY.INTL(Tabel2[[#This Row],[Date]]-1,1,"0000000",TBL_Féries[])&lt;&gt;Tabel2[[#This Row],[Date]],"X","")</f>
        <v/>
      </c>
      <c r="M35" s="34"/>
      <c r="N35" s="34"/>
      <c r="O35" s="34"/>
      <c r="P35" s="33"/>
      <c r="W35" s="10"/>
    </row>
    <row r="36" spans="1:23" ht="21" x14ac:dyDescent="0.25">
      <c r="A36" s="63" t="s">
        <v>18</v>
      </c>
      <c r="B36" s="64">
        <f t="shared" si="1"/>
        <v>43391</v>
      </c>
      <c r="C36" s="37"/>
      <c r="E36" s="46"/>
      <c r="F36" s="66">
        <f t="shared" si="2"/>
        <v>0</v>
      </c>
      <c r="G36" s="66">
        <f>IF(L36="x",Tabel2[[#This Row],[Temps
 théorique]]-RECAP!$Y$6,(F36-K36)*(COUNT(C36:D36)=2))</f>
        <v>0</v>
      </c>
      <c r="H36" s="66"/>
      <c r="I36" s="66" t="str">
        <f>MOD(YEAR(Tabel2[[#This Row],[Date]]),100)&amp;"-"&amp;(MONTH(Tabel2[[#This Row],[Date]])-1)*2+(DAY(Tabel2[[#This Row],[Date]])&gt;15)</f>
        <v>22-19</v>
      </c>
      <c r="J36" s="66" t="str" cm="1">
        <f t="array" ref="J36">INDEX(RECAP!N:N,_xlfn.AGGREGATE(14,6,ROW(Tabel1[personne])/((Tabel1[personne]=Tabel2[[#This Row],[Personne]])*(Tabel1[début]&lt;=Tabel2[[#This Row],[Date]])),1))</f>
        <v>30,24h/semaine</v>
      </c>
      <c r="K36" s="66">
        <f>VLOOKUP(J36,RECAP!$T$4:$V$7,3,0)</f>
        <v>0.252</v>
      </c>
      <c r="L36" s="67" t="str">
        <f>IF(WORKDAY.INTL(Tabel2[[#This Row],[Date]]-1,1,"0000000",TBL_Féries[])&lt;&gt;Tabel2[[#This Row],[Date]],"X","")</f>
        <v/>
      </c>
      <c r="M36" s="34"/>
      <c r="N36" s="34"/>
      <c r="O36" s="34"/>
      <c r="P36" s="33"/>
      <c r="W36" s="10"/>
    </row>
    <row r="37" spans="1:23" ht="21" x14ac:dyDescent="0.25">
      <c r="A37" s="63" t="s">
        <v>18</v>
      </c>
      <c r="B37" s="64">
        <f t="shared" si="1"/>
        <v>43392</v>
      </c>
      <c r="C37" s="37">
        <v>0.35416666666666669</v>
      </c>
      <c r="D37" s="37">
        <v>0.71180555555555547</v>
      </c>
      <c r="E37" s="46"/>
      <c r="F37" s="66">
        <f t="shared" si="2"/>
        <v>0.33680555555555547</v>
      </c>
      <c r="G37" s="66">
        <f>IF(L37="x",Tabel2[[#This Row],[Temps
 théorique]]-RECAP!$Y$6,(F37-K37)*(COUNT(C37:D37)=2))</f>
        <v>8.4805555555555467E-2</v>
      </c>
      <c r="H37" s="66"/>
      <c r="I37" s="66" t="str">
        <f>MOD(YEAR(Tabel2[[#This Row],[Date]]),100)&amp;"-"&amp;(MONTH(Tabel2[[#This Row],[Date]])-1)*2+(DAY(Tabel2[[#This Row],[Date]])&gt;15)</f>
        <v>22-19</v>
      </c>
      <c r="J37" s="66" t="str" cm="1">
        <f t="array" ref="J37">INDEX(RECAP!N:N,_xlfn.AGGREGATE(14,6,ROW(Tabel1[personne])/((Tabel1[personne]=Tabel2[[#This Row],[Personne]])*(Tabel1[début]&lt;=Tabel2[[#This Row],[Date]])),1))</f>
        <v>30,24h/semaine</v>
      </c>
      <c r="K37" s="66">
        <f>VLOOKUP(J37,RECAP!$T$4:$V$7,3,0)</f>
        <v>0.252</v>
      </c>
      <c r="L37" s="67" t="str">
        <f>IF(WORKDAY.INTL(Tabel2[[#This Row],[Date]]-1,1,"0000000",TBL_Féries[])&lt;&gt;Tabel2[[#This Row],[Date]],"X","")</f>
        <v/>
      </c>
      <c r="M37" s="34"/>
      <c r="N37" s="34"/>
      <c r="O37" s="34"/>
      <c r="P37" s="33"/>
      <c r="W37" s="10"/>
    </row>
    <row r="38" spans="1:23" ht="21" x14ac:dyDescent="0.25">
      <c r="A38" s="63" t="s">
        <v>18</v>
      </c>
      <c r="B38" s="64">
        <f t="shared" si="1"/>
        <v>43393</v>
      </c>
      <c r="C38" s="37">
        <v>0.35416666666666669</v>
      </c>
      <c r="D38" s="37">
        <v>0.70208333333333339</v>
      </c>
      <c r="E38" s="46"/>
      <c r="F38" s="66">
        <f t="shared" si="2"/>
        <v>0.32708333333333339</v>
      </c>
      <c r="G38" s="66">
        <f>IF(L38="x",Tabel2[[#This Row],[Temps
 théorique]]-RECAP!$Y$6,(F38-K38)*(COUNT(C38:D38)=2))</f>
        <v>7.5083333333333391E-2</v>
      </c>
      <c r="H38" s="66"/>
      <c r="I38" s="66" t="str">
        <f>MOD(YEAR(Tabel2[[#This Row],[Date]]),100)&amp;"-"&amp;(MONTH(Tabel2[[#This Row],[Date]])-1)*2+(DAY(Tabel2[[#This Row],[Date]])&gt;15)</f>
        <v>22-19</v>
      </c>
      <c r="J38" s="66" t="str" cm="1">
        <f t="array" ref="J38">INDEX(RECAP!N:N,_xlfn.AGGREGATE(14,6,ROW(Tabel1[personne])/((Tabel1[personne]=Tabel2[[#This Row],[Personne]])*(Tabel1[début]&lt;=Tabel2[[#This Row],[Date]])),1))</f>
        <v>30,24h/semaine</v>
      </c>
      <c r="K38" s="66">
        <f>VLOOKUP(J38,RECAP!$T$4:$V$7,3,0)</f>
        <v>0.252</v>
      </c>
      <c r="L38" s="67" t="str">
        <f>IF(WORKDAY.INTL(Tabel2[[#This Row],[Date]]-1,1,"0000000",TBL_Féries[])&lt;&gt;Tabel2[[#This Row],[Date]],"X","")</f>
        <v/>
      </c>
      <c r="M38" s="34"/>
      <c r="N38" s="34"/>
      <c r="O38" s="34"/>
      <c r="P38" s="33"/>
      <c r="W38" s="10"/>
    </row>
    <row r="39" spans="1:23" ht="21" x14ac:dyDescent="0.25">
      <c r="A39" s="63" t="s">
        <v>18</v>
      </c>
      <c r="B39" s="64">
        <f t="shared" si="1"/>
        <v>43396</v>
      </c>
      <c r="C39" s="37">
        <v>0.35416666666666669</v>
      </c>
      <c r="D39" s="37">
        <v>0.70277777777777783</v>
      </c>
      <c r="E39" s="46"/>
      <c r="F39" s="66">
        <f t="shared" si="2"/>
        <v>0.32777777777777783</v>
      </c>
      <c r="G39" s="66">
        <f>IF(L39="x",Tabel2[[#This Row],[Temps
 théorique]]-RECAP!$Y$6,(F39-K39)*(COUNT(C39:D39)=2))</f>
        <v>7.5777777777777833E-2</v>
      </c>
      <c r="H39" s="66"/>
      <c r="I39" s="66" t="str">
        <f>MOD(YEAR(Tabel2[[#This Row],[Date]]),100)&amp;"-"&amp;(MONTH(Tabel2[[#This Row],[Date]])-1)*2+(DAY(Tabel2[[#This Row],[Date]])&gt;15)</f>
        <v>22-19</v>
      </c>
      <c r="J39" s="66" t="str" cm="1">
        <f t="array" ref="J39">INDEX(RECAP!N:N,_xlfn.AGGREGATE(14,6,ROW(Tabel1[personne])/((Tabel1[personne]=Tabel2[[#This Row],[Personne]])*(Tabel1[début]&lt;=Tabel2[[#This Row],[Date]])),1))</f>
        <v>30,24h/semaine</v>
      </c>
      <c r="K39" s="66">
        <f>VLOOKUP(J39,RECAP!$T$4:$V$7,3,0)</f>
        <v>0.252</v>
      </c>
      <c r="L39" s="67" t="str">
        <f>IF(WORKDAY.INTL(Tabel2[[#This Row],[Date]]-1,1,"0000000",TBL_Féries[])&lt;&gt;Tabel2[[#This Row],[Date]],"X","")</f>
        <v/>
      </c>
      <c r="M39" s="34"/>
      <c r="N39" s="34"/>
      <c r="O39" s="34"/>
      <c r="P39" s="33"/>
      <c r="W39" s="10"/>
    </row>
    <row r="40" spans="1:23" ht="21" x14ac:dyDescent="0.25">
      <c r="A40" s="63" t="s">
        <v>18</v>
      </c>
      <c r="B40" s="64">
        <f t="shared" si="1"/>
        <v>43397</v>
      </c>
      <c r="C40" s="37">
        <v>0.35833333333333334</v>
      </c>
      <c r="D40" s="37">
        <v>0.68888888888888899</v>
      </c>
      <c r="E40" s="46"/>
      <c r="F40" s="66">
        <f t="shared" si="2"/>
        <v>0.30972222222222234</v>
      </c>
      <c r="G40" s="66">
        <f>IF(L40="x",Tabel2[[#This Row],[Temps
 théorique]]-RECAP!$Y$6,(F40-K40)*(COUNT(C40:D40)=2))</f>
        <v>5.7722222222222341E-2</v>
      </c>
      <c r="H40" s="66"/>
      <c r="I40" s="66" t="str">
        <f>MOD(YEAR(Tabel2[[#This Row],[Date]]),100)&amp;"-"&amp;(MONTH(Tabel2[[#This Row],[Date]])-1)*2+(DAY(Tabel2[[#This Row],[Date]])&gt;15)</f>
        <v>22-19</v>
      </c>
      <c r="J40" s="66" t="str" cm="1">
        <f t="array" ref="J40">INDEX(RECAP!N:N,_xlfn.AGGREGATE(14,6,ROW(Tabel1[personne])/((Tabel1[personne]=Tabel2[[#This Row],[Personne]])*(Tabel1[début]&lt;=Tabel2[[#This Row],[Date]])),1))</f>
        <v>30,24h/semaine</v>
      </c>
      <c r="K40" s="66">
        <f>VLOOKUP(J40,RECAP!$T$4:$V$7,3,0)</f>
        <v>0.252</v>
      </c>
      <c r="L40" s="67" t="str">
        <f>IF(WORKDAY.INTL(Tabel2[[#This Row],[Date]]-1,1,"0000000",TBL_Féries[])&lt;&gt;Tabel2[[#This Row],[Date]],"X","")</f>
        <v/>
      </c>
      <c r="M40" s="34"/>
      <c r="N40" s="34"/>
      <c r="O40" s="34"/>
      <c r="P40" s="33"/>
      <c r="W40" s="10"/>
    </row>
    <row r="41" spans="1:23" ht="21" x14ac:dyDescent="0.25">
      <c r="A41" s="63" t="s">
        <v>18</v>
      </c>
      <c r="B41" s="64">
        <f t="shared" si="1"/>
        <v>43398</v>
      </c>
      <c r="C41" s="37"/>
      <c r="E41" s="46"/>
      <c r="F41" s="66">
        <f t="shared" si="2"/>
        <v>0</v>
      </c>
      <c r="G41" s="66">
        <f>IF(L41="x",Tabel2[[#This Row],[Temps
 théorique]]-RECAP!$Y$6,(F41-K41)*(COUNT(C41:D41)=2))</f>
        <v>0</v>
      </c>
      <c r="H41" s="66"/>
      <c r="I41" s="66" t="str">
        <f>MOD(YEAR(Tabel2[[#This Row],[Date]]),100)&amp;"-"&amp;(MONTH(Tabel2[[#This Row],[Date]])-1)*2+(DAY(Tabel2[[#This Row],[Date]])&gt;15)</f>
        <v>22-19</v>
      </c>
      <c r="J41" s="66" t="str" cm="1">
        <f t="array" ref="J41">INDEX(RECAP!N:N,_xlfn.AGGREGATE(14,6,ROW(Tabel1[personne])/((Tabel1[personne]=Tabel2[[#This Row],[Personne]])*(Tabel1[début]&lt;=Tabel2[[#This Row],[Date]])),1))</f>
        <v>30,24h/semaine</v>
      </c>
      <c r="K41" s="66">
        <f>VLOOKUP(J41,RECAP!$T$4:$V$7,3,0)</f>
        <v>0.252</v>
      </c>
      <c r="L41" s="67" t="str">
        <f>IF(WORKDAY.INTL(Tabel2[[#This Row],[Date]]-1,1,"0000000",TBL_Féries[])&lt;&gt;Tabel2[[#This Row],[Date]],"X","")</f>
        <v/>
      </c>
      <c r="M41" s="34"/>
      <c r="N41" s="34"/>
      <c r="O41" s="34"/>
      <c r="P41" s="33"/>
      <c r="W41" s="10"/>
    </row>
    <row r="42" spans="1:23" ht="21" x14ac:dyDescent="0.25">
      <c r="A42" s="63" t="s">
        <v>18</v>
      </c>
      <c r="B42" s="64">
        <f t="shared" si="1"/>
        <v>43399</v>
      </c>
      <c r="C42" s="37">
        <v>0.35416666666666669</v>
      </c>
      <c r="D42" s="37">
        <v>0.68888888888888899</v>
      </c>
      <c r="E42" s="46"/>
      <c r="F42" s="66">
        <f t="shared" si="2"/>
        <v>0.31388888888888899</v>
      </c>
      <c r="G42" s="66">
        <f>IF(L42="x",Tabel2[[#This Row],[Temps
 théorique]]-RECAP!$Y$6,(F42-K42)*(COUNT(C42:D42)=2))</f>
        <v>6.1888888888888993E-2</v>
      </c>
      <c r="H42" s="66"/>
      <c r="I42" s="66" t="str">
        <f>MOD(YEAR(Tabel2[[#This Row],[Date]]),100)&amp;"-"&amp;(MONTH(Tabel2[[#This Row],[Date]])-1)*2+(DAY(Tabel2[[#This Row],[Date]])&gt;15)</f>
        <v>22-19</v>
      </c>
      <c r="J42" s="66" t="str" cm="1">
        <f t="array" ref="J42">INDEX(RECAP!N:N,_xlfn.AGGREGATE(14,6,ROW(Tabel1[personne])/((Tabel1[personne]=Tabel2[[#This Row],[Personne]])*(Tabel1[début]&lt;=Tabel2[[#This Row],[Date]])),1))</f>
        <v>30,24h/semaine</v>
      </c>
      <c r="K42" s="66">
        <f>VLOOKUP(J42,RECAP!$T$4:$V$7,3,0)</f>
        <v>0.252</v>
      </c>
      <c r="L42" s="67" t="str">
        <f>IF(WORKDAY.INTL(Tabel2[[#This Row],[Date]]-1,1,"0000000",TBL_Féries[])&lt;&gt;Tabel2[[#This Row],[Date]],"X","")</f>
        <v/>
      </c>
      <c r="M42" s="34"/>
      <c r="N42" s="34"/>
      <c r="O42" s="34"/>
      <c r="P42" s="33"/>
      <c r="W42" s="10"/>
    </row>
    <row r="43" spans="1:23" ht="21" x14ac:dyDescent="0.25">
      <c r="A43" s="63" t="s">
        <v>18</v>
      </c>
      <c r="B43" s="64">
        <f t="shared" si="1"/>
        <v>43400</v>
      </c>
      <c r="C43" s="37">
        <v>0.35902777777777778</v>
      </c>
      <c r="D43" s="37">
        <v>0.71111111111111114</v>
      </c>
      <c r="E43" s="46"/>
      <c r="F43" s="66">
        <f t="shared" si="2"/>
        <v>0.33125000000000004</v>
      </c>
      <c r="G43" s="66">
        <f>IF(L43="x",Tabel2[[#This Row],[Temps
 théorique]]-RECAP!$Y$6,(F43-K43)*(COUNT(C43:D43)=2))</f>
        <v>7.9250000000000043E-2</v>
      </c>
      <c r="H43" s="66"/>
      <c r="I43" s="66" t="str">
        <f>MOD(YEAR(Tabel2[[#This Row],[Date]]),100)&amp;"-"&amp;(MONTH(Tabel2[[#This Row],[Date]])-1)*2+(DAY(Tabel2[[#This Row],[Date]])&gt;15)</f>
        <v>22-19</v>
      </c>
      <c r="J43" s="66" t="str" cm="1">
        <f t="array" ref="J43">INDEX(RECAP!N:N,_xlfn.AGGREGATE(14,6,ROW(Tabel1[personne])/((Tabel1[personne]=Tabel2[[#This Row],[Personne]])*(Tabel1[début]&lt;=Tabel2[[#This Row],[Date]])),1))</f>
        <v>30,24h/semaine</v>
      </c>
      <c r="K43" s="66">
        <f>VLOOKUP(J43,RECAP!$T$4:$V$7,3,0)</f>
        <v>0.252</v>
      </c>
      <c r="L43" s="67" t="str">
        <f>IF(WORKDAY.INTL(Tabel2[[#This Row],[Date]]-1,1,"0000000",TBL_Féries[])&lt;&gt;Tabel2[[#This Row],[Date]],"X","")</f>
        <v/>
      </c>
      <c r="M43" s="34"/>
      <c r="N43" s="34"/>
      <c r="O43" s="34"/>
      <c r="P43" s="33"/>
      <c r="W43" s="10"/>
    </row>
    <row r="44" spans="1:23" ht="21" x14ac:dyDescent="0.25">
      <c r="A44" s="63" t="s">
        <v>18</v>
      </c>
      <c r="B44" s="64">
        <f t="shared" si="1"/>
        <v>43403</v>
      </c>
      <c r="C44" s="37"/>
      <c r="E44" s="46"/>
      <c r="F44" s="66">
        <f t="shared" si="2"/>
        <v>0</v>
      </c>
      <c r="G44" s="66">
        <f>IF(L44="x",Tabel2[[#This Row],[Temps
 théorique]]-RECAP!$Y$6,(F44-K44)*(COUNT(C44:D44)=2))</f>
        <v>0</v>
      </c>
      <c r="H44" s="66"/>
      <c r="I44" s="66" t="str">
        <f>MOD(YEAR(Tabel2[[#This Row],[Date]]),100)&amp;"-"&amp;(MONTH(Tabel2[[#This Row],[Date]])-1)*2+(DAY(Tabel2[[#This Row],[Date]])&gt;15)</f>
        <v>22-19</v>
      </c>
      <c r="J44" s="66" t="str" cm="1">
        <f t="array" ref="J44">INDEX(RECAP!N:N,_xlfn.AGGREGATE(14,6,ROW(Tabel1[personne])/((Tabel1[personne]=Tabel2[[#This Row],[Personne]])*(Tabel1[début]&lt;=Tabel2[[#This Row],[Date]])),1))</f>
        <v>30,24h/semaine</v>
      </c>
      <c r="K44" s="66">
        <f>VLOOKUP(J44,RECAP!$T$4:$V$7,3,0)</f>
        <v>0.252</v>
      </c>
      <c r="L44" s="67" t="str">
        <f>IF(WORKDAY.INTL(Tabel2[[#This Row],[Date]]-1,1,"0000000",TBL_Féries[])&lt;&gt;Tabel2[[#This Row],[Date]],"X","")</f>
        <v/>
      </c>
      <c r="M44" s="34"/>
      <c r="N44" s="34"/>
      <c r="O44" s="34"/>
      <c r="P44" s="33"/>
      <c r="W44" s="10"/>
    </row>
    <row r="45" spans="1:23" ht="21" x14ac:dyDescent="0.25">
      <c r="A45" s="63" t="s">
        <v>18</v>
      </c>
      <c r="B45" s="64">
        <f t="shared" si="1"/>
        <v>43404</v>
      </c>
      <c r="C45" s="37"/>
      <c r="E45" s="42"/>
      <c r="F45" s="66">
        <f t="shared" si="2"/>
        <v>0</v>
      </c>
      <c r="G45" s="66">
        <f>IF(L45="x",Tabel2[[#This Row],[Temps
 théorique]]-RECAP!$Y$6,(F45-K45)*(COUNT(C45:D45)=2))</f>
        <v>0</v>
      </c>
      <c r="H45" s="66"/>
      <c r="I45" s="66" t="str">
        <f>MOD(YEAR(Tabel2[[#This Row],[Date]]),100)&amp;"-"&amp;(MONTH(Tabel2[[#This Row],[Date]])-1)*2+(DAY(Tabel2[[#This Row],[Date]])&gt;15)</f>
        <v>22-20</v>
      </c>
      <c r="J45" s="66" t="str" cm="1">
        <f t="array" ref="J45">INDEX(RECAP!N:N,_xlfn.AGGREGATE(14,6,ROW(Tabel1[personne])/((Tabel1[personne]=Tabel2[[#This Row],[Personne]])*(Tabel1[début]&lt;=Tabel2[[#This Row],[Date]])),1))</f>
        <v>30,24h/semaine</v>
      </c>
      <c r="K45" s="66">
        <f>VLOOKUP(J45,RECAP!$T$4:$V$7,3,0)</f>
        <v>0.252</v>
      </c>
      <c r="L45" s="67" t="str">
        <f>IF(WORKDAY.INTL(Tabel2[[#This Row],[Date]]-1,1,"0000000",TBL_Féries[])&lt;&gt;Tabel2[[#This Row],[Date]],"X","")</f>
        <v/>
      </c>
      <c r="M45" s="34"/>
      <c r="N45" s="34"/>
      <c r="O45" s="34"/>
      <c r="W45" s="10"/>
    </row>
    <row r="46" spans="1:23" ht="21" x14ac:dyDescent="0.25">
      <c r="A46" s="63" t="s">
        <v>18</v>
      </c>
      <c r="B46" s="64">
        <f t="shared" si="1"/>
        <v>43405</v>
      </c>
      <c r="C46" s="37"/>
      <c r="E46" s="44"/>
      <c r="F46" s="66">
        <f t="shared" si="2"/>
        <v>0</v>
      </c>
      <c r="G46" s="66">
        <f>IF(L46="x",Tabel2[[#This Row],[Temps
 théorique]]-RECAP!$Y$6,(F46-K46)*(COUNT(C46:D46)=2))</f>
        <v>0</v>
      </c>
      <c r="H46" s="66"/>
      <c r="I46" s="66" t="str">
        <f>MOD(YEAR(Tabel2[[#This Row],[Date]]),100)&amp;"-"&amp;(MONTH(Tabel2[[#This Row],[Date]])-1)*2+(DAY(Tabel2[[#This Row],[Date]])&gt;15)</f>
        <v>22-20</v>
      </c>
      <c r="J46" s="66" t="str" cm="1">
        <f t="array" ref="J46">INDEX(RECAP!N:N,_xlfn.AGGREGATE(14,6,ROW(Tabel1[personne])/((Tabel1[personne]=Tabel2[[#This Row],[Personne]])*(Tabel1[début]&lt;=Tabel2[[#This Row],[Date]])),1))</f>
        <v>30,24h/semaine</v>
      </c>
      <c r="K46" s="66">
        <f>VLOOKUP(J46,RECAP!$T$4:$V$7,3,0)</f>
        <v>0.252</v>
      </c>
      <c r="L46" s="67" t="str">
        <f>IF(WORKDAY.INTL(Tabel2[[#This Row],[Date]]-1,1,"0000000",TBL_Féries[])&lt;&gt;Tabel2[[#This Row],[Date]],"X","")</f>
        <v/>
      </c>
      <c r="M46" s="34"/>
      <c r="N46" s="34"/>
      <c r="O46" s="34"/>
      <c r="W46" s="10"/>
    </row>
    <row r="47" spans="1:23" ht="21" x14ac:dyDescent="0.25">
      <c r="A47" s="63" t="s">
        <v>18</v>
      </c>
      <c r="B47" s="64">
        <f t="shared" si="1"/>
        <v>43406</v>
      </c>
      <c r="C47" s="37">
        <v>0.36249999999999999</v>
      </c>
      <c r="D47" s="37">
        <v>0.6972222222222223</v>
      </c>
      <c r="E47" s="43"/>
      <c r="F47" s="66">
        <f t="shared" si="2"/>
        <v>0.31388888888888899</v>
      </c>
      <c r="G47" s="66">
        <f>IF(L47="x",Tabel2[[#This Row],[Temps
 théorique]]-RECAP!$Y$6,(F47-K47)*(COUNT(C47:D47)=2))</f>
        <v>6.1888888888888993E-2</v>
      </c>
      <c r="H47" s="66"/>
      <c r="I47" s="66" t="str">
        <f>MOD(YEAR(Tabel2[[#This Row],[Date]]),100)&amp;"-"&amp;(MONTH(Tabel2[[#This Row],[Date]])-1)*2+(DAY(Tabel2[[#This Row],[Date]])&gt;15)</f>
        <v>22-20</v>
      </c>
      <c r="J47" s="66" t="str" cm="1">
        <f t="array" ref="J47">INDEX(RECAP!N:N,_xlfn.AGGREGATE(14,6,ROW(Tabel1[personne])/((Tabel1[personne]=Tabel2[[#This Row],[Personne]])*(Tabel1[début]&lt;=Tabel2[[#This Row],[Date]])),1))</f>
        <v>30,24h/semaine</v>
      </c>
      <c r="K47" s="66">
        <f>VLOOKUP(J47,RECAP!$T$4:$V$7,3,0)</f>
        <v>0.252</v>
      </c>
      <c r="L47" s="67" t="str">
        <f>IF(WORKDAY.INTL(Tabel2[[#This Row],[Date]]-1,1,"0000000",TBL_Féries[])&lt;&gt;Tabel2[[#This Row],[Date]],"X","")</f>
        <v/>
      </c>
      <c r="M47" s="34"/>
      <c r="N47" s="34"/>
      <c r="O47" s="34"/>
      <c r="W47" s="10"/>
    </row>
    <row r="48" spans="1:23" ht="21" x14ac:dyDescent="0.25">
      <c r="A48" s="63" t="s">
        <v>18</v>
      </c>
      <c r="B48" s="64">
        <f t="shared" si="1"/>
        <v>43407</v>
      </c>
      <c r="C48" s="37">
        <v>0.35694444444444445</v>
      </c>
      <c r="D48" s="37">
        <v>0.68888888888888899</v>
      </c>
      <c r="E48" s="44"/>
      <c r="F48" s="66">
        <f t="shared" si="2"/>
        <v>0.31111111111111123</v>
      </c>
      <c r="G48" s="66">
        <f>IF(L48="x",Tabel2[[#This Row],[Temps
 théorique]]-RECAP!$Y$6,(F48-K48)*(COUNT(C48:D48)=2))</f>
        <v>0.1527777777777779</v>
      </c>
      <c r="H48" s="66"/>
      <c r="I48" s="66" t="str">
        <f>MOD(YEAR(Tabel2[[#This Row],[Date]]),100)&amp;"-"&amp;(MONTH(Tabel2[[#This Row],[Date]])-1)*2+(DAY(Tabel2[[#This Row],[Date]])&gt;15)</f>
        <v>22-20</v>
      </c>
      <c r="J48" s="66" t="str" cm="1">
        <f t="array" ref="J48">INDEX(RECAP!N:N,_xlfn.AGGREGATE(14,6,ROW(Tabel1[personne])/((Tabel1[personne]=Tabel2[[#This Row],[Personne]])*(Tabel1[début]&lt;=Tabel2[[#This Row],[Date]])),1))</f>
        <v>19h/semaine</v>
      </c>
      <c r="K48" s="66">
        <f>VLOOKUP(J48,RECAP!$T$4:$V$7,3,0)</f>
        <v>0.15833333333333333</v>
      </c>
      <c r="L48" s="67" t="str">
        <f>IF(WORKDAY.INTL(Tabel2[[#This Row],[Date]]-1,1,"0000000",TBL_Féries[])&lt;&gt;Tabel2[[#This Row],[Date]],"X","")</f>
        <v/>
      </c>
      <c r="M48" s="34"/>
      <c r="N48" s="34"/>
      <c r="O48" s="34"/>
      <c r="P48" s="10">
        <v>4.1666666666666664E-2</v>
      </c>
      <c r="W48" s="10"/>
    </row>
    <row r="49" spans="1:23" ht="21" x14ac:dyDescent="0.25">
      <c r="A49" s="63" t="s">
        <v>18</v>
      </c>
      <c r="B49" s="64">
        <f t="shared" si="1"/>
        <v>43410</v>
      </c>
      <c r="C49" s="37">
        <v>0.35833333333333334</v>
      </c>
      <c r="D49" s="37">
        <v>0.6875</v>
      </c>
      <c r="E49" s="44"/>
      <c r="F49" s="66">
        <f t="shared" si="2"/>
        <v>0.30833333333333335</v>
      </c>
      <c r="G49" s="66">
        <f>IF(L49="x",Tabel2[[#This Row],[Temps
 théorique]]-RECAP!$Y$6,(F49-K49)*(COUNT(C49:D49)=2))</f>
        <v>0.15000000000000002</v>
      </c>
      <c r="H49" s="66"/>
      <c r="I49" s="66" t="str">
        <f>MOD(YEAR(Tabel2[[#This Row],[Date]]),100)&amp;"-"&amp;(MONTH(Tabel2[[#This Row],[Date]])-1)*2+(DAY(Tabel2[[#This Row],[Date]])&gt;15)</f>
        <v>22-20</v>
      </c>
      <c r="J49" s="66" t="str" cm="1">
        <f t="array" ref="J49">INDEX(RECAP!N:N,_xlfn.AGGREGATE(14,6,ROW(Tabel1[personne])/((Tabel1[personne]=Tabel2[[#This Row],[Personne]])*(Tabel1[début]&lt;=Tabel2[[#This Row],[Date]])),1))</f>
        <v>19h/semaine</v>
      </c>
      <c r="K49" s="66">
        <f>VLOOKUP(J49,RECAP!$T$4:$V$7,3,0)</f>
        <v>0.15833333333333333</v>
      </c>
      <c r="L49" s="67" t="str">
        <f>IF(WORKDAY.INTL(Tabel2[[#This Row],[Date]]-1,1,"0000000",TBL_Féries[])&lt;&gt;Tabel2[[#This Row],[Date]],"X","")</f>
        <v/>
      </c>
      <c r="M49" s="34"/>
      <c r="N49" s="34"/>
      <c r="O49" s="34"/>
      <c r="W49" s="10"/>
    </row>
    <row r="50" spans="1:23" ht="21" x14ac:dyDescent="0.25">
      <c r="A50" s="63" t="s">
        <v>18</v>
      </c>
      <c r="B50" s="64">
        <f t="shared" si="1"/>
        <v>43411</v>
      </c>
      <c r="C50" s="37">
        <v>0.35555555555555557</v>
      </c>
      <c r="D50" s="37">
        <v>0.56180555555555556</v>
      </c>
      <c r="E50" s="44"/>
      <c r="F50" s="66">
        <f t="shared" si="2"/>
        <v>0.18541666666666665</v>
      </c>
      <c r="G50" s="66">
        <f>IF(L50="x",Tabel2[[#This Row],[Temps
 théorique]]-RECAP!$Y$6,(F50-K50)*(COUNT(C50:D50)=2))</f>
        <v>2.708333333333332E-2</v>
      </c>
      <c r="H50" s="66"/>
      <c r="I50" s="66" t="str">
        <f>MOD(YEAR(Tabel2[[#This Row],[Date]]),100)&amp;"-"&amp;(MONTH(Tabel2[[#This Row],[Date]])-1)*2+(DAY(Tabel2[[#This Row],[Date]])&gt;15)</f>
        <v>22-20</v>
      </c>
      <c r="J50" s="66" t="str" cm="1">
        <f t="array" ref="J50">INDEX(RECAP!N:N,_xlfn.AGGREGATE(14,6,ROW(Tabel1[personne])/((Tabel1[personne]=Tabel2[[#This Row],[Personne]])*(Tabel1[début]&lt;=Tabel2[[#This Row],[Date]])),1))</f>
        <v>19h/semaine</v>
      </c>
      <c r="K50" s="66">
        <f>VLOOKUP(J50,RECAP!$T$4:$V$7,3,0)</f>
        <v>0.15833333333333333</v>
      </c>
      <c r="L50" s="67" t="str">
        <f>IF(WORKDAY.INTL(Tabel2[[#This Row],[Date]]-1,1,"0000000",TBL_Féries[])&lt;&gt;Tabel2[[#This Row],[Date]],"X","")</f>
        <v/>
      </c>
      <c r="M50" s="34"/>
      <c r="N50" s="34"/>
      <c r="O50" s="34"/>
      <c r="S50" s="10"/>
      <c r="W50" s="10"/>
    </row>
    <row r="51" spans="1:23" ht="21" x14ac:dyDescent="0.25">
      <c r="A51" s="63" t="s">
        <v>18</v>
      </c>
      <c r="B51" s="64">
        <f t="shared" si="1"/>
        <v>43412</v>
      </c>
      <c r="C51" s="37"/>
      <c r="E51" s="44"/>
      <c r="F51" s="66">
        <f t="shared" si="2"/>
        <v>0</v>
      </c>
      <c r="G51" s="66">
        <f>IF(L51="x",Tabel2[[#This Row],[Temps
 théorique]]-RECAP!$Y$6,(F51-K51)*(COUNT(C51:D51)=2))</f>
        <v>0</v>
      </c>
      <c r="H51" s="66"/>
      <c r="I51" s="66" t="str">
        <f>MOD(YEAR(Tabel2[[#This Row],[Date]]),100)&amp;"-"&amp;(MONTH(Tabel2[[#This Row],[Date]])-1)*2+(DAY(Tabel2[[#This Row],[Date]])&gt;15)</f>
        <v>22-20</v>
      </c>
      <c r="J51" s="66" t="str" cm="1">
        <f t="array" ref="J51">INDEX(RECAP!N:N,_xlfn.AGGREGATE(14,6,ROW(Tabel1[personne])/((Tabel1[personne]=Tabel2[[#This Row],[Personne]])*(Tabel1[début]&lt;=Tabel2[[#This Row],[Date]])),1))</f>
        <v>19h/semaine</v>
      </c>
      <c r="K51" s="66">
        <f>VLOOKUP(J51,RECAP!$T$4:$V$7,3,0)</f>
        <v>0.15833333333333333</v>
      </c>
      <c r="L51" s="67" t="str">
        <f>IF(WORKDAY.INTL(Tabel2[[#This Row],[Date]]-1,1,"0000000",TBL_Féries[])&lt;&gt;Tabel2[[#This Row],[Date]],"X","")</f>
        <v/>
      </c>
      <c r="M51" s="34"/>
      <c r="N51" s="34"/>
      <c r="O51" s="34"/>
      <c r="W51" s="10"/>
    </row>
    <row r="52" spans="1:23" ht="21" x14ac:dyDescent="0.25">
      <c r="A52" s="63" t="s">
        <v>18</v>
      </c>
      <c r="B52" s="64">
        <f t="shared" si="1"/>
        <v>43413</v>
      </c>
      <c r="C52" s="37"/>
      <c r="E52" s="44"/>
      <c r="F52" s="66">
        <f t="shared" si="2"/>
        <v>0</v>
      </c>
      <c r="G52" s="66">
        <f>IF(L52="x",Tabel2[[#This Row],[Temps
 théorique]]-RECAP!$Y$6,(F52-K52)*(COUNT(C52:D52)=2))</f>
        <v>0</v>
      </c>
      <c r="H52" s="66"/>
      <c r="I52" s="66" t="str">
        <f>MOD(YEAR(Tabel2[[#This Row],[Date]]),100)&amp;"-"&amp;(MONTH(Tabel2[[#This Row],[Date]])-1)*2+(DAY(Tabel2[[#This Row],[Date]])&gt;15)</f>
        <v>22-20</v>
      </c>
      <c r="J52" s="66" t="str" cm="1">
        <f t="array" ref="J52">INDEX(RECAP!N:N,_xlfn.AGGREGATE(14,6,ROW(Tabel1[personne])/((Tabel1[personne]=Tabel2[[#This Row],[Personne]])*(Tabel1[début]&lt;=Tabel2[[#This Row],[Date]])),1))</f>
        <v>19h/semaine</v>
      </c>
      <c r="K52" s="66">
        <f>VLOOKUP(J52,RECAP!$T$4:$V$7,3,0)</f>
        <v>0.15833333333333333</v>
      </c>
      <c r="L52" s="67" t="str">
        <f>IF(WORKDAY.INTL(Tabel2[[#This Row],[Date]]-1,1,"0000000",TBL_Féries[])&lt;&gt;Tabel2[[#This Row],[Date]],"X","")</f>
        <v/>
      </c>
      <c r="M52" s="34"/>
      <c r="N52" s="34"/>
      <c r="O52" s="34"/>
      <c r="W52" s="10"/>
    </row>
    <row r="53" spans="1:23" ht="21" x14ac:dyDescent="0.25">
      <c r="A53" s="63" t="s">
        <v>18</v>
      </c>
      <c r="B53" s="64">
        <f t="shared" si="1"/>
        <v>43414</v>
      </c>
      <c r="C53" s="37"/>
      <c r="E53" s="44"/>
      <c r="F53" s="66">
        <f t="shared" si="2"/>
        <v>0</v>
      </c>
      <c r="G53" s="66">
        <f>IF(L53="x",Tabel2[[#This Row],[Temps
 théorique]]-RECAP!$Y$6,(F53-K53)*(COUNT(C53:D53)=2))</f>
        <v>-0.15416666666666667</v>
      </c>
      <c r="H53" s="66"/>
      <c r="I53" s="66" t="str">
        <f>MOD(YEAR(Tabel2[[#This Row],[Date]]),100)&amp;"-"&amp;(MONTH(Tabel2[[#This Row],[Date]])-1)*2+(DAY(Tabel2[[#This Row],[Date]])&gt;15)</f>
        <v>22-20</v>
      </c>
      <c r="J53" s="66" t="str" cm="1">
        <f t="array" ref="J53">INDEX(RECAP!N:N,_xlfn.AGGREGATE(14,6,ROW(Tabel1[personne])/((Tabel1[personne]=Tabel2[[#This Row],[Personne]])*(Tabel1[début]&lt;=Tabel2[[#This Row],[Date]])),1))</f>
        <v>19h/semaine</v>
      </c>
      <c r="K53" s="66">
        <f>VLOOKUP(J53,RECAP!$T$4:$V$7,3,0)</f>
        <v>0.15833333333333333</v>
      </c>
      <c r="L53" s="67" t="str">
        <f>IF(WORKDAY.INTL(Tabel2[[#This Row],[Date]]-1,1,"0000000",TBL_Féries[])&lt;&gt;Tabel2[[#This Row],[Date]],"X","")</f>
        <v>X</v>
      </c>
      <c r="M53" s="34"/>
      <c r="N53" s="34"/>
      <c r="O53" s="34"/>
      <c r="W53" s="10"/>
    </row>
    <row r="54" spans="1:23" ht="21" x14ac:dyDescent="0.25">
      <c r="A54" s="63" t="s">
        <v>18</v>
      </c>
      <c r="B54" s="64">
        <f t="shared" si="1"/>
        <v>43417</v>
      </c>
      <c r="C54" s="37"/>
      <c r="E54" s="44"/>
      <c r="F54" s="66">
        <f t="shared" si="2"/>
        <v>0</v>
      </c>
      <c r="G54" s="66">
        <f>IF(L54="x",Tabel2[[#This Row],[Temps
 théorique]]-RECAP!$Y$6,(F54-K54)*(COUNT(C54:D54)=2))</f>
        <v>0</v>
      </c>
      <c r="H54" s="66"/>
      <c r="I54" s="66" t="str">
        <f>MOD(YEAR(Tabel2[[#This Row],[Date]]),100)&amp;"-"&amp;(MONTH(Tabel2[[#This Row],[Date]])-1)*2+(DAY(Tabel2[[#This Row],[Date]])&gt;15)</f>
        <v>22-20</v>
      </c>
      <c r="J54" s="66" t="str" cm="1">
        <f t="array" ref="J54">INDEX(RECAP!N:N,_xlfn.AGGREGATE(14,6,ROW(Tabel1[personne])/((Tabel1[personne]=Tabel2[[#This Row],[Personne]])*(Tabel1[début]&lt;=Tabel2[[#This Row],[Date]])),1))</f>
        <v>19h/semaine</v>
      </c>
      <c r="K54" s="66">
        <f>VLOOKUP(J54,RECAP!$T$4:$V$7,3,0)</f>
        <v>0.15833333333333333</v>
      </c>
      <c r="L54" s="67" t="str">
        <f>IF(WORKDAY.INTL(Tabel2[[#This Row],[Date]]-1,1,"0000000",TBL_Féries[])&lt;&gt;Tabel2[[#This Row],[Date]],"X","")</f>
        <v/>
      </c>
      <c r="M54" s="34"/>
      <c r="N54" s="34"/>
      <c r="O54" s="34"/>
      <c r="W54" s="10"/>
    </row>
    <row r="55" spans="1:23" ht="21" x14ac:dyDescent="0.25">
      <c r="A55" s="63" t="s">
        <v>18</v>
      </c>
      <c r="B55" s="64">
        <f t="shared" si="1"/>
        <v>43418</v>
      </c>
      <c r="C55" s="37"/>
      <c r="E55" s="44"/>
      <c r="F55" s="66">
        <f t="shared" si="2"/>
        <v>0</v>
      </c>
      <c r="G55" s="66">
        <f>IF(L55="x",Tabel2[[#This Row],[Temps
 théorique]]-RECAP!$Y$6,(F55-K55)*(COUNT(C55:D55)=2))</f>
        <v>0</v>
      </c>
      <c r="H55" s="66"/>
      <c r="I55" s="66" t="str">
        <f>MOD(YEAR(Tabel2[[#This Row],[Date]]),100)&amp;"-"&amp;(MONTH(Tabel2[[#This Row],[Date]])-1)*2+(DAY(Tabel2[[#This Row],[Date]])&gt;15)</f>
        <v>22-20</v>
      </c>
      <c r="J55" s="66" t="str" cm="1">
        <f t="array" ref="J55">INDEX(RECAP!N:N,_xlfn.AGGREGATE(14,6,ROW(Tabel1[personne])/((Tabel1[personne]=Tabel2[[#This Row],[Personne]])*(Tabel1[début]&lt;=Tabel2[[#This Row],[Date]])),1))</f>
        <v>19h/semaine</v>
      </c>
      <c r="K55" s="66">
        <f>VLOOKUP(J55,RECAP!$T$4:$V$7,3,0)</f>
        <v>0.15833333333333333</v>
      </c>
      <c r="L55" s="67" t="str">
        <f>IF(WORKDAY.INTL(Tabel2[[#This Row],[Date]]-1,1,"0000000",TBL_Féries[])&lt;&gt;Tabel2[[#This Row],[Date]],"X","")</f>
        <v/>
      </c>
      <c r="M55" s="34"/>
      <c r="N55" s="34"/>
      <c r="O55" s="34"/>
      <c r="W55" s="10"/>
    </row>
    <row r="56" spans="1:23" ht="21" x14ac:dyDescent="0.25">
      <c r="A56" s="63" t="s">
        <v>18</v>
      </c>
      <c r="B56" s="64">
        <f t="shared" si="1"/>
        <v>43419</v>
      </c>
      <c r="C56" s="37"/>
      <c r="E56" s="44"/>
      <c r="F56" s="66">
        <f t="shared" si="2"/>
        <v>0</v>
      </c>
      <c r="G56" s="66">
        <f>IF(L56="x",Tabel2[[#This Row],[Temps
 théorique]]-RECAP!$Y$6,(F56-K56)*(COUNT(C56:D56)=2))</f>
        <v>0</v>
      </c>
      <c r="H56" s="66"/>
      <c r="I56" s="66" t="str">
        <f>MOD(YEAR(Tabel2[[#This Row],[Date]]),100)&amp;"-"&amp;(MONTH(Tabel2[[#This Row],[Date]])-1)*2+(DAY(Tabel2[[#This Row],[Date]])&gt;15)</f>
        <v>22-21</v>
      </c>
      <c r="J56" s="66" t="str" cm="1">
        <f t="array" ref="J56">INDEX(RECAP!N:N,_xlfn.AGGREGATE(14,6,ROW(Tabel1[personne])/((Tabel1[personne]=Tabel2[[#This Row],[Personne]])*(Tabel1[début]&lt;=Tabel2[[#This Row],[Date]])),1))</f>
        <v>19h/semaine</v>
      </c>
      <c r="K56" s="66">
        <f>VLOOKUP(J56,RECAP!$T$4:$V$7,3,0)</f>
        <v>0.15833333333333333</v>
      </c>
      <c r="L56" s="67" t="str">
        <f>IF(WORKDAY.INTL(Tabel2[[#This Row],[Date]]-1,1,"0000000",TBL_Féries[])&lt;&gt;Tabel2[[#This Row],[Date]],"X","")</f>
        <v/>
      </c>
      <c r="M56" s="34"/>
      <c r="N56" s="34"/>
      <c r="O56" s="34"/>
      <c r="W56" s="10"/>
    </row>
    <row r="57" spans="1:23" ht="21" x14ac:dyDescent="0.25">
      <c r="A57" s="63" t="s">
        <v>18</v>
      </c>
      <c r="B57" s="64">
        <f t="shared" si="1"/>
        <v>43420</v>
      </c>
      <c r="C57" s="37"/>
      <c r="E57" s="44"/>
      <c r="F57" s="66">
        <f t="shared" si="2"/>
        <v>0</v>
      </c>
      <c r="G57" s="66">
        <f>IF(L57="x",Tabel2[[#This Row],[Temps
 théorique]]-RECAP!$Y$6,(F57-K57)*(COUNT(C57:D57)=2))</f>
        <v>0</v>
      </c>
      <c r="H57" s="66"/>
      <c r="I57" s="66" t="str">
        <f>MOD(YEAR(Tabel2[[#This Row],[Date]]),100)&amp;"-"&amp;(MONTH(Tabel2[[#This Row],[Date]])-1)*2+(DAY(Tabel2[[#This Row],[Date]])&gt;15)</f>
        <v>22-21</v>
      </c>
      <c r="J57" s="66" t="str" cm="1">
        <f t="array" ref="J57">INDEX(RECAP!N:N,_xlfn.AGGREGATE(14,6,ROW(Tabel1[personne])/((Tabel1[personne]=Tabel2[[#This Row],[Personne]])*(Tabel1[début]&lt;=Tabel2[[#This Row],[Date]])),1))</f>
        <v>19h/semaine</v>
      </c>
      <c r="K57" s="66">
        <f>VLOOKUP(J57,RECAP!$T$4:$V$7,3,0)</f>
        <v>0.15833333333333333</v>
      </c>
      <c r="L57" s="67" t="str">
        <f>IF(WORKDAY.INTL(Tabel2[[#This Row],[Date]]-1,1,"0000000",TBL_Féries[])&lt;&gt;Tabel2[[#This Row],[Date]],"X","")</f>
        <v/>
      </c>
      <c r="M57" s="34"/>
      <c r="N57" s="34"/>
      <c r="O57" s="34"/>
      <c r="W57" s="10"/>
    </row>
    <row r="58" spans="1:23" ht="21" x14ac:dyDescent="0.25">
      <c r="A58" s="63" t="s">
        <v>18</v>
      </c>
      <c r="B58" s="64">
        <f t="shared" si="1"/>
        <v>43421</v>
      </c>
      <c r="C58" s="37"/>
      <c r="E58" s="44"/>
      <c r="F58" s="66">
        <f t="shared" si="2"/>
        <v>0</v>
      </c>
      <c r="G58" s="66">
        <f>IF(L58="x",Tabel2[[#This Row],[Temps
 théorique]]-RECAP!$Y$6,(F58-K58)*(COUNT(C58:D58)=2))</f>
        <v>0</v>
      </c>
      <c r="H58" s="66"/>
      <c r="I58" s="66" t="str">
        <f>MOD(YEAR(Tabel2[[#This Row],[Date]]),100)&amp;"-"&amp;(MONTH(Tabel2[[#This Row],[Date]])-1)*2+(DAY(Tabel2[[#This Row],[Date]])&gt;15)</f>
        <v>22-21</v>
      </c>
      <c r="J58" s="66" t="str" cm="1">
        <f t="array" ref="J58">INDEX(RECAP!N:N,_xlfn.AGGREGATE(14,6,ROW(Tabel1[personne])/((Tabel1[personne]=Tabel2[[#This Row],[Personne]])*(Tabel1[début]&lt;=Tabel2[[#This Row],[Date]])),1))</f>
        <v>19h/semaine</v>
      </c>
      <c r="K58" s="66">
        <f>VLOOKUP(J58,RECAP!$T$4:$V$7,3,0)</f>
        <v>0.15833333333333333</v>
      </c>
      <c r="L58" s="67" t="str">
        <f>IF(WORKDAY.INTL(Tabel2[[#This Row],[Date]]-1,1,"0000000",TBL_Féries[])&lt;&gt;Tabel2[[#This Row],[Date]],"X","")</f>
        <v/>
      </c>
      <c r="M58" s="34"/>
      <c r="N58" s="34"/>
      <c r="O58" s="34"/>
      <c r="W58" s="10"/>
    </row>
    <row r="59" spans="1:23" ht="21" x14ac:dyDescent="0.25">
      <c r="A59" s="63" t="s">
        <v>18</v>
      </c>
      <c r="B59" s="64">
        <f t="shared" si="1"/>
        <v>43424</v>
      </c>
      <c r="C59" s="37"/>
      <c r="E59" s="44"/>
      <c r="F59" s="66">
        <f t="shared" si="2"/>
        <v>0</v>
      </c>
      <c r="G59" s="66">
        <f>IF(L59="x",Tabel2[[#This Row],[Temps
 théorique]]-RECAP!$Y$6,(F59-K59)*(COUNT(C59:D59)=2))</f>
        <v>0</v>
      </c>
      <c r="H59" s="66"/>
      <c r="I59" s="66" t="str">
        <f>MOD(YEAR(Tabel2[[#This Row],[Date]]),100)&amp;"-"&amp;(MONTH(Tabel2[[#This Row],[Date]])-1)*2+(DAY(Tabel2[[#This Row],[Date]])&gt;15)</f>
        <v>22-21</v>
      </c>
      <c r="J59" s="66" t="str" cm="1">
        <f t="array" ref="J59">INDEX(RECAP!N:N,_xlfn.AGGREGATE(14,6,ROW(Tabel1[personne])/((Tabel1[personne]=Tabel2[[#This Row],[Personne]])*(Tabel1[début]&lt;=Tabel2[[#This Row],[Date]])),1))</f>
        <v>19h/semaine</v>
      </c>
      <c r="K59" s="66">
        <f>VLOOKUP(J59,RECAP!$T$4:$V$7,3,0)</f>
        <v>0.15833333333333333</v>
      </c>
      <c r="L59" s="67" t="str">
        <f>IF(WORKDAY.INTL(Tabel2[[#This Row],[Date]]-1,1,"0000000",TBL_Féries[])&lt;&gt;Tabel2[[#This Row],[Date]],"X","")</f>
        <v/>
      </c>
      <c r="M59" s="34"/>
      <c r="N59" s="34"/>
      <c r="O59" s="34"/>
      <c r="W59" s="10"/>
    </row>
    <row r="60" spans="1:23" ht="21" x14ac:dyDescent="0.25">
      <c r="A60" s="63" t="s">
        <v>18</v>
      </c>
      <c r="B60" s="64">
        <f t="shared" si="1"/>
        <v>43425</v>
      </c>
      <c r="C60" s="37"/>
      <c r="E60" s="44"/>
      <c r="F60" s="66">
        <f t="shared" si="2"/>
        <v>0</v>
      </c>
      <c r="G60" s="66">
        <f>IF(L60="x",Tabel2[[#This Row],[Temps
 théorique]]-RECAP!$Y$6,(F60-K60)*(COUNT(C60:D60)=2))</f>
        <v>0</v>
      </c>
      <c r="H60" s="66"/>
      <c r="I60" s="66" t="str">
        <f>MOD(YEAR(Tabel2[[#This Row],[Date]]),100)&amp;"-"&amp;(MONTH(Tabel2[[#This Row],[Date]])-1)*2+(DAY(Tabel2[[#This Row],[Date]])&gt;15)</f>
        <v>22-21</v>
      </c>
      <c r="J60" s="66" t="str" cm="1">
        <f t="array" ref="J60">INDEX(RECAP!N:N,_xlfn.AGGREGATE(14,6,ROW(Tabel1[personne])/((Tabel1[personne]=Tabel2[[#This Row],[Personne]])*(Tabel1[début]&lt;=Tabel2[[#This Row],[Date]])),1))</f>
        <v>19h/semaine</v>
      </c>
      <c r="K60" s="66">
        <f>VLOOKUP(J60,RECAP!$T$4:$V$7,3,0)</f>
        <v>0.15833333333333333</v>
      </c>
      <c r="L60" s="67" t="str">
        <f>IF(WORKDAY.INTL(Tabel2[[#This Row],[Date]]-1,1,"0000000",TBL_Féries[])&lt;&gt;Tabel2[[#This Row],[Date]],"X","")</f>
        <v/>
      </c>
      <c r="M60" s="34"/>
      <c r="N60" s="34"/>
      <c r="O60" s="34"/>
      <c r="W60" s="10"/>
    </row>
    <row r="61" spans="1:23" ht="21" x14ac:dyDescent="0.25">
      <c r="A61" s="63" t="s">
        <v>18</v>
      </c>
      <c r="B61" s="64">
        <f t="shared" si="1"/>
        <v>43426</v>
      </c>
      <c r="C61" s="37"/>
      <c r="E61" s="44"/>
      <c r="F61" s="66">
        <f t="shared" si="2"/>
        <v>0</v>
      </c>
      <c r="G61" s="66">
        <f>IF(L61="x",Tabel2[[#This Row],[Temps
 théorique]]-RECAP!$Y$6,(F61-K61)*(COUNT(C61:D61)=2))</f>
        <v>0</v>
      </c>
      <c r="H61" s="66"/>
      <c r="I61" s="66" t="str">
        <f>MOD(YEAR(Tabel2[[#This Row],[Date]]),100)&amp;"-"&amp;(MONTH(Tabel2[[#This Row],[Date]])-1)*2+(DAY(Tabel2[[#This Row],[Date]])&gt;15)</f>
        <v>22-21</v>
      </c>
      <c r="J61" s="66" t="str" cm="1">
        <f t="array" ref="J61">INDEX(RECAP!N:N,_xlfn.AGGREGATE(14,6,ROW(Tabel1[personne])/((Tabel1[personne]=Tabel2[[#This Row],[Personne]])*(Tabel1[début]&lt;=Tabel2[[#This Row],[Date]])),1))</f>
        <v>19h/semaine</v>
      </c>
      <c r="K61" s="66">
        <f>VLOOKUP(J61,RECAP!$T$4:$V$7,3,0)</f>
        <v>0.15833333333333333</v>
      </c>
      <c r="L61" s="67" t="str">
        <f>IF(WORKDAY.INTL(Tabel2[[#This Row],[Date]]-1,1,"0000000",TBL_Féries[])&lt;&gt;Tabel2[[#This Row],[Date]],"X","")</f>
        <v/>
      </c>
      <c r="M61" s="34"/>
      <c r="N61" s="34"/>
      <c r="O61" s="34"/>
      <c r="W61" s="10"/>
    </row>
    <row r="62" spans="1:23" ht="21" x14ac:dyDescent="0.25">
      <c r="A62" s="63" t="s">
        <v>18</v>
      </c>
      <c r="B62" s="64">
        <f t="shared" si="1"/>
        <v>43427</v>
      </c>
      <c r="C62" s="37"/>
      <c r="E62" s="44"/>
      <c r="F62" s="66">
        <f t="shared" si="2"/>
        <v>0</v>
      </c>
      <c r="G62" s="66">
        <f>IF(L62="x",Tabel2[[#This Row],[Temps
 théorique]]-RECAP!$Y$6,(F62-K62)*(COUNT(C62:D62)=2))</f>
        <v>0</v>
      </c>
      <c r="H62" s="66"/>
      <c r="I62" s="66" t="str">
        <f>MOD(YEAR(Tabel2[[#This Row],[Date]]),100)&amp;"-"&amp;(MONTH(Tabel2[[#This Row],[Date]])-1)*2+(DAY(Tabel2[[#This Row],[Date]])&gt;15)</f>
        <v>22-21</v>
      </c>
      <c r="J62" s="66" t="str" cm="1">
        <f t="array" ref="J62">INDEX(RECAP!N:N,_xlfn.AGGREGATE(14,6,ROW(Tabel1[personne])/((Tabel1[personne]=Tabel2[[#This Row],[Personne]])*(Tabel1[début]&lt;=Tabel2[[#This Row],[Date]])),1))</f>
        <v>19h/semaine</v>
      </c>
      <c r="K62" s="66">
        <f>VLOOKUP(J62,RECAP!$T$4:$V$7,3,0)</f>
        <v>0.15833333333333333</v>
      </c>
      <c r="L62" s="67" t="str">
        <f>IF(WORKDAY.INTL(Tabel2[[#This Row],[Date]]-1,1,"0000000",TBL_Féries[])&lt;&gt;Tabel2[[#This Row],[Date]],"X","")</f>
        <v/>
      </c>
      <c r="M62" s="34"/>
      <c r="N62" s="34"/>
      <c r="O62" s="34"/>
      <c r="W62" s="10"/>
    </row>
    <row r="63" spans="1:23" ht="21" x14ac:dyDescent="0.25">
      <c r="A63" s="63" t="s">
        <v>18</v>
      </c>
      <c r="B63" s="64">
        <f t="shared" si="1"/>
        <v>43428</v>
      </c>
      <c r="C63" s="37"/>
      <c r="E63" s="44"/>
      <c r="F63" s="66">
        <f t="shared" si="2"/>
        <v>0</v>
      </c>
      <c r="G63" s="66">
        <f>IF(L63="x",Tabel2[[#This Row],[Temps
 théorique]]-RECAP!$Y$6,(F63-K63)*(COUNT(C63:D63)=2))</f>
        <v>0</v>
      </c>
      <c r="H63" s="66"/>
      <c r="I63" s="66" t="str">
        <f>MOD(YEAR(Tabel2[[#This Row],[Date]]),100)&amp;"-"&amp;(MONTH(Tabel2[[#This Row],[Date]])-1)*2+(DAY(Tabel2[[#This Row],[Date]])&gt;15)</f>
        <v>22-21</v>
      </c>
      <c r="J63" s="66" t="str" cm="1">
        <f t="array" ref="J63">INDEX(RECAP!N:N,_xlfn.AGGREGATE(14,6,ROW(Tabel1[personne])/((Tabel1[personne]=Tabel2[[#This Row],[Personne]])*(Tabel1[début]&lt;=Tabel2[[#This Row],[Date]])),1))</f>
        <v>19h/semaine</v>
      </c>
      <c r="K63" s="66">
        <f>VLOOKUP(J63,RECAP!$T$4:$V$7,3,0)</f>
        <v>0.15833333333333333</v>
      </c>
      <c r="L63" s="67" t="str">
        <f>IF(WORKDAY.INTL(Tabel2[[#This Row],[Date]]-1,1,"0000000",TBL_Féries[])&lt;&gt;Tabel2[[#This Row],[Date]],"X","")</f>
        <v/>
      </c>
      <c r="M63" s="34"/>
      <c r="N63" s="34"/>
      <c r="O63" s="34"/>
      <c r="W63" s="10"/>
    </row>
    <row r="64" spans="1:23" ht="21" x14ac:dyDescent="0.25">
      <c r="A64" s="63" t="s">
        <v>18</v>
      </c>
      <c r="B64" s="64">
        <f t="shared" si="1"/>
        <v>43431</v>
      </c>
      <c r="C64" s="37"/>
      <c r="E64" s="44"/>
      <c r="F64" s="66">
        <f t="shared" si="2"/>
        <v>0</v>
      </c>
      <c r="G64" s="66">
        <f>IF(L64="x",Tabel2[[#This Row],[Temps
 théorique]]-RECAP!$Y$6,(F64-K64)*(COUNT(C64:D64)=2))</f>
        <v>0</v>
      </c>
      <c r="H64" s="66"/>
      <c r="I64" s="66" t="str">
        <f>MOD(YEAR(Tabel2[[#This Row],[Date]]),100)&amp;"-"&amp;(MONTH(Tabel2[[#This Row],[Date]])-1)*2+(DAY(Tabel2[[#This Row],[Date]])&gt;15)</f>
        <v>22-21</v>
      </c>
      <c r="J64" s="66" t="str" cm="1">
        <f t="array" ref="J64">INDEX(RECAP!N:N,_xlfn.AGGREGATE(14,6,ROW(Tabel1[personne])/((Tabel1[personne]=Tabel2[[#This Row],[Personne]])*(Tabel1[début]&lt;=Tabel2[[#This Row],[Date]])),1))</f>
        <v>19h/semaine</v>
      </c>
      <c r="K64" s="66">
        <f>VLOOKUP(J64,RECAP!$T$4:$V$7,3,0)</f>
        <v>0.15833333333333333</v>
      </c>
      <c r="L64" s="67" t="str">
        <f>IF(WORKDAY.INTL(Tabel2[[#This Row],[Date]]-1,1,"0000000",TBL_Féries[])&lt;&gt;Tabel2[[#This Row],[Date]],"X","")</f>
        <v/>
      </c>
      <c r="M64" s="34"/>
      <c r="N64" s="34"/>
      <c r="O64" s="34"/>
      <c r="W64" s="10"/>
    </row>
    <row r="65" spans="1:23" ht="21" x14ac:dyDescent="0.25">
      <c r="A65" s="63" t="s">
        <v>18</v>
      </c>
      <c r="B65" s="64">
        <f t="shared" si="1"/>
        <v>43432</v>
      </c>
      <c r="C65" s="37"/>
      <c r="E65" s="44"/>
      <c r="F65" s="66">
        <f t="shared" si="2"/>
        <v>0</v>
      </c>
      <c r="G65" s="66">
        <f>IF(L65="x",Tabel2[[#This Row],[Temps
 théorique]]-RECAP!$Y$6,(F65-K65)*(COUNT(C65:D65)=2))</f>
        <v>0</v>
      </c>
      <c r="H65" s="66"/>
      <c r="I65" s="66" t="str">
        <f>MOD(YEAR(Tabel2[[#This Row],[Date]]),100)&amp;"-"&amp;(MONTH(Tabel2[[#This Row],[Date]])-1)*2+(DAY(Tabel2[[#This Row],[Date]])&gt;15)</f>
        <v>22-21</v>
      </c>
      <c r="J65" s="66" t="str" cm="1">
        <f t="array" ref="J65">INDEX(RECAP!N:N,_xlfn.AGGREGATE(14,6,ROW(Tabel1[personne])/((Tabel1[personne]=Tabel2[[#This Row],[Personne]])*(Tabel1[début]&lt;=Tabel2[[#This Row],[Date]])),1))</f>
        <v>19h/semaine</v>
      </c>
      <c r="K65" s="66">
        <f>VLOOKUP(J65,RECAP!$T$4:$V$7,3,0)</f>
        <v>0.15833333333333333</v>
      </c>
      <c r="L65" s="67" t="str">
        <f>IF(WORKDAY.INTL(Tabel2[[#This Row],[Date]]-1,1,"0000000",TBL_Féries[])&lt;&gt;Tabel2[[#This Row],[Date]],"X","")</f>
        <v/>
      </c>
      <c r="M65" s="34"/>
      <c r="N65" s="34"/>
      <c r="O65" s="34"/>
      <c r="W65" s="10"/>
    </row>
    <row r="66" spans="1:23" ht="21" x14ac:dyDescent="0.25">
      <c r="A66" s="63" t="s">
        <v>18</v>
      </c>
      <c r="B66" s="64">
        <f t="shared" si="1"/>
        <v>43433</v>
      </c>
      <c r="C66" s="37"/>
      <c r="E66" s="44"/>
      <c r="F66" s="66">
        <f t="shared" ref="F66:F97" si="3">IF(COUNT(C66:D66)&lt;&gt;2,0,D66-C66-(D66-C66&gt;=pause)*IF(E66&lt;&gt;"",E66,pause))</f>
        <v>0</v>
      </c>
      <c r="G66" s="66">
        <f>IF(L66="x",Tabel2[[#This Row],[Temps
 théorique]]-RECAP!$Y$6,(F66-K66)*(COUNT(C66:D66)=2))</f>
        <v>0</v>
      </c>
      <c r="H66" s="66"/>
      <c r="I66" s="66" t="str">
        <f>MOD(YEAR(Tabel2[[#This Row],[Date]]),100)&amp;"-"&amp;(MONTH(Tabel2[[#This Row],[Date]])-1)*2+(DAY(Tabel2[[#This Row],[Date]])&gt;15)</f>
        <v>22-21</v>
      </c>
      <c r="J66" s="66" t="str" cm="1">
        <f t="array" ref="J66">INDEX(RECAP!N:N,_xlfn.AGGREGATE(14,6,ROW(Tabel1[personne])/((Tabel1[personne]=Tabel2[[#This Row],[Personne]])*(Tabel1[début]&lt;=Tabel2[[#This Row],[Date]])),1))</f>
        <v>19h/semaine</v>
      </c>
      <c r="K66" s="66">
        <f>VLOOKUP(J66,RECAP!$T$4:$V$7,3,0)</f>
        <v>0.15833333333333333</v>
      </c>
      <c r="L66" s="67" t="str">
        <f>IF(WORKDAY.INTL(Tabel2[[#This Row],[Date]]-1,1,"0000000",TBL_Féries[])&lt;&gt;Tabel2[[#This Row],[Date]],"X","")</f>
        <v/>
      </c>
      <c r="M66" s="34"/>
      <c r="N66" s="34"/>
      <c r="O66" s="34"/>
      <c r="W66" s="10"/>
    </row>
    <row r="67" spans="1:23" ht="21" x14ac:dyDescent="0.25">
      <c r="A67" s="63" t="s">
        <v>19</v>
      </c>
      <c r="B67" s="64">
        <v>43343</v>
      </c>
      <c r="C67" s="37">
        <v>0.35416666666666669</v>
      </c>
      <c r="D67" s="37">
        <v>0.68888888888888899</v>
      </c>
      <c r="E67" s="44"/>
      <c r="F67" s="66">
        <f t="shared" si="3"/>
        <v>0.31388888888888899</v>
      </c>
      <c r="G67" s="66">
        <f>IF(L67="x",Tabel2[[#This Row],[Temps
 théorique]]-RECAP!$Y$6,(F67-K67)*(COUNT(C67:D67)=2))</f>
        <v>6.1888888888888993E-2</v>
      </c>
      <c r="H67" s="66"/>
      <c r="I67" s="66" t="str">
        <f>MOD(YEAR(Tabel2[[#This Row],[Date]]),100)&amp;"-"&amp;(MONTH(Tabel2[[#This Row],[Date]])-1)*2+(DAY(Tabel2[[#This Row],[Date]])&gt;15)</f>
        <v>22-16</v>
      </c>
      <c r="J67" s="66" t="str" cm="1">
        <f t="array" ref="J67">INDEX(RECAP!N:N,_xlfn.AGGREGATE(14,6,ROW(Tabel1[personne])/((Tabel1[personne]=Tabel2[[#This Row],[Personne]])*(Tabel1[début]&lt;=Tabel2[[#This Row],[Date]])),1))</f>
        <v>30,24h/semaine</v>
      </c>
      <c r="K67" s="66">
        <f>VLOOKUP(J67,RECAP!$T$4:$V$7,3,0)</f>
        <v>0.252</v>
      </c>
      <c r="L67" s="67" t="str">
        <f>IF(WORKDAY.INTL(Tabel2[[#This Row],[Date]]-1,1,"0000000",TBL_Féries[])&lt;&gt;Tabel2[[#This Row],[Date]],"X","")</f>
        <v/>
      </c>
      <c r="M67" s="34"/>
      <c r="N67" s="34"/>
      <c r="O67" s="34"/>
    </row>
    <row r="68" spans="1:23" ht="21" x14ac:dyDescent="0.25">
      <c r="A68" s="63" t="s">
        <v>19</v>
      </c>
      <c r="B68" s="64">
        <f>B67+CHOOSE(WEEKDAY(B67,2),1,1,1,1,3,2,1)</f>
        <v>43344</v>
      </c>
      <c r="C68" s="37">
        <v>0.35416666666666669</v>
      </c>
      <c r="D68" s="37">
        <v>0.70277777777777783</v>
      </c>
      <c r="E68" s="44"/>
      <c r="F68" s="66">
        <f t="shared" si="3"/>
        <v>0.32777777777777783</v>
      </c>
      <c r="G68" s="66">
        <f>IF(L68="x",Tabel2[[#This Row],[Temps
 théorique]]-RECAP!$Y$6,(F68-K68)*(COUNT(C68:D68)=2))</f>
        <v>7.5777777777777833E-2</v>
      </c>
      <c r="H68" s="66"/>
      <c r="I68" s="66" t="str">
        <f>MOD(YEAR(Tabel2[[#This Row],[Date]]),100)&amp;"-"&amp;(MONTH(Tabel2[[#This Row],[Date]])-1)*2+(DAY(Tabel2[[#This Row],[Date]])&gt;15)</f>
        <v>22-16</v>
      </c>
      <c r="J68" s="66" t="str" cm="1">
        <f t="array" ref="J68">INDEX(RECAP!N:N,_xlfn.AGGREGATE(14,6,ROW(Tabel1[personne])/((Tabel1[personne]=Tabel2[[#This Row],[Personne]])*(Tabel1[début]&lt;=Tabel2[[#This Row],[Date]])),1))</f>
        <v>30,24h/semaine</v>
      </c>
      <c r="K68" s="66">
        <f>VLOOKUP(J68,RECAP!$T$4:$V$7,3,0)</f>
        <v>0.252</v>
      </c>
      <c r="L68" s="67" t="str">
        <f>IF(WORKDAY.INTL(Tabel2[[#This Row],[Date]]-1,1,"0000000",TBL_Féries[])&lt;&gt;Tabel2[[#This Row],[Date]],"X","")</f>
        <v/>
      </c>
      <c r="M68" s="34"/>
      <c r="N68" s="34"/>
      <c r="O68" s="34"/>
    </row>
    <row r="69" spans="1:23" ht="21" x14ac:dyDescent="0.25">
      <c r="A69" s="63" t="s">
        <v>19</v>
      </c>
      <c r="B69" s="64">
        <f t="shared" ref="B69:B131" si="4">B68+CHOOSE(WEEKDAY(B68,2),1,1,1,1,3,2,1)</f>
        <v>43347</v>
      </c>
      <c r="C69" s="37">
        <v>0.35416666666666669</v>
      </c>
      <c r="D69" s="37">
        <v>0.68958333333333333</v>
      </c>
      <c r="E69" s="44"/>
      <c r="F69" s="66">
        <f t="shared" si="3"/>
        <v>0.31458333333333333</v>
      </c>
      <c r="G69" s="66">
        <f>IF(L69="x",Tabel2[[#This Row],[Temps
 théorique]]-RECAP!$Y$6,(F69-K69)*(COUNT(C69:D69)=2))</f>
        <v>6.2583333333333324E-2</v>
      </c>
      <c r="H69" s="66"/>
      <c r="I69" s="66" t="str">
        <f>MOD(YEAR(Tabel2[[#This Row],[Date]]),100)&amp;"-"&amp;(MONTH(Tabel2[[#This Row],[Date]])-1)*2+(DAY(Tabel2[[#This Row],[Date]])&gt;15)</f>
        <v>22-16</v>
      </c>
      <c r="J69" s="66" t="str" cm="1">
        <f t="array" ref="J69">INDEX(RECAP!N:N,_xlfn.AGGREGATE(14,6,ROW(Tabel1[personne])/((Tabel1[personne]=Tabel2[[#This Row],[Personne]])*(Tabel1[début]&lt;=Tabel2[[#This Row],[Date]])),1))</f>
        <v>30,24h/semaine</v>
      </c>
      <c r="K69" s="66">
        <f>VLOOKUP(J69,RECAP!$T$4:$V$7,3,0)</f>
        <v>0.252</v>
      </c>
      <c r="L69" s="67" t="str">
        <f>IF(WORKDAY.INTL(Tabel2[[#This Row],[Date]]-1,1,"0000000",TBL_Féries[])&lt;&gt;Tabel2[[#This Row],[Date]],"X","")</f>
        <v/>
      </c>
      <c r="M69" s="34"/>
      <c r="N69" s="34"/>
      <c r="O69" s="34"/>
    </row>
    <row r="70" spans="1:23" ht="21" x14ac:dyDescent="0.25">
      <c r="A70" s="63" t="s">
        <v>19</v>
      </c>
      <c r="B70" s="64">
        <f t="shared" si="4"/>
        <v>43348</v>
      </c>
      <c r="C70" s="37">
        <v>0.35416666666666669</v>
      </c>
      <c r="D70" s="37">
        <v>0.6875</v>
      </c>
      <c r="E70" s="44"/>
      <c r="F70" s="66">
        <f t="shared" si="3"/>
        <v>0.3125</v>
      </c>
      <c r="G70" s="66">
        <f>IF(L70="x",Tabel2[[#This Row],[Temps
 théorique]]-RECAP!$Y$6,(F70-K70)*(COUNT(C70:D70)=2))</f>
        <v>6.0499999999999998E-2</v>
      </c>
      <c r="H70" s="66"/>
      <c r="I70" s="66" t="str">
        <f>MOD(YEAR(Tabel2[[#This Row],[Date]]),100)&amp;"-"&amp;(MONTH(Tabel2[[#This Row],[Date]])-1)*2+(DAY(Tabel2[[#This Row],[Date]])&gt;15)</f>
        <v>22-16</v>
      </c>
      <c r="J70" s="66" t="str" cm="1">
        <f t="array" ref="J70">INDEX(RECAP!N:N,_xlfn.AGGREGATE(14,6,ROW(Tabel1[personne])/((Tabel1[personne]=Tabel2[[#This Row],[Personne]])*(Tabel1[début]&lt;=Tabel2[[#This Row],[Date]])),1))</f>
        <v>30,24h/semaine</v>
      </c>
      <c r="K70" s="66">
        <f>VLOOKUP(J70,RECAP!$T$4:$V$7,3,0)</f>
        <v>0.252</v>
      </c>
      <c r="L70" s="67" t="str">
        <f>IF(WORKDAY.INTL(Tabel2[[#This Row],[Date]]-1,1,"0000000",TBL_Féries[])&lt;&gt;Tabel2[[#This Row],[Date]],"X","")</f>
        <v/>
      </c>
      <c r="M70" s="34"/>
      <c r="N70" s="34"/>
      <c r="O70" s="34"/>
    </row>
    <row r="71" spans="1:23" ht="21" x14ac:dyDescent="0.25">
      <c r="A71" s="63" t="s">
        <v>19</v>
      </c>
      <c r="B71" s="64">
        <f t="shared" si="4"/>
        <v>43349</v>
      </c>
      <c r="C71" s="37"/>
      <c r="D71" s="37"/>
      <c r="E71" s="44"/>
      <c r="F71" s="66">
        <f t="shared" si="3"/>
        <v>0</v>
      </c>
      <c r="G71" s="66">
        <f>IF(L71="x",Tabel2[[#This Row],[Temps
 théorique]]-RECAP!$Y$6,(F71-K71)*(COUNT(C71:D71)=2))</f>
        <v>0</v>
      </c>
      <c r="H71" s="66"/>
      <c r="I71" s="66" t="str">
        <f>MOD(YEAR(Tabel2[[#This Row],[Date]]),100)&amp;"-"&amp;(MONTH(Tabel2[[#This Row],[Date]])-1)*2+(DAY(Tabel2[[#This Row],[Date]])&gt;15)</f>
        <v>22-16</v>
      </c>
      <c r="J71" s="66" t="str" cm="1">
        <f t="array" ref="J71">INDEX(RECAP!N:N,_xlfn.AGGREGATE(14,6,ROW(Tabel1[personne])/((Tabel1[personne]=Tabel2[[#This Row],[Personne]])*(Tabel1[début]&lt;=Tabel2[[#This Row],[Date]])),1))</f>
        <v>30,24h/semaine</v>
      </c>
      <c r="K71" s="66">
        <f>VLOOKUP(J71,RECAP!$T$4:$V$7,3,0)</f>
        <v>0.252</v>
      </c>
      <c r="L71" s="67" t="str">
        <f>IF(WORKDAY.INTL(Tabel2[[#This Row],[Date]]-1,1,"0000000",TBL_Féries[])&lt;&gt;Tabel2[[#This Row],[Date]],"X","")</f>
        <v/>
      </c>
      <c r="M71" s="34"/>
      <c r="N71" s="34"/>
      <c r="O71" s="34"/>
    </row>
    <row r="72" spans="1:23" ht="21" x14ac:dyDescent="0.25">
      <c r="A72" s="63" t="s">
        <v>19</v>
      </c>
      <c r="B72" s="64">
        <f t="shared" si="4"/>
        <v>43350</v>
      </c>
      <c r="C72" s="37">
        <v>0.35416666666666669</v>
      </c>
      <c r="D72" s="37">
        <v>0.6875</v>
      </c>
      <c r="E72" s="44"/>
      <c r="F72" s="66">
        <f t="shared" si="3"/>
        <v>0.3125</v>
      </c>
      <c r="G72" s="66">
        <f>IF(L72="x",Tabel2[[#This Row],[Temps
 théorique]]-RECAP!$Y$6,(F72-K72)*(COUNT(C72:D72)=2))</f>
        <v>6.0499999999999998E-2</v>
      </c>
      <c r="H72" s="66"/>
      <c r="I72" s="66" t="str">
        <f>MOD(YEAR(Tabel2[[#This Row],[Date]]),100)&amp;"-"&amp;(MONTH(Tabel2[[#This Row],[Date]])-1)*2+(DAY(Tabel2[[#This Row],[Date]])&gt;15)</f>
        <v>22-16</v>
      </c>
      <c r="J72" s="66" t="str" cm="1">
        <f t="array" ref="J72">INDEX(RECAP!N:N,_xlfn.AGGREGATE(14,6,ROW(Tabel1[personne])/((Tabel1[personne]=Tabel2[[#This Row],[Personne]])*(Tabel1[début]&lt;=Tabel2[[#This Row],[Date]])),1))</f>
        <v>30,24h/semaine</v>
      </c>
      <c r="K72" s="66">
        <f>VLOOKUP(J72,RECAP!$T$4:$V$7,3,0)</f>
        <v>0.252</v>
      </c>
      <c r="L72" s="67" t="str">
        <f>IF(WORKDAY.INTL(Tabel2[[#This Row],[Date]]-1,1,"0000000",TBL_Féries[])&lt;&gt;Tabel2[[#This Row],[Date]],"X","")</f>
        <v/>
      </c>
      <c r="M72" s="34"/>
      <c r="N72" s="34"/>
      <c r="O72" s="34"/>
    </row>
    <row r="73" spans="1:23" ht="21" x14ac:dyDescent="0.25">
      <c r="A73" s="63" t="s">
        <v>19</v>
      </c>
      <c r="B73" s="64">
        <f t="shared" si="4"/>
        <v>43351</v>
      </c>
      <c r="C73" s="37">
        <v>0.35416666666666669</v>
      </c>
      <c r="D73" s="37">
        <v>0.6875</v>
      </c>
      <c r="E73" s="44"/>
      <c r="F73" s="66">
        <f t="shared" si="3"/>
        <v>0.3125</v>
      </c>
      <c r="G73" s="66">
        <f>IF(L73="x",Tabel2[[#This Row],[Temps
 théorique]]-RECAP!$Y$6,(F73-K73)*(COUNT(C73:D73)=2))</f>
        <v>6.0499999999999998E-2</v>
      </c>
      <c r="H73" s="66"/>
      <c r="I73" s="66" t="str">
        <f>MOD(YEAR(Tabel2[[#This Row],[Date]]),100)&amp;"-"&amp;(MONTH(Tabel2[[#This Row],[Date]])-1)*2+(DAY(Tabel2[[#This Row],[Date]])&gt;15)</f>
        <v>22-16</v>
      </c>
      <c r="J73" s="66" t="str" cm="1">
        <f t="array" ref="J73">INDEX(RECAP!N:N,_xlfn.AGGREGATE(14,6,ROW(Tabel1[personne])/((Tabel1[personne]=Tabel2[[#This Row],[Personne]])*(Tabel1[début]&lt;=Tabel2[[#This Row],[Date]])),1))</f>
        <v>30,24h/semaine</v>
      </c>
      <c r="K73" s="66">
        <f>VLOOKUP(J73,RECAP!$T$4:$V$7,3,0)</f>
        <v>0.252</v>
      </c>
      <c r="L73" s="67" t="str">
        <f>IF(WORKDAY.INTL(Tabel2[[#This Row],[Date]]-1,1,"0000000",TBL_Féries[])&lt;&gt;Tabel2[[#This Row],[Date]],"X","")</f>
        <v/>
      </c>
      <c r="M73" s="34"/>
      <c r="N73" s="34"/>
      <c r="O73" s="34"/>
    </row>
    <row r="74" spans="1:23" ht="21" x14ac:dyDescent="0.25">
      <c r="A74" s="63" t="s">
        <v>19</v>
      </c>
      <c r="B74" s="64">
        <f t="shared" si="4"/>
        <v>43354</v>
      </c>
      <c r="C74" s="37">
        <v>0.35486111111111113</v>
      </c>
      <c r="D74" s="37">
        <v>0.68819444444444444</v>
      </c>
      <c r="E74" s="44"/>
      <c r="F74" s="66">
        <f t="shared" si="3"/>
        <v>0.3125</v>
      </c>
      <c r="G74" s="66">
        <f>IF(L74="x",Tabel2[[#This Row],[Temps
 théorique]]-RECAP!$Y$6,(F74-K74)*(COUNT(C74:D74)=2))</f>
        <v>6.0499999999999998E-2</v>
      </c>
      <c r="H74" s="66"/>
      <c r="I74" s="66" t="str">
        <f>MOD(YEAR(Tabel2[[#This Row],[Date]]),100)&amp;"-"&amp;(MONTH(Tabel2[[#This Row],[Date]])-1)*2+(DAY(Tabel2[[#This Row],[Date]])&gt;15)</f>
        <v>22-16</v>
      </c>
      <c r="J74" s="66" t="str" cm="1">
        <f t="array" ref="J74">INDEX(RECAP!N:N,_xlfn.AGGREGATE(14,6,ROW(Tabel1[personne])/((Tabel1[personne]=Tabel2[[#This Row],[Personne]])*(Tabel1[début]&lt;=Tabel2[[#This Row],[Date]])),1))</f>
        <v>30,24h/semaine</v>
      </c>
      <c r="K74" s="66">
        <f>VLOOKUP(J74,RECAP!$T$4:$V$7,3,0)</f>
        <v>0.252</v>
      </c>
      <c r="L74" s="67" t="str">
        <f>IF(WORKDAY.INTL(Tabel2[[#This Row],[Date]]-1,1,"0000000",TBL_Féries[])&lt;&gt;Tabel2[[#This Row],[Date]],"X","")</f>
        <v/>
      </c>
      <c r="M74" s="34"/>
      <c r="N74" s="34"/>
      <c r="O74" s="34"/>
    </row>
    <row r="75" spans="1:23" ht="21" x14ac:dyDescent="0.25">
      <c r="A75" s="63" t="s">
        <v>19</v>
      </c>
      <c r="B75" s="64">
        <f t="shared" si="4"/>
        <v>43355</v>
      </c>
      <c r="C75" s="37">
        <v>0.35416666666666669</v>
      </c>
      <c r="D75" s="37">
        <v>0.69097222222222221</v>
      </c>
      <c r="E75" s="44"/>
      <c r="F75" s="66">
        <f t="shared" si="3"/>
        <v>0.31597222222222221</v>
      </c>
      <c r="G75" s="66">
        <f>IF(L75="x",Tabel2[[#This Row],[Temps
 théorique]]-RECAP!$Y$6,(F75-K75)*(COUNT(C75:D75)=2))</f>
        <v>6.3972222222222208E-2</v>
      </c>
      <c r="H75" s="66"/>
      <c r="I75" s="66" t="str">
        <f>MOD(YEAR(Tabel2[[#This Row],[Date]]),100)&amp;"-"&amp;(MONTH(Tabel2[[#This Row],[Date]])-1)*2+(DAY(Tabel2[[#This Row],[Date]])&gt;15)</f>
        <v>22-16</v>
      </c>
      <c r="J75" s="66" t="str" cm="1">
        <f t="array" ref="J75">INDEX(RECAP!N:N,_xlfn.AGGREGATE(14,6,ROW(Tabel1[personne])/((Tabel1[personne]=Tabel2[[#This Row],[Personne]])*(Tabel1[début]&lt;=Tabel2[[#This Row],[Date]])),1))</f>
        <v>30,24h/semaine</v>
      </c>
      <c r="K75" s="66">
        <f>VLOOKUP(J75,RECAP!$T$4:$V$7,3,0)</f>
        <v>0.252</v>
      </c>
      <c r="L75" s="67" t="str">
        <f>IF(WORKDAY.INTL(Tabel2[[#This Row],[Date]]-1,1,"0000000",TBL_Féries[])&lt;&gt;Tabel2[[#This Row],[Date]],"X","")</f>
        <v/>
      </c>
      <c r="M75" s="34"/>
      <c r="N75" s="34"/>
      <c r="O75" s="34"/>
    </row>
    <row r="76" spans="1:23" ht="21" x14ac:dyDescent="0.25">
      <c r="A76" s="63" t="s">
        <v>19</v>
      </c>
      <c r="B76" s="64">
        <f t="shared" si="4"/>
        <v>43356</v>
      </c>
      <c r="C76" s="37"/>
      <c r="D76" s="37"/>
      <c r="E76" s="44"/>
      <c r="F76" s="66">
        <f t="shared" si="3"/>
        <v>0</v>
      </c>
      <c r="G76" s="66">
        <f>IF(L76="x",Tabel2[[#This Row],[Temps
 théorique]]-RECAP!$Y$6,(F76-K76)*(COUNT(C76:D76)=2))</f>
        <v>0</v>
      </c>
      <c r="H76" s="66"/>
      <c r="I76" s="66" t="str">
        <f>MOD(YEAR(Tabel2[[#This Row],[Date]]),100)&amp;"-"&amp;(MONTH(Tabel2[[#This Row],[Date]])-1)*2+(DAY(Tabel2[[#This Row],[Date]])&gt;15)</f>
        <v>22-16</v>
      </c>
      <c r="J76" s="66" t="str" cm="1">
        <f t="array" ref="J76">INDEX(RECAP!N:N,_xlfn.AGGREGATE(14,6,ROW(Tabel1[personne])/((Tabel1[personne]=Tabel2[[#This Row],[Personne]])*(Tabel1[début]&lt;=Tabel2[[#This Row],[Date]])),1))</f>
        <v>30,24h/semaine</v>
      </c>
      <c r="K76" s="66">
        <f>VLOOKUP(J76,RECAP!$T$4:$V$7,3,0)</f>
        <v>0.252</v>
      </c>
      <c r="L76" s="67" t="str">
        <f>IF(WORKDAY.INTL(Tabel2[[#This Row],[Date]]-1,1,"0000000",TBL_Féries[])&lt;&gt;Tabel2[[#This Row],[Date]],"X","")</f>
        <v/>
      </c>
      <c r="M76" s="34"/>
      <c r="N76" s="34"/>
      <c r="O76" s="34"/>
    </row>
    <row r="77" spans="1:23" ht="21" x14ac:dyDescent="0.25">
      <c r="A77" s="63" t="s">
        <v>19</v>
      </c>
      <c r="B77" s="64">
        <f t="shared" si="4"/>
        <v>43357</v>
      </c>
      <c r="C77" s="37">
        <v>0.35555555555555557</v>
      </c>
      <c r="D77" s="37">
        <v>0.68958333333333333</v>
      </c>
      <c r="E77" s="44"/>
      <c r="F77" s="66">
        <f t="shared" si="3"/>
        <v>0.31319444444444444</v>
      </c>
      <c r="G77" s="66">
        <f>IF(L77="x",Tabel2[[#This Row],[Temps
 théorique]]-RECAP!$Y$6,(F77-K77)*(COUNT(C77:D77)=2))</f>
        <v>6.119444444444444E-2</v>
      </c>
      <c r="H77" s="66"/>
      <c r="I77" s="66" t="str">
        <f>MOD(YEAR(Tabel2[[#This Row],[Date]]),100)&amp;"-"&amp;(MONTH(Tabel2[[#This Row],[Date]])-1)*2+(DAY(Tabel2[[#This Row],[Date]])&gt;15)</f>
        <v>22-16</v>
      </c>
      <c r="J77" s="66" t="str" cm="1">
        <f t="array" ref="J77">INDEX(RECAP!N:N,_xlfn.AGGREGATE(14,6,ROW(Tabel1[personne])/((Tabel1[personne]=Tabel2[[#This Row],[Personne]])*(Tabel1[début]&lt;=Tabel2[[#This Row],[Date]])),1))</f>
        <v>30,24h/semaine</v>
      </c>
      <c r="K77" s="66">
        <f>VLOOKUP(J77,RECAP!$T$4:$V$7,3,0)</f>
        <v>0.252</v>
      </c>
      <c r="L77" s="67" t="str">
        <f>IF(WORKDAY.INTL(Tabel2[[#This Row],[Date]]-1,1,"0000000",TBL_Féries[])&lt;&gt;Tabel2[[#This Row],[Date]],"X","")</f>
        <v/>
      </c>
      <c r="M77" s="34"/>
      <c r="N77" s="34"/>
      <c r="O77" s="34"/>
    </row>
    <row r="78" spans="1:23" ht="21" x14ac:dyDescent="0.25">
      <c r="A78" s="63" t="s">
        <v>19</v>
      </c>
      <c r="B78" s="64">
        <f t="shared" si="4"/>
        <v>43358</v>
      </c>
      <c r="C78" s="37">
        <v>0.35416666666666669</v>
      </c>
      <c r="D78" s="37">
        <v>0.7090277777777777</v>
      </c>
      <c r="E78" s="44"/>
      <c r="F78" s="66">
        <f t="shared" si="3"/>
        <v>0.3340277777777777</v>
      </c>
      <c r="G78" s="66">
        <f>IF(L78="x",Tabel2[[#This Row],[Temps
 théorique]]-RECAP!$Y$6,(F78-K78)*(COUNT(C78:D78)=2))</f>
        <v>8.20277777777777E-2</v>
      </c>
      <c r="H78" s="66"/>
      <c r="I78" s="66" t="str">
        <f>MOD(YEAR(Tabel2[[#This Row],[Date]]),100)&amp;"-"&amp;(MONTH(Tabel2[[#This Row],[Date]])-1)*2+(DAY(Tabel2[[#This Row],[Date]])&gt;15)</f>
        <v>22-17</v>
      </c>
      <c r="J78" s="66" t="str" cm="1">
        <f t="array" ref="J78">INDEX(RECAP!N:N,_xlfn.AGGREGATE(14,6,ROW(Tabel1[personne])/((Tabel1[personne]=Tabel2[[#This Row],[Personne]])*(Tabel1[début]&lt;=Tabel2[[#This Row],[Date]])),1))</f>
        <v>30,24h/semaine</v>
      </c>
      <c r="K78" s="66">
        <f>VLOOKUP(J78,RECAP!$T$4:$V$7,3,0)</f>
        <v>0.252</v>
      </c>
      <c r="L78" s="67" t="str">
        <f>IF(WORKDAY.INTL(Tabel2[[#This Row],[Date]]-1,1,"0000000",TBL_Féries[])&lt;&gt;Tabel2[[#This Row],[Date]],"X","")</f>
        <v/>
      </c>
      <c r="M78" s="34"/>
      <c r="N78" s="34"/>
      <c r="O78" s="34"/>
    </row>
    <row r="79" spans="1:23" ht="21" x14ac:dyDescent="0.25">
      <c r="A79" s="63" t="s">
        <v>19</v>
      </c>
      <c r="B79" s="64">
        <f t="shared" si="4"/>
        <v>43361</v>
      </c>
      <c r="C79" s="37">
        <v>0.3659722222222222</v>
      </c>
      <c r="D79" s="37">
        <v>0.69861111111111107</v>
      </c>
      <c r="E79" s="44"/>
      <c r="F79" s="66">
        <f t="shared" si="3"/>
        <v>0.31180555555555556</v>
      </c>
      <c r="G79" s="66">
        <f>IF(L79="x",Tabel2[[#This Row],[Temps
 théorique]]-RECAP!$Y$6,(F79-K79)*(COUNT(C79:D79)=2))</f>
        <v>5.9805555555555556E-2</v>
      </c>
      <c r="H79" s="66"/>
      <c r="I79" s="66" t="str">
        <f>MOD(YEAR(Tabel2[[#This Row],[Date]]),100)&amp;"-"&amp;(MONTH(Tabel2[[#This Row],[Date]])-1)*2+(DAY(Tabel2[[#This Row],[Date]])&gt;15)</f>
        <v>22-17</v>
      </c>
      <c r="J79" s="66" t="str" cm="1">
        <f t="array" ref="J79">INDEX(RECAP!N:N,_xlfn.AGGREGATE(14,6,ROW(Tabel1[personne])/((Tabel1[personne]=Tabel2[[#This Row],[Personne]])*(Tabel1[début]&lt;=Tabel2[[#This Row],[Date]])),1))</f>
        <v>30,24h/semaine</v>
      </c>
      <c r="K79" s="66">
        <f>VLOOKUP(J79,RECAP!$T$4:$V$7,3,0)</f>
        <v>0.252</v>
      </c>
      <c r="L79" s="67" t="str">
        <f>IF(WORKDAY.INTL(Tabel2[[#This Row],[Date]]-1,1,"0000000",TBL_Féries[])&lt;&gt;Tabel2[[#This Row],[Date]],"X","")</f>
        <v/>
      </c>
      <c r="M79" s="34"/>
      <c r="N79" s="34"/>
      <c r="O79" s="34"/>
    </row>
    <row r="80" spans="1:23" ht="21" x14ac:dyDescent="0.25">
      <c r="A80" s="63" t="s">
        <v>19</v>
      </c>
      <c r="B80" s="64">
        <f t="shared" si="4"/>
        <v>43362</v>
      </c>
      <c r="C80" s="37">
        <v>0.35416666666666669</v>
      </c>
      <c r="D80" s="37">
        <v>0.68888888888888899</v>
      </c>
      <c r="E80" s="44"/>
      <c r="F80" s="66">
        <f t="shared" si="3"/>
        <v>0.31388888888888899</v>
      </c>
      <c r="G80" s="66">
        <f>IF(L80="x",Tabel2[[#This Row],[Temps
 théorique]]-RECAP!$Y$6,(F80-K80)*(COUNT(C80:D80)=2))</f>
        <v>6.1888888888888993E-2</v>
      </c>
      <c r="H80" s="66"/>
      <c r="I80" s="66" t="str">
        <f>MOD(YEAR(Tabel2[[#This Row],[Date]]),100)&amp;"-"&amp;(MONTH(Tabel2[[#This Row],[Date]])-1)*2+(DAY(Tabel2[[#This Row],[Date]])&gt;15)</f>
        <v>22-17</v>
      </c>
      <c r="J80" s="66" t="str" cm="1">
        <f t="array" ref="J80">INDEX(RECAP!N:N,_xlfn.AGGREGATE(14,6,ROW(Tabel1[personne])/((Tabel1[personne]=Tabel2[[#This Row],[Personne]])*(Tabel1[début]&lt;=Tabel2[[#This Row],[Date]])),1))</f>
        <v>30,24h/semaine</v>
      </c>
      <c r="K80" s="66">
        <f>VLOOKUP(J80,RECAP!$T$4:$V$7,3,0)</f>
        <v>0.252</v>
      </c>
      <c r="L80" s="67" t="str">
        <f>IF(WORKDAY.INTL(Tabel2[[#This Row],[Date]]-1,1,"0000000",TBL_Féries[])&lt;&gt;Tabel2[[#This Row],[Date]],"X","")</f>
        <v/>
      </c>
      <c r="M80" s="34"/>
      <c r="N80" s="34"/>
      <c r="O80" s="34"/>
    </row>
    <row r="81" spans="1:15" ht="21" x14ac:dyDescent="0.25">
      <c r="A81" s="63" t="s">
        <v>19</v>
      </c>
      <c r="B81" s="64">
        <f t="shared" si="4"/>
        <v>43363</v>
      </c>
      <c r="C81" s="37"/>
      <c r="D81" s="37"/>
      <c r="E81" s="44"/>
      <c r="F81" s="66">
        <f t="shared" si="3"/>
        <v>0</v>
      </c>
      <c r="G81" s="66">
        <f>IF(L81="x",Tabel2[[#This Row],[Temps
 théorique]]-RECAP!$Y$6,(F81-K81)*(COUNT(C81:D81)=2))</f>
        <v>0</v>
      </c>
      <c r="H81" s="66"/>
      <c r="I81" s="66" t="str">
        <f>MOD(YEAR(Tabel2[[#This Row],[Date]]),100)&amp;"-"&amp;(MONTH(Tabel2[[#This Row],[Date]])-1)*2+(DAY(Tabel2[[#This Row],[Date]])&gt;15)</f>
        <v>22-17</v>
      </c>
      <c r="J81" s="66" t="str" cm="1">
        <f t="array" ref="J81">INDEX(RECAP!N:N,_xlfn.AGGREGATE(14,6,ROW(Tabel1[personne])/((Tabel1[personne]=Tabel2[[#This Row],[Personne]])*(Tabel1[début]&lt;=Tabel2[[#This Row],[Date]])),1))</f>
        <v>30,24h/semaine</v>
      </c>
      <c r="K81" s="66">
        <f>VLOOKUP(J81,RECAP!$T$4:$V$7,3,0)</f>
        <v>0.252</v>
      </c>
      <c r="L81" s="67" t="str">
        <f>IF(WORKDAY.INTL(Tabel2[[#This Row],[Date]]-1,1,"0000000",TBL_Féries[])&lt;&gt;Tabel2[[#This Row],[Date]],"X","")</f>
        <v/>
      </c>
      <c r="M81" s="34"/>
      <c r="N81" s="34"/>
      <c r="O81" s="34"/>
    </row>
    <row r="82" spans="1:15" ht="21" x14ac:dyDescent="0.25">
      <c r="A82" s="63" t="s">
        <v>19</v>
      </c>
      <c r="B82" s="64">
        <f t="shared" si="4"/>
        <v>43364</v>
      </c>
      <c r="C82" s="37">
        <v>0.35416666666666669</v>
      </c>
      <c r="D82" s="37">
        <v>0.6875</v>
      </c>
      <c r="E82" s="44"/>
      <c r="F82" s="66">
        <f t="shared" si="3"/>
        <v>0.3125</v>
      </c>
      <c r="G82" s="66">
        <f>IF(L82="x",Tabel2[[#This Row],[Temps
 théorique]]-RECAP!$Y$6,(F82-K82)*(COUNT(C82:D82)=2))</f>
        <v>6.0499999999999998E-2</v>
      </c>
      <c r="H82" s="66"/>
      <c r="I82" s="66" t="str">
        <f>MOD(YEAR(Tabel2[[#This Row],[Date]]),100)&amp;"-"&amp;(MONTH(Tabel2[[#This Row],[Date]])-1)*2+(DAY(Tabel2[[#This Row],[Date]])&gt;15)</f>
        <v>22-17</v>
      </c>
      <c r="J82" s="66" t="str" cm="1">
        <f t="array" ref="J82">INDEX(RECAP!N:N,_xlfn.AGGREGATE(14,6,ROW(Tabel1[personne])/((Tabel1[personne]=Tabel2[[#This Row],[Personne]])*(Tabel1[début]&lt;=Tabel2[[#This Row],[Date]])),1))</f>
        <v>30,24h/semaine</v>
      </c>
      <c r="K82" s="66">
        <f>VLOOKUP(J82,RECAP!$T$4:$V$7,3,0)</f>
        <v>0.252</v>
      </c>
      <c r="L82" s="67" t="str">
        <f>IF(WORKDAY.INTL(Tabel2[[#This Row],[Date]]-1,1,"0000000",TBL_Féries[])&lt;&gt;Tabel2[[#This Row],[Date]],"X","")</f>
        <v/>
      </c>
      <c r="M82" s="34"/>
      <c r="N82" s="34"/>
      <c r="O82" s="34"/>
    </row>
    <row r="83" spans="1:15" ht="21" x14ac:dyDescent="0.25">
      <c r="A83" s="63" t="s">
        <v>19</v>
      </c>
      <c r="B83" s="64">
        <f t="shared" si="4"/>
        <v>43365</v>
      </c>
      <c r="C83" s="37"/>
      <c r="D83" s="37"/>
      <c r="E83" s="44"/>
      <c r="F83" s="66">
        <f t="shared" si="3"/>
        <v>0</v>
      </c>
      <c r="G83" s="66">
        <f>IF(L83="x",Tabel2[[#This Row],[Temps
 théorique]]-RECAP!$Y$6,(F83-K83)*(COUNT(C83:D83)=2))</f>
        <v>0</v>
      </c>
      <c r="H83" s="66"/>
      <c r="I83" s="66" t="str">
        <f>MOD(YEAR(Tabel2[[#This Row],[Date]]),100)&amp;"-"&amp;(MONTH(Tabel2[[#This Row],[Date]])-1)*2+(DAY(Tabel2[[#This Row],[Date]])&gt;15)</f>
        <v>22-17</v>
      </c>
      <c r="J83" s="66" t="str" cm="1">
        <f t="array" ref="J83">INDEX(RECAP!N:N,_xlfn.AGGREGATE(14,6,ROW(Tabel1[personne])/((Tabel1[personne]=Tabel2[[#This Row],[Personne]])*(Tabel1[début]&lt;=Tabel2[[#This Row],[Date]])),1))</f>
        <v>30,24h/semaine</v>
      </c>
      <c r="K83" s="66">
        <f>VLOOKUP(J83,RECAP!$T$4:$V$7,3,0)</f>
        <v>0.252</v>
      </c>
      <c r="L83" s="67" t="str">
        <f>IF(WORKDAY.INTL(Tabel2[[#This Row],[Date]]-1,1,"0000000",TBL_Féries[])&lt;&gt;Tabel2[[#This Row],[Date]],"X","")</f>
        <v/>
      </c>
      <c r="M83" s="34"/>
      <c r="N83" s="34"/>
      <c r="O83" s="34"/>
    </row>
    <row r="84" spans="1:15" ht="21" x14ac:dyDescent="0.25">
      <c r="A84" s="63" t="s">
        <v>19</v>
      </c>
      <c r="B84" s="64">
        <f t="shared" si="4"/>
        <v>43368</v>
      </c>
      <c r="C84" s="37">
        <v>0.35486111111111113</v>
      </c>
      <c r="D84" s="37">
        <v>0.68819444444444444</v>
      </c>
      <c r="E84" s="44"/>
      <c r="F84" s="66">
        <f t="shared" si="3"/>
        <v>0.3125</v>
      </c>
      <c r="G84" s="66">
        <f>IF(L84="x",Tabel2[[#This Row],[Temps
 théorique]]-RECAP!$Y$6,(F84-K84)*(COUNT(C84:D84)=2))</f>
        <v>6.0499999999999998E-2</v>
      </c>
      <c r="H84" s="66"/>
      <c r="I84" s="66" t="str">
        <f>MOD(YEAR(Tabel2[[#This Row],[Date]]),100)&amp;"-"&amp;(MONTH(Tabel2[[#This Row],[Date]])-1)*2+(DAY(Tabel2[[#This Row],[Date]])&gt;15)</f>
        <v>22-17</v>
      </c>
      <c r="J84" s="66" t="str" cm="1">
        <f t="array" ref="J84">INDEX(RECAP!N:N,_xlfn.AGGREGATE(14,6,ROW(Tabel1[personne])/((Tabel1[personne]=Tabel2[[#This Row],[Personne]])*(Tabel1[début]&lt;=Tabel2[[#This Row],[Date]])),1))</f>
        <v>30,24h/semaine</v>
      </c>
      <c r="K84" s="66">
        <f>VLOOKUP(J84,RECAP!$T$4:$V$7,3,0)</f>
        <v>0.252</v>
      </c>
      <c r="L84" s="67" t="str">
        <f>IF(WORKDAY.INTL(Tabel2[[#This Row],[Date]]-1,1,"0000000",TBL_Féries[])&lt;&gt;Tabel2[[#This Row],[Date]],"X","")</f>
        <v/>
      </c>
      <c r="M84" s="34"/>
      <c r="N84" s="34"/>
      <c r="O84" s="34"/>
    </row>
    <row r="85" spans="1:15" ht="21" x14ac:dyDescent="0.25">
      <c r="A85" s="63" t="s">
        <v>19</v>
      </c>
      <c r="B85" s="64">
        <f t="shared" si="4"/>
        <v>43369</v>
      </c>
      <c r="C85" s="37">
        <v>0.35625000000000001</v>
      </c>
      <c r="D85" s="37">
        <v>0.69305555555555554</v>
      </c>
      <c r="E85" s="44"/>
      <c r="F85" s="66">
        <f t="shared" si="3"/>
        <v>0.31597222222222221</v>
      </c>
      <c r="G85" s="66">
        <f>IF(L85="x",Tabel2[[#This Row],[Temps
 théorique]]-RECAP!$Y$6,(F85-K85)*(COUNT(C85:D85)=2))</f>
        <v>6.3972222222222208E-2</v>
      </c>
      <c r="H85" s="66"/>
      <c r="I85" s="66" t="str">
        <f>MOD(YEAR(Tabel2[[#This Row],[Date]]),100)&amp;"-"&amp;(MONTH(Tabel2[[#This Row],[Date]])-1)*2+(DAY(Tabel2[[#This Row],[Date]])&gt;15)</f>
        <v>22-17</v>
      </c>
      <c r="J85" s="66" t="str" cm="1">
        <f t="array" ref="J85">INDEX(RECAP!N:N,_xlfn.AGGREGATE(14,6,ROW(Tabel1[personne])/((Tabel1[personne]=Tabel2[[#This Row],[Personne]])*(Tabel1[début]&lt;=Tabel2[[#This Row],[Date]])),1))</f>
        <v>30,24h/semaine</v>
      </c>
      <c r="K85" s="66">
        <f>VLOOKUP(J85,RECAP!$T$4:$V$7,3,0)</f>
        <v>0.252</v>
      </c>
      <c r="L85" s="67" t="str">
        <f>IF(WORKDAY.INTL(Tabel2[[#This Row],[Date]]-1,1,"0000000",TBL_Féries[])&lt;&gt;Tabel2[[#This Row],[Date]],"X","")</f>
        <v/>
      </c>
      <c r="M85" s="34"/>
      <c r="N85" s="34"/>
      <c r="O85" s="34"/>
    </row>
    <row r="86" spans="1:15" ht="21" x14ac:dyDescent="0.25">
      <c r="A86" s="63" t="s">
        <v>19</v>
      </c>
      <c r="B86" s="64">
        <f t="shared" si="4"/>
        <v>43370</v>
      </c>
      <c r="C86" s="37"/>
      <c r="D86" s="37"/>
      <c r="E86" s="44"/>
      <c r="F86" s="66">
        <f t="shared" si="3"/>
        <v>0</v>
      </c>
      <c r="G86" s="66">
        <f>IF(L86="x",Tabel2[[#This Row],[Temps
 théorique]]-RECAP!$Y$6,(F86-K86)*(COUNT(C86:D86)=2))</f>
        <v>0</v>
      </c>
      <c r="H86" s="66"/>
      <c r="I86" s="66" t="str">
        <f>MOD(YEAR(Tabel2[[#This Row],[Date]]),100)&amp;"-"&amp;(MONTH(Tabel2[[#This Row],[Date]])-1)*2+(DAY(Tabel2[[#This Row],[Date]])&gt;15)</f>
        <v>22-17</v>
      </c>
      <c r="J86" s="66" t="str" cm="1">
        <f t="array" ref="J86">INDEX(RECAP!N:N,_xlfn.AGGREGATE(14,6,ROW(Tabel1[personne])/((Tabel1[personne]=Tabel2[[#This Row],[Personne]])*(Tabel1[début]&lt;=Tabel2[[#This Row],[Date]])),1))</f>
        <v>30,24h/semaine</v>
      </c>
      <c r="K86" s="66">
        <f>VLOOKUP(J86,RECAP!$T$4:$V$7,3,0)</f>
        <v>0.252</v>
      </c>
      <c r="L86" s="67" t="str">
        <f>IF(WORKDAY.INTL(Tabel2[[#This Row],[Date]]-1,1,"0000000",TBL_Féries[])&lt;&gt;Tabel2[[#This Row],[Date]],"X","")</f>
        <v/>
      </c>
      <c r="M86" s="34"/>
      <c r="N86" s="34"/>
      <c r="O86" s="34"/>
    </row>
    <row r="87" spans="1:15" ht="21" x14ac:dyDescent="0.25">
      <c r="A87" s="63" t="s">
        <v>19</v>
      </c>
      <c r="B87" s="64">
        <f t="shared" si="4"/>
        <v>43371</v>
      </c>
      <c r="C87" s="37">
        <v>0.35416666666666669</v>
      </c>
      <c r="D87" s="37">
        <v>0.69861111111111107</v>
      </c>
      <c r="E87" s="44"/>
      <c r="F87" s="66">
        <f t="shared" si="3"/>
        <v>0.32361111111111107</v>
      </c>
      <c r="G87" s="66">
        <f>IF(L87="x",Tabel2[[#This Row],[Temps
 théorique]]-RECAP!$Y$6,(F87-K87)*(COUNT(C87:D87)=2))</f>
        <v>7.161111111111107E-2</v>
      </c>
      <c r="H87" s="66"/>
      <c r="I87" s="66" t="str">
        <f>MOD(YEAR(Tabel2[[#This Row],[Date]]),100)&amp;"-"&amp;(MONTH(Tabel2[[#This Row],[Date]])-1)*2+(DAY(Tabel2[[#This Row],[Date]])&gt;15)</f>
        <v>22-17</v>
      </c>
      <c r="J87" s="66" t="str" cm="1">
        <f t="array" ref="J87">INDEX(RECAP!N:N,_xlfn.AGGREGATE(14,6,ROW(Tabel1[personne])/((Tabel1[personne]=Tabel2[[#This Row],[Personne]])*(Tabel1[début]&lt;=Tabel2[[#This Row],[Date]])),1))</f>
        <v>30,24h/semaine</v>
      </c>
      <c r="K87" s="66">
        <f>VLOOKUP(J87,RECAP!$T$4:$V$7,3,0)</f>
        <v>0.252</v>
      </c>
      <c r="L87" s="67" t="str">
        <f>IF(WORKDAY.INTL(Tabel2[[#This Row],[Date]]-1,1,"0000000",TBL_Féries[])&lt;&gt;Tabel2[[#This Row],[Date]],"X","")</f>
        <v/>
      </c>
      <c r="M87" s="34"/>
      <c r="N87" s="34"/>
      <c r="O87" s="34"/>
    </row>
    <row r="88" spans="1:15" ht="21" x14ac:dyDescent="0.25">
      <c r="A88" s="63" t="s">
        <v>19</v>
      </c>
      <c r="B88" s="64">
        <f t="shared" si="4"/>
        <v>43372</v>
      </c>
      <c r="C88" s="37">
        <v>0.35416666666666669</v>
      </c>
      <c r="D88" s="37">
        <v>0.69166666666666676</v>
      </c>
      <c r="E88" s="44"/>
      <c r="F88" s="66">
        <f t="shared" si="3"/>
        <v>0.31666666666666676</v>
      </c>
      <c r="G88" s="66">
        <f>IF(L88="x",Tabel2[[#This Row],[Temps
 théorique]]-RECAP!$Y$6,(F88-K88)*(COUNT(C88:D88)=2))</f>
        <v>6.4666666666666761E-2</v>
      </c>
      <c r="H88" s="66"/>
      <c r="I88" s="66" t="str">
        <f>MOD(YEAR(Tabel2[[#This Row],[Date]]),100)&amp;"-"&amp;(MONTH(Tabel2[[#This Row],[Date]])-1)*2+(DAY(Tabel2[[#This Row],[Date]])&gt;15)</f>
        <v>22-17</v>
      </c>
      <c r="J88" s="66" t="str" cm="1">
        <f t="array" ref="J88">INDEX(RECAP!N:N,_xlfn.AGGREGATE(14,6,ROW(Tabel1[personne])/((Tabel1[personne]=Tabel2[[#This Row],[Personne]])*(Tabel1[début]&lt;=Tabel2[[#This Row],[Date]])),1))</f>
        <v>30,24h/semaine</v>
      </c>
      <c r="K88" s="66">
        <f>VLOOKUP(J88,RECAP!$T$4:$V$7,3,0)</f>
        <v>0.252</v>
      </c>
      <c r="L88" s="67" t="str">
        <f>IF(WORKDAY.INTL(Tabel2[[#This Row],[Date]]-1,1,"0000000",TBL_Féries[])&lt;&gt;Tabel2[[#This Row],[Date]],"X","")</f>
        <v/>
      </c>
      <c r="M88" s="34"/>
      <c r="N88" s="34"/>
      <c r="O88" s="34"/>
    </row>
    <row r="89" spans="1:15" ht="21" x14ac:dyDescent="0.25">
      <c r="A89" s="63" t="s">
        <v>19</v>
      </c>
      <c r="B89" s="64">
        <f t="shared" si="4"/>
        <v>43375</v>
      </c>
      <c r="C89" s="37">
        <v>0.35416666666666669</v>
      </c>
      <c r="D89" s="37">
        <v>0.69861111111111107</v>
      </c>
      <c r="E89" s="44"/>
      <c r="F89" s="66">
        <f t="shared" si="3"/>
        <v>0.32361111111111107</v>
      </c>
      <c r="G89" s="66">
        <f>IF(L89="x",Tabel2[[#This Row],[Temps
 théorique]]-RECAP!$Y$6,(F89-K89)*(COUNT(C89:D89)=2))</f>
        <v>7.161111111111107E-2</v>
      </c>
      <c r="H89" s="66"/>
      <c r="I89" s="66" t="str">
        <f>MOD(YEAR(Tabel2[[#This Row],[Date]]),100)&amp;"-"&amp;(MONTH(Tabel2[[#This Row],[Date]])-1)*2+(DAY(Tabel2[[#This Row],[Date]])&gt;15)</f>
        <v>22-18</v>
      </c>
      <c r="J89" s="66" t="str" cm="1">
        <f t="array" ref="J89">INDEX(RECAP!N:N,_xlfn.AGGREGATE(14,6,ROW(Tabel1[personne])/((Tabel1[personne]=Tabel2[[#This Row],[Personne]])*(Tabel1[début]&lt;=Tabel2[[#This Row],[Date]])),1))</f>
        <v>30,24h/semaine</v>
      </c>
      <c r="K89" s="66">
        <f>VLOOKUP(J89,RECAP!$T$4:$V$7,3,0)</f>
        <v>0.252</v>
      </c>
      <c r="L89" s="67" t="str">
        <f>IF(WORKDAY.INTL(Tabel2[[#This Row],[Date]]-1,1,"0000000",TBL_Féries[])&lt;&gt;Tabel2[[#This Row],[Date]],"X","")</f>
        <v/>
      </c>
      <c r="M89" s="34"/>
      <c r="N89" s="34"/>
      <c r="O89" s="34"/>
    </row>
    <row r="90" spans="1:15" ht="21" x14ac:dyDescent="0.25">
      <c r="A90" s="63" t="s">
        <v>19</v>
      </c>
      <c r="B90" s="64">
        <f t="shared" si="4"/>
        <v>43376</v>
      </c>
      <c r="C90" s="37">
        <v>0.36736111111111108</v>
      </c>
      <c r="D90" s="37">
        <v>0.68819444444444444</v>
      </c>
      <c r="E90" s="44"/>
      <c r="F90" s="66">
        <f t="shared" si="3"/>
        <v>0.30000000000000004</v>
      </c>
      <c r="G90" s="66">
        <f>IF(L90="x",Tabel2[[#This Row],[Temps
 théorique]]-RECAP!$Y$6,(F90-K90)*(COUNT(C90:D90)=2))</f>
        <v>4.8000000000000043E-2</v>
      </c>
      <c r="H90" s="66"/>
      <c r="I90" s="66" t="str">
        <f>MOD(YEAR(Tabel2[[#This Row],[Date]]),100)&amp;"-"&amp;(MONTH(Tabel2[[#This Row],[Date]])-1)*2+(DAY(Tabel2[[#This Row],[Date]])&gt;15)</f>
        <v>22-18</v>
      </c>
      <c r="J90" s="66" t="str" cm="1">
        <f t="array" ref="J90">INDEX(RECAP!N:N,_xlfn.AGGREGATE(14,6,ROW(Tabel1[personne])/((Tabel1[personne]=Tabel2[[#This Row],[Personne]])*(Tabel1[début]&lt;=Tabel2[[#This Row],[Date]])),1))</f>
        <v>30,24h/semaine</v>
      </c>
      <c r="K90" s="66">
        <f>VLOOKUP(J90,RECAP!$T$4:$V$7,3,0)</f>
        <v>0.252</v>
      </c>
      <c r="L90" s="67" t="str">
        <f>IF(WORKDAY.INTL(Tabel2[[#This Row],[Date]]-1,1,"0000000",TBL_Féries[])&lt;&gt;Tabel2[[#This Row],[Date]],"X","")</f>
        <v/>
      </c>
      <c r="M90" s="34"/>
      <c r="N90" s="34"/>
      <c r="O90" s="34"/>
    </row>
    <row r="91" spans="1:15" ht="21" x14ac:dyDescent="0.25">
      <c r="A91" s="63" t="s">
        <v>19</v>
      </c>
      <c r="B91" s="64">
        <f t="shared" si="4"/>
        <v>43377</v>
      </c>
      <c r="C91" s="37"/>
      <c r="D91" s="37"/>
      <c r="E91" s="44"/>
      <c r="F91" s="66">
        <f t="shared" si="3"/>
        <v>0</v>
      </c>
      <c r="G91" s="66">
        <f>IF(L91="x",Tabel2[[#This Row],[Temps
 théorique]]-RECAP!$Y$6,(F91-K91)*(COUNT(C91:D91)=2))</f>
        <v>0</v>
      </c>
      <c r="H91" s="66"/>
      <c r="I91" s="66" t="str">
        <f>MOD(YEAR(Tabel2[[#This Row],[Date]]),100)&amp;"-"&amp;(MONTH(Tabel2[[#This Row],[Date]])-1)*2+(DAY(Tabel2[[#This Row],[Date]])&gt;15)</f>
        <v>22-18</v>
      </c>
      <c r="J91" s="66" t="str" cm="1">
        <f t="array" ref="J91">INDEX(RECAP!N:N,_xlfn.AGGREGATE(14,6,ROW(Tabel1[personne])/((Tabel1[personne]=Tabel2[[#This Row],[Personne]])*(Tabel1[début]&lt;=Tabel2[[#This Row],[Date]])),1))</f>
        <v>30,24h/semaine</v>
      </c>
      <c r="K91" s="66">
        <f>VLOOKUP(J91,RECAP!$T$4:$V$7,3,0)</f>
        <v>0.252</v>
      </c>
      <c r="L91" s="67" t="str">
        <f>IF(WORKDAY.INTL(Tabel2[[#This Row],[Date]]-1,1,"0000000",TBL_Féries[])&lt;&gt;Tabel2[[#This Row],[Date]],"X","")</f>
        <v/>
      </c>
      <c r="M91" s="34"/>
      <c r="N91" s="34"/>
      <c r="O91" s="34"/>
    </row>
    <row r="92" spans="1:15" ht="21" x14ac:dyDescent="0.25">
      <c r="A92" s="63" t="s">
        <v>19</v>
      </c>
      <c r="B92" s="64">
        <f t="shared" si="4"/>
        <v>43378</v>
      </c>
      <c r="C92" s="37">
        <v>0.35416666666666669</v>
      </c>
      <c r="D92" s="37">
        <v>0.69374999999999998</v>
      </c>
      <c r="E92" s="44"/>
      <c r="F92" s="66">
        <f t="shared" si="3"/>
        <v>0.31874999999999998</v>
      </c>
      <c r="G92" s="66">
        <f>IF(L92="x",Tabel2[[#This Row],[Temps
 théorique]]-RECAP!$Y$6,(F92-K92)*(COUNT(C92:D92)=2))</f>
        <v>6.6749999999999976E-2</v>
      </c>
      <c r="H92" s="66"/>
      <c r="I92" s="66" t="str">
        <f>MOD(YEAR(Tabel2[[#This Row],[Date]]),100)&amp;"-"&amp;(MONTH(Tabel2[[#This Row],[Date]])-1)*2+(DAY(Tabel2[[#This Row],[Date]])&gt;15)</f>
        <v>22-18</v>
      </c>
      <c r="J92" s="66" t="str" cm="1">
        <f t="array" ref="J92">INDEX(RECAP!N:N,_xlfn.AGGREGATE(14,6,ROW(Tabel1[personne])/((Tabel1[personne]=Tabel2[[#This Row],[Personne]])*(Tabel1[début]&lt;=Tabel2[[#This Row],[Date]])),1))</f>
        <v>30,24h/semaine</v>
      </c>
      <c r="K92" s="66">
        <f>VLOOKUP(J92,RECAP!$T$4:$V$7,3,0)</f>
        <v>0.252</v>
      </c>
      <c r="L92" s="67" t="str">
        <f>IF(WORKDAY.INTL(Tabel2[[#This Row],[Date]]-1,1,"0000000",TBL_Féries[])&lt;&gt;Tabel2[[#This Row],[Date]],"X","")</f>
        <v/>
      </c>
      <c r="M92" s="34"/>
      <c r="N92" s="34"/>
      <c r="O92" s="34"/>
    </row>
    <row r="93" spans="1:15" ht="21" x14ac:dyDescent="0.25">
      <c r="A93" s="63" t="s">
        <v>19</v>
      </c>
      <c r="B93" s="64">
        <f t="shared" si="4"/>
        <v>43379</v>
      </c>
      <c r="C93" s="37"/>
      <c r="D93" s="37"/>
      <c r="E93" s="44"/>
      <c r="F93" s="66">
        <f t="shared" si="3"/>
        <v>0</v>
      </c>
      <c r="G93" s="66">
        <f>IF(L93="x",Tabel2[[#This Row],[Temps
 théorique]]-RECAP!$Y$6,(F93-K93)*(COUNT(C93:D93)=2))</f>
        <v>0</v>
      </c>
      <c r="H93" s="66"/>
      <c r="I93" s="66" t="str">
        <f>MOD(YEAR(Tabel2[[#This Row],[Date]]),100)&amp;"-"&amp;(MONTH(Tabel2[[#This Row],[Date]])-1)*2+(DAY(Tabel2[[#This Row],[Date]])&gt;15)</f>
        <v>22-18</v>
      </c>
      <c r="J93" s="66" t="str" cm="1">
        <f t="array" ref="J93">INDEX(RECAP!N:N,_xlfn.AGGREGATE(14,6,ROW(Tabel1[personne])/((Tabel1[personne]=Tabel2[[#This Row],[Personne]])*(Tabel1[début]&lt;=Tabel2[[#This Row],[Date]])),1))</f>
        <v>30,24h/semaine</v>
      </c>
      <c r="K93" s="66">
        <f>VLOOKUP(J93,RECAP!$T$4:$V$7,3,0)</f>
        <v>0.252</v>
      </c>
      <c r="L93" s="67" t="str">
        <f>IF(WORKDAY.INTL(Tabel2[[#This Row],[Date]]-1,1,"0000000",TBL_Féries[])&lt;&gt;Tabel2[[#This Row],[Date]],"X","")</f>
        <v/>
      </c>
      <c r="M93" s="34"/>
      <c r="N93" s="34"/>
      <c r="O93" s="34"/>
    </row>
    <row r="94" spans="1:15" ht="21" x14ac:dyDescent="0.25">
      <c r="A94" s="63" t="s">
        <v>19</v>
      </c>
      <c r="B94" s="64">
        <f t="shared" si="4"/>
        <v>43382</v>
      </c>
      <c r="C94" s="37"/>
      <c r="D94" s="37"/>
      <c r="E94" s="44"/>
      <c r="F94" s="66">
        <f t="shared" si="3"/>
        <v>0</v>
      </c>
      <c r="G94" s="66">
        <f>IF(L94="x",Tabel2[[#This Row],[Temps
 théorique]]-RECAP!$Y$6,(F94-K94)*(COUNT(C94:D94)=2))</f>
        <v>0</v>
      </c>
      <c r="H94" s="66"/>
      <c r="I94" s="66" t="str">
        <f>MOD(YEAR(Tabel2[[#This Row],[Date]]),100)&amp;"-"&amp;(MONTH(Tabel2[[#This Row],[Date]])-1)*2+(DAY(Tabel2[[#This Row],[Date]])&gt;15)</f>
        <v>22-18</v>
      </c>
      <c r="J94" s="66" t="str" cm="1">
        <f t="array" ref="J94">INDEX(RECAP!N:N,_xlfn.AGGREGATE(14,6,ROW(Tabel1[personne])/((Tabel1[personne]=Tabel2[[#This Row],[Personne]])*(Tabel1[début]&lt;=Tabel2[[#This Row],[Date]])),1))</f>
        <v>30,24h/semaine</v>
      </c>
      <c r="K94" s="66">
        <f>VLOOKUP(J94,RECAP!$T$4:$V$7,3,0)</f>
        <v>0.252</v>
      </c>
      <c r="L94" s="67" t="str">
        <f>IF(WORKDAY.INTL(Tabel2[[#This Row],[Date]]-1,1,"0000000",TBL_Féries[])&lt;&gt;Tabel2[[#This Row],[Date]],"X","")</f>
        <v/>
      </c>
      <c r="M94" s="34"/>
      <c r="N94" s="34"/>
      <c r="O94" s="34"/>
    </row>
    <row r="95" spans="1:15" ht="21" x14ac:dyDescent="0.25">
      <c r="A95" s="63" t="s">
        <v>19</v>
      </c>
      <c r="B95" s="64">
        <f t="shared" si="4"/>
        <v>43383</v>
      </c>
      <c r="C95" s="37">
        <v>0.35416666666666669</v>
      </c>
      <c r="D95" s="37">
        <v>0.69930555555555562</v>
      </c>
      <c r="E95" s="44"/>
      <c r="F95" s="66">
        <f t="shared" si="3"/>
        <v>0.32430555555555562</v>
      </c>
      <c r="G95" s="66">
        <f>IF(L95="x",Tabel2[[#This Row],[Temps
 théorique]]-RECAP!$Y$6,(F95-K95)*(COUNT(C95:D95)=2))</f>
        <v>7.2305555555555623E-2</v>
      </c>
      <c r="H95" s="66"/>
      <c r="I95" s="66" t="str">
        <f>MOD(YEAR(Tabel2[[#This Row],[Date]]),100)&amp;"-"&amp;(MONTH(Tabel2[[#This Row],[Date]])-1)*2+(DAY(Tabel2[[#This Row],[Date]])&gt;15)</f>
        <v>22-18</v>
      </c>
      <c r="J95" s="66" t="str" cm="1">
        <f t="array" ref="J95">INDEX(RECAP!N:N,_xlfn.AGGREGATE(14,6,ROW(Tabel1[personne])/((Tabel1[personne]=Tabel2[[#This Row],[Personne]])*(Tabel1[début]&lt;=Tabel2[[#This Row],[Date]])),1))</f>
        <v>30,24h/semaine</v>
      </c>
      <c r="K95" s="66">
        <f>VLOOKUP(J95,RECAP!$T$4:$V$7,3,0)</f>
        <v>0.252</v>
      </c>
      <c r="L95" s="67" t="str">
        <f>IF(WORKDAY.INTL(Tabel2[[#This Row],[Date]]-1,1,"0000000",TBL_Féries[])&lt;&gt;Tabel2[[#This Row],[Date]],"X","")</f>
        <v/>
      </c>
      <c r="M95" s="34"/>
      <c r="N95" s="34"/>
      <c r="O95" s="34"/>
    </row>
    <row r="96" spans="1:15" ht="21" x14ac:dyDescent="0.25">
      <c r="A96" s="63" t="s">
        <v>19</v>
      </c>
      <c r="B96" s="64">
        <f t="shared" si="4"/>
        <v>43384</v>
      </c>
      <c r="C96" s="37"/>
      <c r="D96" s="37"/>
      <c r="E96" s="44"/>
      <c r="F96" s="66">
        <f t="shared" si="3"/>
        <v>0</v>
      </c>
      <c r="G96" s="66">
        <f>IF(L96="x",Tabel2[[#This Row],[Temps
 théorique]]-RECAP!$Y$6,(F96-K96)*(COUNT(C96:D96)=2))</f>
        <v>0</v>
      </c>
      <c r="H96" s="66"/>
      <c r="I96" s="66" t="str">
        <f>MOD(YEAR(Tabel2[[#This Row],[Date]]),100)&amp;"-"&amp;(MONTH(Tabel2[[#This Row],[Date]])-1)*2+(DAY(Tabel2[[#This Row],[Date]])&gt;15)</f>
        <v>22-18</v>
      </c>
      <c r="J96" s="66" t="str" cm="1">
        <f t="array" ref="J96">INDEX(RECAP!N:N,_xlfn.AGGREGATE(14,6,ROW(Tabel1[personne])/((Tabel1[personne]=Tabel2[[#This Row],[Personne]])*(Tabel1[début]&lt;=Tabel2[[#This Row],[Date]])),1))</f>
        <v>30,24h/semaine</v>
      </c>
      <c r="K96" s="66">
        <f>VLOOKUP(J96,RECAP!$T$4:$V$7,3,0)</f>
        <v>0.252</v>
      </c>
      <c r="L96" s="67" t="str">
        <f>IF(WORKDAY.INTL(Tabel2[[#This Row],[Date]]-1,1,"0000000",TBL_Féries[])&lt;&gt;Tabel2[[#This Row],[Date]],"X","")</f>
        <v/>
      </c>
      <c r="M96" s="34"/>
      <c r="N96" s="34"/>
      <c r="O96" s="34"/>
    </row>
    <row r="97" spans="1:15" ht="21" x14ac:dyDescent="0.25">
      <c r="A97" s="63" t="s">
        <v>19</v>
      </c>
      <c r="B97" s="64">
        <f t="shared" si="4"/>
        <v>43385</v>
      </c>
      <c r="C97" s="37">
        <v>0.35555555555555557</v>
      </c>
      <c r="D97" s="37">
        <v>0.7006944444444444</v>
      </c>
      <c r="E97" s="44"/>
      <c r="F97" s="66">
        <f t="shared" si="3"/>
        <v>0.32430555555555551</v>
      </c>
      <c r="G97" s="66">
        <f>IF(L97="x",Tabel2[[#This Row],[Temps
 théorique]]-RECAP!$Y$6,(F97-K97)*(COUNT(C97:D97)=2))</f>
        <v>7.2305555555555512E-2</v>
      </c>
      <c r="H97" s="66"/>
      <c r="I97" s="66" t="str">
        <f>MOD(YEAR(Tabel2[[#This Row],[Date]]),100)&amp;"-"&amp;(MONTH(Tabel2[[#This Row],[Date]])-1)*2+(DAY(Tabel2[[#This Row],[Date]])&gt;15)</f>
        <v>22-18</v>
      </c>
      <c r="J97" s="66" t="str" cm="1">
        <f t="array" ref="J97">INDEX(RECAP!N:N,_xlfn.AGGREGATE(14,6,ROW(Tabel1[personne])/((Tabel1[personne]=Tabel2[[#This Row],[Personne]])*(Tabel1[début]&lt;=Tabel2[[#This Row],[Date]])),1))</f>
        <v>30,24h/semaine</v>
      </c>
      <c r="K97" s="66">
        <f>VLOOKUP(J97,RECAP!$T$4:$V$7,3,0)</f>
        <v>0.252</v>
      </c>
      <c r="L97" s="67" t="str">
        <f>IF(WORKDAY.INTL(Tabel2[[#This Row],[Date]]-1,1,"0000000",TBL_Féries[])&lt;&gt;Tabel2[[#This Row],[Date]],"X","")</f>
        <v/>
      </c>
      <c r="M97" s="34"/>
      <c r="N97" s="34"/>
      <c r="O97" s="34"/>
    </row>
    <row r="98" spans="1:15" ht="21" x14ac:dyDescent="0.25">
      <c r="A98" s="63" t="s">
        <v>19</v>
      </c>
      <c r="B98" s="64">
        <f t="shared" si="4"/>
        <v>43386</v>
      </c>
      <c r="C98" s="37">
        <v>0.35416666666666669</v>
      </c>
      <c r="D98" s="37">
        <v>0.69305555555555554</v>
      </c>
      <c r="E98" s="44"/>
      <c r="F98" s="66">
        <f t="shared" ref="F98:F129" si="5">IF(COUNT(C98:D98)&lt;&gt;2,0,D98-C98-(D98-C98&gt;=pause)*IF(E98&lt;&gt;"",E98,pause))</f>
        <v>0.31805555555555554</v>
      </c>
      <c r="G98" s="66">
        <f>IF(L98="x",Tabel2[[#This Row],[Temps
 théorique]]-RECAP!$Y$6,(F98-K98)*(COUNT(C98:D98)=2))</f>
        <v>6.6055555555555534E-2</v>
      </c>
      <c r="H98" s="66"/>
      <c r="I98" s="66" t="str">
        <f>MOD(YEAR(Tabel2[[#This Row],[Date]]),100)&amp;"-"&amp;(MONTH(Tabel2[[#This Row],[Date]])-1)*2+(DAY(Tabel2[[#This Row],[Date]])&gt;15)</f>
        <v>22-18</v>
      </c>
      <c r="J98" s="66" t="str" cm="1">
        <f t="array" ref="J98">INDEX(RECAP!N:N,_xlfn.AGGREGATE(14,6,ROW(Tabel1[personne])/((Tabel1[personne]=Tabel2[[#This Row],[Personne]])*(Tabel1[début]&lt;=Tabel2[[#This Row],[Date]])),1))</f>
        <v>30,24h/semaine</v>
      </c>
      <c r="K98" s="66">
        <f>VLOOKUP(J98,RECAP!$T$4:$V$7,3,0)</f>
        <v>0.252</v>
      </c>
      <c r="L98" s="67" t="str">
        <f>IF(WORKDAY.INTL(Tabel2[[#This Row],[Date]]-1,1,"0000000",TBL_Féries[])&lt;&gt;Tabel2[[#This Row],[Date]],"X","")</f>
        <v/>
      </c>
      <c r="M98" s="34"/>
      <c r="N98" s="34"/>
      <c r="O98" s="34"/>
    </row>
    <row r="99" spans="1:15" ht="21" x14ac:dyDescent="0.25">
      <c r="A99" s="63" t="s">
        <v>19</v>
      </c>
      <c r="B99" s="64">
        <f t="shared" si="4"/>
        <v>43389</v>
      </c>
      <c r="C99" s="37">
        <v>0.38055555555555554</v>
      </c>
      <c r="D99" s="37">
        <v>0.68819444444444444</v>
      </c>
      <c r="E99" s="44"/>
      <c r="F99" s="66">
        <f t="shared" si="5"/>
        <v>0.28680555555555559</v>
      </c>
      <c r="G99" s="66">
        <f>IF(L99="x",Tabel2[[#This Row],[Temps
 théorique]]-RECAP!$Y$6,(F99-K99)*(COUNT(C99:D99)=2))</f>
        <v>3.480555555555559E-2</v>
      </c>
      <c r="H99" s="66"/>
      <c r="I99" s="66" t="str">
        <f>MOD(YEAR(Tabel2[[#This Row],[Date]]),100)&amp;"-"&amp;(MONTH(Tabel2[[#This Row],[Date]])-1)*2+(DAY(Tabel2[[#This Row],[Date]])&gt;15)</f>
        <v>22-19</v>
      </c>
      <c r="J99" s="66" t="str" cm="1">
        <f t="array" ref="J99">INDEX(RECAP!N:N,_xlfn.AGGREGATE(14,6,ROW(Tabel1[personne])/((Tabel1[personne]=Tabel2[[#This Row],[Personne]])*(Tabel1[début]&lt;=Tabel2[[#This Row],[Date]])),1))</f>
        <v>30,24h/semaine</v>
      </c>
      <c r="K99" s="66">
        <f>VLOOKUP(J99,RECAP!$T$4:$V$7,3,0)</f>
        <v>0.252</v>
      </c>
      <c r="L99" s="67" t="str">
        <f>IF(WORKDAY.INTL(Tabel2[[#This Row],[Date]]-1,1,"0000000",TBL_Féries[])&lt;&gt;Tabel2[[#This Row],[Date]],"X","")</f>
        <v/>
      </c>
      <c r="M99" s="34"/>
      <c r="N99" s="34"/>
      <c r="O99" s="34"/>
    </row>
    <row r="100" spans="1:15" ht="21" x14ac:dyDescent="0.25">
      <c r="A100" s="63" t="s">
        <v>19</v>
      </c>
      <c r="B100" s="64">
        <f t="shared" si="4"/>
        <v>43390</v>
      </c>
      <c r="C100" s="37">
        <v>0.37083333333333335</v>
      </c>
      <c r="D100" s="37">
        <v>0.6972222222222223</v>
      </c>
      <c r="E100" s="44"/>
      <c r="F100" s="66">
        <f t="shared" si="5"/>
        <v>0.30555555555555564</v>
      </c>
      <c r="G100" s="66">
        <f>IF(L100="x",Tabel2[[#This Row],[Temps
 théorique]]-RECAP!$Y$6,(F100-K100)*(COUNT(C100:D100)=2))</f>
        <v>5.3555555555555634E-2</v>
      </c>
      <c r="H100" s="66"/>
      <c r="I100" s="66" t="str">
        <f>MOD(YEAR(Tabel2[[#This Row],[Date]]),100)&amp;"-"&amp;(MONTH(Tabel2[[#This Row],[Date]])-1)*2+(DAY(Tabel2[[#This Row],[Date]])&gt;15)</f>
        <v>22-19</v>
      </c>
      <c r="J100" s="66" t="str" cm="1">
        <f t="array" ref="J100">INDEX(RECAP!N:N,_xlfn.AGGREGATE(14,6,ROW(Tabel1[personne])/((Tabel1[personne]=Tabel2[[#This Row],[Personne]])*(Tabel1[début]&lt;=Tabel2[[#This Row],[Date]])),1))</f>
        <v>30,24h/semaine</v>
      </c>
      <c r="K100" s="66">
        <f>VLOOKUP(J100,RECAP!$T$4:$V$7,3,0)</f>
        <v>0.252</v>
      </c>
      <c r="L100" s="67" t="str">
        <f>IF(WORKDAY.INTL(Tabel2[[#This Row],[Date]]-1,1,"0000000",TBL_Féries[])&lt;&gt;Tabel2[[#This Row],[Date]],"X","")</f>
        <v/>
      </c>
      <c r="M100" s="34"/>
      <c r="N100" s="34"/>
      <c r="O100" s="34"/>
    </row>
    <row r="101" spans="1:15" ht="21" x14ac:dyDescent="0.25">
      <c r="A101" s="63" t="s">
        <v>19</v>
      </c>
      <c r="B101" s="64">
        <f t="shared" si="4"/>
        <v>43391</v>
      </c>
      <c r="C101" s="37"/>
      <c r="E101" s="44"/>
      <c r="F101" s="66">
        <f t="shared" si="5"/>
        <v>0</v>
      </c>
      <c r="G101" s="66">
        <f>IF(L101="x",Tabel2[[#This Row],[Temps
 théorique]]-RECAP!$Y$6,(F101-K101)*(COUNT(C101:D101)=2))</f>
        <v>0</v>
      </c>
      <c r="H101" s="66"/>
      <c r="I101" s="66" t="str">
        <f>MOD(YEAR(Tabel2[[#This Row],[Date]]),100)&amp;"-"&amp;(MONTH(Tabel2[[#This Row],[Date]])-1)*2+(DAY(Tabel2[[#This Row],[Date]])&gt;15)</f>
        <v>22-19</v>
      </c>
      <c r="J101" s="66" t="str" cm="1">
        <f t="array" ref="J101">INDEX(RECAP!N:N,_xlfn.AGGREGATE(14,6,ROW(Tabel1[personne])/((Tabel1[personne]=Tabel2[[#This Row],[Personne]])*(Tabel1[début]&lt;=Tabel2[[#This Row],[Date]])),1))</f>
        <v>30,24h/semaine</v>
      </c>
      <c r="K101" s="66">
        <f>VLOOKUP(J101,RECAP!$T$4:$V$7,3,0)</f>
        <v>0.252</v>
      </c>
      <c r="L101" s="67" t="str">
        <f>IF(WORKDAY.INTL(Tabel2[[#This Row],[Date]]-1,1,"0000000",TBL_Féries[])&lt;&gt;Tabel2[[#This Row],[Date]],"X","")</f>
        <v/>
      </c>
      <c r="M101" s="34"/>
      <c r="N101" s="34"/>
      <c r="O101" s="34"/>
    </row>
    <row r="102" spans="1:15" ht="21" x14ac:dyDescent="0.25">
      <c r="A102" s="63" t="s">
        <v>19</v>
      </c>
      <c r="B102" s="64">
        <f t="shared" si="4"/>
        <v>43392</v>
      </c>
      <c r="C102" s="37">
        <v>0.35416666666666669</v>
      </c>
      <c r="D102" s="37">
        <v>0.71180555555555547</v>
      </c>
      <c r="E102" s="44"/>
      <c r="F102" s="66">
        <f t="shared" si="5"/>
        <v>0.33680555555555547</v>
      </c>
      <c r="G102" s="66">
        <f>IF(L102="x",Tabel2[[#This Row],[Temps
 théorique]]-RECAP!$Y$6,(F102-K102)*(COUNT(C102:D102)=2))</f>
        <v>8.4805555555555467E-2</v>
      </c>
      <c r="H102" s="66"/>
      <c r="I102" s="66" t="str">
        <f>MOD(YEAR(Tabel2[[#This Row],[Date]]),100)&amp;"-"&amp;(MONTH(Tabel2[[#This Row],[Date]])-1)*2+(DAY(Tabel2[[#This Row],[Date]])&gt;15)</f>
        <v>22-19</v>
      </c>
      <c r="J102" s="66" t="str" cm="1">
        <f t="array" ref="J102">INDEX(RECAP!N:N,_xlfn.AGGREGATE(14,6,ROW(Tabel1[personne])/((Tabel1[personne]=Tabel2[[#This Row],[Personne]])*(Tabel1[début]&lt;=Tabel2[[#This Row],[Date]])),1))</f>
        <v>30,24h/semaine</v>
      </c>
      <c r="K102" s="66">
        <f>VLOOKUP(J102,RECAP!$T$4:$V$7,3,0)</f>
        <v>0.252</v>
      </c>
      <c r="L102" s="67" t="str">
        <f>IF(WORKDAY.INTL(Tabel2[[#This Row],[Date]]-1,1,"0000000",TBL_Féries[])&lt;&gt;Tabel2[[#This Row],[Date]],"X","")</f>
        <v/>
      </c>
      <c r="M102" s="34"/>
      <c r="N102" s="34"/>
      <c r="O102" s="34"/>
    </row>
    <row r="103" spans="1:15" ht="21" x14ac:dyDescent="0.25">
      <c r="A103" s="63" t="s">
        <v>19</v>
      </c>
      <c r="B103" s="64">
        <f t="shared" si="4"/>
        <v>43393</v>
      </c>
      <c r="C103" s="37">
        <v>0.35416666666666669</v>
      </c>
      <c r="D103" s="37">
        <v>0.70208333333333339</v>
      </c>
      <c r="E103" s="44"/>
      <c r="F103" s="66">
        <f t="shared" si="5"/>
        <v>0.32708333333333339</v>
      </c>
      <c r="G103" s="66">
        <f>IF(L103="x",Tabel2[[#This Row],[Temps
 théorique]]-RECAP!$Y$6,(F103-K103)*(COUNT(C103:D103)=2))</f>
        <v>7.5083333333333391E-2</v>
      </c>
      <c r="H103" s="66"/>
      <c r="I103" s="66" t="str">
        <f>MOD(YEAR(Tabel2[[#This Row],[Date]]),100)&amp;"-"&amp;(MONTH(Tabel2[[#This Row],[Date]])-1)*2+(DAY(Tabel2[[#This Row],[Date]])&gt;15)</f>
        <v>22-19</v>
      </c>
      <c r="J103" s="66" t="str" cm="1">
        <f t="array" ref="J103">INDEX(RECAP!N:N,_xlfn.AGGREGATE(14,6,ROW(Tabel1[personne])/((Tabel1[personne]=Tabel2[[#This Row],[Personne]])*(Tabel1[début]&lt;=Tabel2[[#This Row],[Date]])),1))</f>
        <v>30,24h/semaine</v>
      </c>
      <c r="K103" s="66">
        <f>VLOOKUP(J103,RECAP!$T$4:$V$7,3,0)</f>
        <v>0.252</v>
      </c>
      <c r="L103" s="67" t="str">
        <f>IF(WORKDAY.INTL(Tabel2[[#This Row],[Date]]-1,1,"0000000",TBL_Féries[])&lt;&gt;Tabel2[[#This Row],[Date]],"X","")</f>
        <v/>
      </c>
      <c r="M103" s="34"/>
      <c r="N103" s="34"/>
      <c r="O103" s="34"/>
    </row>
    <row r="104" spans="1:15" ht="21" x14ac:dyDescent="0.25">
      <c r="A104" s="63" t="s">
        <v>19</v>
      </c>
      <c r="B104" s="64">
        <f t="shared" si="4"/>
        <v>43396</v>
      </c>
      <c r="C104" s="37">
        <v>0.35416666666666669</v>
      </c>
      <c r="D104" s="37">
        <v>0.70277777777777783</v>
      </c>
      <c r="E104" s="44"/>
      <c r="F104" s="66">
        <f t="shared" si="5"/>
        <v>0.32777777777777783</v>
      </c>
      <c r="G104" s="66">
        <f>IF(L104="x",Tabel2[[#This Row],[Temps
 théorique]]-RECAP!$Y$6,(F104-K104)*(COUNT(C104:D104)=2))</f>
        <v>7.5777777777777833E-2</v>
      </c>
      <c r="H104" s="66"/>
      <c r="I104" s="66" t="str">
        <f>MOD(YEAR(Tabel2[[#This Row],[Date]]),100)&amp;"-"&amp;(MONTH(Tabel2[[#This Row],[Date]])-1)*2+(DAY(Tabel2[[#This Row],[Date]])&gt;15)</f>
        <v>22-19</v>
      </c>
      <c r="J104" s="66" t="str" cm="1">
        <f t="array" ref="J104">INDEX(RECAP!N:N,_xlfn.AGGREGATE(14,6,ROW(Tabel1[personne])/((Tabel1[personne]=Tabel2[[#This Row],[Personne]])*(Tabel1[début]&lt;=Tabel2[[#This Row],[Date]])),1))</f>
        <v>30,24h/semaine</v>
      </c>
      <c r="K104" s="66">
        <f>VLOOKUP(J104,RECAP!$T$4:$V$7,3,0)</f>
        <v>0.252</v>
      </c>
      <c r="L104" s="67" t="str">
        <f>IF(WORKDAY.INTL(Tabel2[[#This Row],[Date]]-1,1,"0000000",TBL_Féries[])&lt;&gt;Tabel2[[#This Row],[Date]],"X","")</f>
        <v/>
      </c>
      <c r="M104" s="34"/>
      <c r="N104" s="34"/>
      <c r="O104" s="34"/>
    </row>
    <row r="105" spans="1:15" ht="21" x14ac:dyDescent="0.25">
      <c r="A105" s="63" t="s">
        <v>19</v>
      </c>
      <c r="B105" s="64">
        <f t="shared" si="4"/>
        <v>43397</v>
      </c>
      <c r="C105" s="37">
        <v>0.35833333333333334</v>
      </c>
      <c r="D105" s="37">
        <v>0.68888888888888899</v>
      </c>
      <c r="E105" s="44"/>
      <c r="F105" s="66">
        <f t="shared" si="5"/>
        <v>0.30972222222222234</v>
      </c>
      <c r="G105" s="66">
        <f>IF(L105="x",Tabel2[[#This Row],[Temps
 théorique]]-RECAP!$Y$6,(F105-K105)*(COUNT(C105:D105)=2))</f>
        <v>5.7722222222222341E-2</v>
      </c>
      <c r="H105" s="66"/>
      <c r="I105" s="66" t="str">
        <f>MOD(YEAR(Tabel2[[#This Row],[Date]]),100)&amp;"-"&amp;(MONTH(Tabel2[[#This Row],[Date]])-1)*2+(DAY(Tabel2[[#This Row],[Date]])&gt;15)</f>
        <v>22-19</v>
      </c>
      <c r="J105" s="66" t="str" cm="1">
        <f t="array" ref="J105">INDEX(RECAP!N:N,_xlfn.AGGREGATE(14,6,ROW(Tabel1[personne])/((Tabel1[personne]=Tabel2[[#This Row],[Personne]])*(Tabel1[début]&lt;=Tabel2[[#This Row],[Date]])),1))</f>
        <v>30,24h/semaine</v>
      </c>
      <c r="K105" s="66">
        <f>VLOOKUP(J105,RECAP!$T$4:$V$7,3,0)</f>
        <v>0.252</v>
      </c>
      <c r="L105" s="67" t="str">
        <f>IF(WORKDAY.INTL(Tabel2[[#This Row],[Date]]-1,1,"0000000",TBL_Féries[])&lt;&gt;Tabel2[[#This Row],[Date]],"X","")</f>
        <v/>
      </c>
      <c r="M105" s="34"/>
      <c r="N105" s="34"/>
      <c r="O105" s="34"/>
    </row>
    <row r="106" spans="1:15" ht="21" x14ac:dyDescent="0.25">
      <c r="A106" s="63" t="s">
        <v>19</v>
      </c>
      <c r="B106" s="64">
        <f t="shared" si="4"/>
        <v>43398</v>
      </c>
      <c r="C106" s="37"/>
      <c r="E106" s="44"/>
      <c r="F106" s="66">
        <f t="shared" si="5"/>
        <v>0</v>
      </c>
      <c r="G106" s="66">
        <f>IF(L106="x",Tabel2[[#This Row],[Temps
 théorique]]-RECAP!$Y$6,(F106-K106)*(COUNT(C106:D106)=2))</f>
        <v>0</v>
      </c>
      <c r="H106" s="66"/>
      <c r="I106" s="66" t="str">
        <f>MOD(YEAR(Tabel2[[#This Row],[Date]]),100)&amp;"-"&amp;(MONTH(Tabel2[[#This Row],[Date]])-1)*2+(DAY(Tabel2[[#This Row],[Date]])&gt;15)</f>
        <v>22-19</v>
      </c>
      <c r="J106" s="66" t="str" cm="1">
        <f t="array" ref="J106">INDEX(RECAP!N:N,_xlfn.AGGREGATE(14,6,ROW(Tabel1[personne])/((Tabel1[personne]=Tabel2[[#This Row],[Personne]])*(Tabel1[début]&lt;=Tabel2[[#This Row],[Date]])),1))</f>
        <v>30,24h/semaine</v>
      </c>
      <c r="K106" s="66">
        <f>VLOOKUP(J106,RECAP!$T$4:$V$7,3,0)</f>
        <v>0.252</v>
      </c>
      <c r="L106" s="67" t="str">
        <f>IF(WORKDAY.INTL(Tabel2[[#This Row],[Date]]-1,1,"0000000",TBL_Féries[])&lt;&gt;Tabel2[[#This Row],[Date]],"X","")</f>
        <v/>
      </c>
      <c r="M106" s="34"/>
      <c r="N106" s="34"/>
      <c r="O106" s="34"/>
    </row>
    <row r="107" spans="1:15" ht="21" x14ac:dyDescent="0.25">
      <c r="A107" s="63" t="s">
        <v>19</v>
      </c>
      <c r="B107" s="64">
        <f t="shared" si="4"/>
        <v>43399</v>
      </c>
      <c r="C107" s="37">
        <v>0.35416666666666669</v>
      </c>
      <c r="D107" s="37">
        <v>0.68888888888888899</v>
      </c>
      <c r="E107" s="44"/>
      <c r="F107" s="66">
        <f t="shared" si="5"/>
        <v>0.31388888888888899</v>
      </c>
      <c r="G107" s="66">
        <f>IF(L107="x",Tabel2[[#This Row],[Temps
 théorique]]-RECAP!$Y$6,(F107-K107)*(COUNT(C107:D107)=2))</f>
        <v>6.1888888888888993E-2</v>
      </c>
      <c r="H107" s="66"/>
      <c r="I107" s="66" t="str">
        <f>MOD(YEAR(Tabel2[[#This Row],[Date]]),100)&amp;"-"&amp;(MONTH(Tabel2[[#This Row],[Date]])-1)*2+(DAY(Tabel2[[#This Row],[Date]])&gt;15)</f>
        <v>22-19</v>
      </c>
      <c r="J107" s="66" t="str" cm="1">
        <f t="array" ref="J107">INDEX(RECAP!N:N,_xlfn.AGGREGATE(14,6,ROW(Tabel1[personne])/((Tabel1[personne]=Tabel2[[#This Row],[Personne]])*(Tabel1[début]&lt;=Tabel2[[#This Row],[Date]])),1))</f>
        <v>30,24h/semaine</v>
      </c>
      <c r="K107" s="66">
        <f>VLOOKUP(J107,RECAP!$T$4:$V$7,3,0)</f>
        <v>0.252</v>
      </c>
      <c r="L107" s="67" t="str">
        <f>IF(WORKDAY.INTL(Tabel2[[#This Row],[Date]]-1,1,"0000000",TBL_Féries[])&lt;&gt;Tabel2[[#This Row],[Date]],"X","")</f>
        <v/>
      </c>
      <c r="M107" s="34"/>
      <c r="N107" s="34"/>
      <c r="O107" s="34"/>
    </row>
    <row r="108" spans="1:15" ht="21" x14ac:dyDescent="0.25">
      <c r="A108" s="63" t="s">
        <v>19</v>
      </c>
      <c r="B108" s="64">
        <f t="shared" si="4"/>
        <v>43400</v>
      </c>
      <c r="C108" s="37">
        <v>0.35902777777777778</v>
      </c>
      <c r="D108" s="37">
        <v>0.71111111111111114</v>
      </c>
      <c r="E108" s="44"/>
      <c r="F108" s="66">
        <f t="shared" si="5"/>
        <v>0.33125000000000004</v>
      </c>
      <c r="G108" s="66">
        <f>IF(L108="x",Tabel2[[#This Row],[Temps
 théorique]]-RECAP!$Y$6,(F108-K108)*(COUNT(C108:D108)=2))</f>
        <v>7.9250000000000043E-2</v>
      </c>
      <c r="H108" s="66"/>
      <c r="I108" s="66" t="str">
        <f>MOD(YEAR(Tabel2[[#This Row],[Date]]),100)&amp;"-"&amp;(MONTH(Tabel2[[#This Row],[Date]])-1)*2+(DAY(Tabel2[[#This Row],[Date]])&gt;15)</f>
        <v>22-19</v>
      </c>
      <c r="J108" s="66" t="str" cm="1">
        <f t="array" ref="J108">INDEX(RECAP!N:N,_xlfn.AGGREGATE(14,6,ROW(Tabel1[personne])/((Tabel1[personne]=Tabel2[[#This Row],[Personne]])*(Tabel1[début]&lt;=Tabel2[[#This Row],[Date]])),1))</f>
        <v>30,24h/semaine</v>
      </c>
      <c r="K108" s="66">
        <f>VLOOKUP(J108,RECAP!$T$4:$V$7,3,0)</f>
        <v>0.252</v>
      </c>
      <c r="L108" s="67" t="str">
        <f>IF(WORKDAY.INTL(Tabel2[[#This Row],[Date]]-1,1,"0000000",TBL_Féries[])&lt;&gt;Tabel2[[#This Row],[Date]],"X","")</f>
        <v/>
      </c>
      <c r="M108" s="34"/>
      <c r="N108" s="34"/>
      <c r="O108" s="34"/>
    </row>
    <row r="109" spans="1:15" ht="21" x14ac:dyDescent="0.25">
      <c r="A109" s="63" t="s">
        <v>19</v>
      </c>
      <c r="B109" s="64">
        <f t="shared" si="4"/>
        <v>43403</v>
      </c>
      <c r="C109" s="37"/>
      <c r="E109" s="44"/>
      <c r="F109" s="66">
        <f t="shared" si="5"/>
        <v>0</v>
      </c>
      <c r="G109" s="66">
        <f>IF(L109="x",Tabel2[[#This Row],[Temps
 théorique]]-RECAP!$Y$6,(F109-K109)*(COUNT(C109:D109)=2))</f>
        <v>0</v>
      </c>
      <c r="H109" s="66"/>
      <c r="I109" s="66" t="str">
        <f>MOD(YEAR(Tabel2[[#This Row],[Date]]),100)&amp;"-"&amp;(MONTH(Tabel2[[#This Row],[Date]])-1)*2+(DAY(Tabel2[[#This Row],[Date]])&gt;15)</f>
        <v>22-19</v>
      </c>
      <c r="J109" s="66" t="str" cm="1">
        <f t="array" ref="J109">INDEX(RECAP!N:N,_xlfn.AGGREGATE(14,6,ROW(Tabel1[personne])/((Tabel1[personne]=Tabel2[[#This Row],[Personne]])*(Tabel1[début]&lt;=Tabel2[[#This Row],[Date]])),1))</f>
        <v>30,24h/semaine</v>
      </c>
      <c r="K109" s="66">
        <f>VLOOKUP(J109,RECAP!$T$4:$V$7,3,0)</f>
        <v>0.252</v>
      </c>
      <c r="L109" s="67" t="str">
        <f>IF(WORKDAY.INTL(Tabel2[[#This Row],[Date]]-1,1,"0000000",TBL_Féries[])&lt;&gt;Tabel2[[#This Row],[Date]],"X","")</f>
        <v/>
      </c>
      <c r="M109" s="34"/>
      <c r="N109" s="34"/>
      <c r="O109" s="34"/>
    </row>
    <row r="110" spans="1:15" ht="21" x14ac:dyDescent="0.25">
      <c r="A110" s="63" t="s">
        <v>19</v>
      </c>
      <c r="B110" s="64">
        <f t="shared" si="4"/>
        <v>43404</v>
      </c>
      <c r="C110" s="37"/>
      <c r="E110" s="44"/>
      <c r="F110" s="66">
        <f t="shared" si="5"/>
        <v>0</v>
      </c>
      <c r="G110" s="66">
        <f>IF(L110="x",Tabel2[[#This Row],[Temps
 théorique]]-RECAP!$Y$6,(F110-K110)*(COUNT(C110:D110)=2))</f>
        <v>0</v>
      </c>
      <c r="H110" s="66"/>
      <c r="I110" s="66" t="str">
        <f>MOD(YEAR(Tabel2[[#This Row],[Date]]),100)&amp;"-"&amp;(MONTH(Tabel2[[#This Row],[Date]])-1)*2+(DAY(Tabel2[[#This Row],[Date]])&gt;15)</f>
        <v>22-20</v>
      </c>
      <c r="J110" s="66" t="str" cm="1">
        <f t="array" ref="J110">INDEX(RECAP!N:N,_xlfn.AGGREGATE(14,6,ROW(Tabel1[personne])/((Tabel1[personne]=Tabel2[[#This Row],[Personne]])*(Tabel1[début]&lt;=Tabel2[[#This Row],[Date]])),1))</f>
        <v>30,24h/semaine</v>
      </c>
      <c r="K110" s="66">
        <f>VLOOKUP(J110,RECAP!$T$4:$V$7,3,0)</f>
        <v>0.252</v>
      </c>
      <c r="L110" s="67" t="str">
        <f>IF(WORKDAY.INTL(Tabel2[[#This Row],[Date]]-1,1,"0000000",TBL_Féries[])&lt;&gt;Tabel2[[#This Row],[Date]],"X","")</f>
        <v/>
      </c>
      <c r="M110" s="34"/>
      <c r="N110" s="34"/>
      <c r="O110" s="34"/>
    </row>
    <row r="111" spans="1:15" ht="21" x14ac:dyDescent="0.25">
      <c r="A111" s="63" t="s">
        <v>19</v>
      </c>
      <c r="B111" s="64">
        <f t="shared" si="4"/>
        <v>43405</v>
      </c>
      <c r="C111" s="37"/>
      <c r="E111" s="44"/>
      <c r="F111" s="66">
        <f t="shared" si="5"/>
        <v>0</v>
      </c>
      <c r="G111" s="66">
        <f>IF(L111="x",Tabel2[[#This Row],[Temps
 théorique]]-RECAP!$Y$6,(F111-K111)*(COUNT(C111:D111)=2))</f>
        <v>0</v>
      </c>
      <c r="H111" s="66"/>
      <c r="I111" s="66" t="str">
        <f>MOD(YEAR(Tabel2[[#This Row],[Date]]),100)&amp;"-"&amp;(MONTH(Tabel2[[#This Row],[Date]])-1)*2+(DAY(Tabel2[[#This Row],[Date]])&gt;15)</f>
        <v>22-20</v>
      </c>
      <c r="J111" s="66" t="str" cm="1">
        <f t="array" ref="J111">INDEX(RECAP!N:N,_xlfn.AGGREGATE(14,6,ROW(Tabel1[personne])/((Tabel1[personne]=Tabel2[[#This Row],[Personne]])*(Tabel1[début]&lt;=Tabel2[[#This Row],[Date]])),1))</f>
        <v>30,24h/semaine</v>
      </c>
      <c r="K111" s="66">
        <f>VLOOKUP(J111,RECAP!$T$4:$V$7,3,0)</f>
        <v>0.252</v>
      </c>
      <c r="L111" s="67" t="str">
        <f>IF(WORKDAY.INTL(Tabel2[[#This Row],[Date]]-1,1,"0000000",TBL_Féries[])&lt;&gt;Tabel2[[#This Row],[Date]],"X","")</f>
        <v/>
      </c>
      <c r="M111" s="34"/>
      <c r="N111" s="34"/>
      <c r="O111" s="34"/>
    </row>
    <row r="112" spans="1:15" ht="21" x14ac:dyDescent="0.25">
      <c r="A112" s="63" t="s">
        <v>19</v>
      </c>
      <c r="B112" s="64">
        <f t="shared" si="4"/>
        <v>43406</v>
      </c>
      <c r="C112" s="37">
        <v>0.36249999999999999</v>
      </c>
      <c r="D112" s="37">
        <v>0.6972222222222223</v>
      </c>
      <c r="E112" s="44"/>
      <c r="F112" s="66">
        <f t="shared" si="5"/>
        <v>0.31388888888888899</v>
      </c>
      <c r="G112" s="66">
        <f>IF(L112="x",Tabel2[[#This Row],[Temps
 théorique]]-RECAP!$Y$6,(F112-K112)*(COUNT(C112:D112)=2))</f>
        <v>6.1888888888888993E-2</v>
      </c>
      <c r="H112" s="66"/>
      <c r="I112" s="66" t="str">
        <f>MOD(YEAR(Tabel2[[#This Row],[Date]]),100)&amp;"-"&amp;(MONTH(Tabel2[[#This Row],[Date]])-1)*2+(DAY(Tabel2[[#This Row],[Date]])&gt;15)</f>
        <v>22-20</v>
      </c>
      <c r="J112" s="66" t="str" cm="1">
        <f t="array" ref="J112">INDEX(RECAP!N:N,_xlfn.AGGREGATE(14,6,ROW(Tabel1[personne])/((Tabel1[personne]=Tabel2[[#This Row],[Personne]])*(Tabel1[début]&lt;=Tabel2[[#This Row],[Date]])),1))</f>
        <v>30,24h/semaine</v>
      </c>
      <c r="K112" s="66">
        <f>VLOOKUP(J112,RECAP!$T$4:$V$7,3,0)</f>
        <v>0.252</v>
      </c>
      <c r="L112" s="67" t="str">
        <f>IF(WORKDAY.INTL(Tabel2[[#This Row],[Date]]-1,1,"0000000",TBL_Féries[])&lt;&gt;Tabel2[[#This Row],[Date]],"X","")</f>
        <v/>
      </c>
      <c r="M112" s="34"/>
      <c r="N112" s="34"/>
      <c r="O112" s="34"/>
    </row>
    <row r="113" spans="1:15" ht="21" x14ac:dyDescent="0.25">
      <c r="A113" s="63" t="s">
        <v>19</v>
      </c>
      <c r="B113" s="64">
        <f t="shared" si="4"/>
        <v>43407</v>
      </c>
      <c r="C113" s="37">
        <v>0.35694444444444445</v>
      </c>
      <c r="D113" s="37">
        <v>0.68888888888888899</v>
      </c>
      <c r="E113" s="44"/>
      <c r="F113" s="66">
        <f t="shared" si="5"/>
        <v>0.31111111111111123</v>
      </c>
      <c r="G113" s="66">
        <f>IF(L113="x",Tabel2[[#This Row],[Temps
 théorique]]-RECAP!$Y$6,(F113-K113)*(COUNT(C113:D113)=2))</f>
        <v>5.9111111111111225E-2</v>
      </c>
      <c r="H113" s="66"/>
      <c r="I113" s="66" t="str">
        <f>MOD(YEAR(Tabel2[[#This Row],[Date]]),100)&amp;"-"&amp;(MONTH(Tabel2[[#This Row],[Date]])-1)*2+(DAY(Tabel2[[#This Row],[Date]])&gt;15)</f>
        <v>22-20</v>
      </c>
      <c r="J113" s="66" t="str" cm="1">
        <f t="array" ref="J113">INDEX(RECAP!N:N,_xlfn.AGGREGATE(14,6,ROW(Tabel1[personne])/((Tabel1[personne]=Tabel2[[#This Row],[Personne]])*(Tabel1[début]&lt;=Tabel2[[#This Row],[Date]])),1))</f>
        <v>30,24h/semaine</v>
      </c>
      <c r="K113" s="66">
        <f>VLOOKUP(J113,RECAP!$T$4:$V$7,3,0)</f>
        <v>0.252</v>
      </c>
      <c r="L113" s="67" t="str">
        <f>IF(WORKDAY.INTL(Tabel2[[#This Row],[Date]]-1,1,"0000000",TBL_Féries[])&lt;&gt;Tabel2[[#This Row],[Date]],"X","")</f>
        <v/>
      </c>
      <c r="M113" s="34"/>
      <c r="N113" s="34"/>
      <c r="O113" s="34"/>
    </row>
    <row r="114" spans="1:15" ht="21" x14ac:dyDescent="0.25">
      <c r="A114" s="63" t="s">
        <v>19</v>
      </c>
      <c r="B114" s="64">
        <f t="shared" si="4"/>
        <v>43410</v>
      </c>
      <c r="C114" s="37">
        <v>0.35833333333333334</v>
      </c>
      <c r="D114" s="37">
        <v>0.6875</v>
      </c>
      <c r="E114" s="44"/>
      <c r="F114" s="66">
        <f t="shared" si="5"/>
        <v>0.30833333333333335</v>
      </c>
      <c r="G114" s="66">
        <f>IF(L114="x",Tabel2[[#This Row],[Temps
 théorique]]-RECAP!$Y$6,(F114-K114)*(COUNT(C114:D114)=2))</f>
        <v>5.6333333333333346E-2</v>
      </c>
      <c r="H114" s="66"/>
      <c r="I114" s="66" t="str">
        <f>MOD(YEAR(Tabel2[[#This Row],[Date]]),100)&amp;"-"&amp;(MONTH(Tabel2[[#This Row],[Date]])-1)*2+(DAY(Tabel2[[#This Row],[Date]])&gt;15)</f>
        <v>22-20</v>
      </c>
      <c r="J114" s="66" t="str" cm="1">
        <f t="array" ref="J114">INDEX(RECAP!N:N,_xlfn.AGGREGATE(14,6,ROW(Tabel1[personne])/((Tabel1[personne]=Tabel2[[#This Row],[Personne]])*(Tabel1[début]&lt;=Tabel2[[#This Row],[Date]])),1))</f>
        <v>30,24h/semaine</v>
      </c>
      <c r="K114" s="66">
        <f>VLOOKUP(J114,RECAP!$T$4:$V$7,3,0)</f>
        <v>0.252</v>
      </c>
      <c r="L114" s="67" t="str">
        <f>IF(WORKDAY.INTL(Tabel2[[#This Row],[Date]]-1,1,"0000000",TBL_Féries[])&lt;&gt;Tabel2[[#This Row],[Date]],"X","")</f>
        <v/>
      </c>
      <c r="M114" s="34"/>
      <c r="N114" s="34"/>
      <c r="O114" s="34"/>
    </row>
    <row r="115" spans="1:15" ht="21" x14ac:dyDescent="0.25">
      <c r="A115" s="63" t="s">
        <v>19</v>
      </c>
      <c r="B115" s="64">
        <f t="shared" si="4"/>
        <v>43411</v>
      </c>
      <c r="C115" s="37">
        <v>0.35555555555555557</v>
      </c>
      <c r="D115" s="37">
        <v>0.56180555555555556</v>
      </c>
      <c r="E115" s="44"/>
      <c r="F115" s="66">
        <f t="shared" si="5"/>
        <v>0.18541666666666665</v>
      </c>
      <c r="G115" s="66">
        <f>IF(L115="x",Tabel2[[#This Row],[Temps
 théorique]]-RECAP!$Y$6,(F115-K115)*(COUNT(C115:D115)=2))</f>
        <v>-6.6583333333333355E-2</v>
      </c>
      <c r="H115" s="66"/>
      <c r="I115" s="66" t="str">
        <f>MOD(YEAR(Tabel2[[#This Row],[Date]]),100)&amp;"-"&amp;(MONTH(Tabel2[[#This Row],[Date]])-1)*2+(DAY(Tabel2[[#This Row],[Date]])&gt;15)</f>
        <v>22-20</v>
      </c>
      <c r="J115" s="66" t="str" cm="1">
        <f t="array" ref="J115">INDEX(RECAP!N:N,_xlfn.AGGREGATE(14,6,ROW(Tabel1[personne])/((Tabel1[personne]=Tabel2[[#This Row],[Personne]])*(Tabel1[début]&lt;=Tabel2[[#This Row],[Date]])),1))</f>
        <v>30,24h/semaine</v>
      </c>
      <c r="K115" s="66">
        <f>VLOOKUP(J115,RECAP!$T$4:$V$7,3,0)</f>
        <v>0.252</v>
      </c>
      <c r="L115" s="67" t="str">
        <f>IF(WORKDAY.INTL(Tabel2[[#This Row],[Date]]-1,1,"0000000",TBL_Féries[])&lt;&gt;Tabel2[[#This Row],[Date]],"X","")</f>
        <v/>
      </c>
      <c r="M115" s="34"/>
      <c r="N115" s="34"/>
      <c r="O115" s="34"/>
    </row>
    <row r="116" spans="1:15" ht="21" x14ac:dyDescent="0.25">
      <c r="A116" s="63" t="s">
        <v>19</v>
      </c>
      <c r="B116" s="64">
        <f t="shared" si="4"/>
        <v>43412</v>
      </c>
      <c r="C116" s="37"/>
      <c r="E116" s="44"/>
      <c r="F116" s="66">
        <f t="shared" si="5"/>
        <v>0</v>
      </c>
      <c r="G116" s="66">
        <f>IF(L116="x",Tabel2[[#This Row],[Temps
 théorique]]-RECAP!$Y$6,(F116-K116)*(COUNT(C116:D116)=2))</f>
        <v>0</v>
      </c>
      <c r="H116" s="66"/>
      <c r="I116" s="66" t="str">
        <f>MOD(YEAR(Tabel2[[#This Row],[Date]]),100)&amp;"-"&amp;(MONTH(Tabel2[[#This Row],[Date]])-1)*2+(DAY(Tabel2[[#This Row],[Date]])&gt;15)</f>
        <v>22-20</v>
      </c>
      <c r="J116" s="66" t="str" cm="1">
        <f t="array" ref="J116">INDEX(RECAP!N:N,_xlfn.AGGREGATE(14,6,ROW(Tabel1[personne])/((Tabel1[personne]=Tabel2[[#This Row],[Personne]])*(Tabel1[début]&lt;=Tabel2[[#This Row],[Date]])),1))</f>
        <v>30,24h/semaine</v>
      </c>
      <c r="K116" s="66">
        <f>VLOOKUP(J116,RECAP!$T$4:$V$7,3,0)</f>
        <v>0.252</v>
      </c>
      <c r="L116" s="67" t="str">
        <f>IF(WORKDAY.INTL(Tabel2[[#This Row],[Date]]-1,1,"0000000",TBL_Féries[])&lt;&gt;Tabel2[[#This Row],[Date]],"X","")</f>
        <v/>
      </c>
      <c r="M116" s="34"/>
      <c r="N116" s="34"/>
      <c r="O116" s="34"/>
    </row>
    <row r="117" spans="1:15" ht="21" x14ac:dyDescent="0.25">
      <c r="A117" s="63" t="s">
        <v>19</v>
      </c>
      <c r="B117" s="64">
        <f t="shared" si="4"/>
        <v>43413</v>
      </c>
      <c r="C117" s="37"/>
      <c r="E117" s="44"/>
      <c r="F117" s="66">
        <f t="shared" si="5"/>
        <v>0</v>
      </c>
      <c r="G117" s="66">
        <f>IF(L117="x",Tabel2[[#This Row],[Temps
 théorique]]-RECAP!$Y$6,(F117-K117)*(COUNT(C117:D117)=2))</f>
        <v>0</v>
      </c>
      <c r="H117" s="66"/>
      <c r="I117" s="66" t="str">
        <f>MOD(YEAR(Tabel2[[#This Row],[Date]]),100)&amp;"-"&amp;(MONTH(Tabel2[[#This Row],[Date]])-1)*2+(DAY(Tabel2[[#This Row],[Date]])&gt;15)</f>
        <v>22-20</v>
      </c>
      <c r="J117" s="66" t="str" cm="1">
        <f t="array" ref="J117">INDEX(RECAP!N:N,_xlfn.AGGREGATE(14,6,ROW(Tabel1[personne])/((Tabel1[personne]=Tabel2[[#This Row],[Personne]])*(Tabel1[début]&lt;=Tabel2[[#This Row],[Date]])),1))</f>
        <v>30,24h/semaine</v>
      </c>
      <c r="K117" s="66">
        <f>VLOOKUP(J117,RECAP!$T$4:$V$7,3,0)</f>
        <v>0.252</v>
      </c>
      <c r="L117" s="67" t="str">
        <f>IF(WORKDAY.INTL(Tabel2[[#This Row],[Date]]-1,1,"0000000",TBL_Féries[])&lt;&gt;Tabel2[[#This Row],[Date]],"X","")</f>
        <v/>
      </c>
      <c r="M117" s="34"/>
      <c r="N117" s="34"/>
      <c r="O117" s="34"/>
    </row>
    <row r="118" spans="1:15" ht="21" x14ac:dyDescent="0.25">
      <c r="A118" s="63" t="s">
        <v>19</v>
      </c>
      <c r="B118" s="64">
        <f t="shared" si="4"/>
        <v>43414</v>
      </c>
      <c r="C118" s="37"/>
      <c r="E118" s="44"/>
      <c r="F118" s="66">
        <f t="shared" si="5"/>
        <v>0</v>
      </c>
      <c r="G118" s="66">
        <f>IF(L118="x",Tabel2[[#This Row],[Temps
 théorique]]-RECAP!$Y$6,(F118-K118)*(COUNT(C118:D118)=2))</f>
        <v>-6.0499999999999998E-2</v>
      </c>
      <c r="H118" s="66"/>
      <c r="I118" s="66" t="str">
        <f>MOD(YEAR(Tabel2[[#This Row],[Date]]),100)&amp;"-"&amp;(MONTH(Tabel2[[#This Row],[Date]])-1)*2+(DAY(Tabel2[[#This Row],[Date]])&gt;15)</f>
        <v>22-20</v>
      </c>
      <c r="J118" s="66" t="str" cm="1">
        <f t="array" ref="J118">INDEX(RECAP!N:N,_xlfn.AGGREGATE(14,6,ROW(Tabel1[personne])/((Tabel1[personne]=Tabel2[[#This Row],[Personne]])*(Tabel1[début]&lt;=Tabel2[[#This Row],[Date]])),1))</f>
        <v>30,24h/semaine</v>
      </c>
      <c r="K118" s="66">
        <f>VLOOKUP(J118,RECAP!$T$4:$V$7,3,0)</f>
        <v>0.252</v>
      </c>
      <c r="L118" s="67" t="str">
        <f>IF(WORKDAY.INTL(Tabel2[[#This Row],[Date]]-1,1,"0000000",TBL_Féries[])&lt;&gt;Tabel2[[#This Row],[Date]],"X","")</f>
        <v>X</v>
      </c>
      <c r="M118" s="34"/>
      <c r="N118" s="34"/>
      <c r="O118" s="34"/>
    </row>
    <row r="119" spans="1:15" ht="21" x14ac:dyDescent="0.25">
      <c r="A119" s="63" t="s">
        <v>19</v>
      </c>
      <c r="B119" s="64">
        <f t="shared" si="4"/>
        <v>43417</v>
      </c>
      <c r="C119" s="37"/>
      <c r="E119" s="44"/>
      <c r="F119" s="66">
        <f t="shared" si="5"/>
        <v>0</v>
      </c>
      <c r="G119" s="66">
        <f>IF(L119="x",Tabel2[[#This Row],[Temps
 théorique]]-RECAP!$Y$6,(F119-K119)*(COUNT(C119:D119)=2))</f>
        <v>0</v>
      </c>
      <c r="H119" s="66"/>
      <c r="I119" s="66" t="str">
        <f>MOD(YEAR(Tabel2[[#This Row],[Date]]),100)&amp;"-"&amp;(MONTH(Tabel2[[#This Row],[Date]])-1)*2+(DAY(Tabel2[[#This Row],[Date]])&gt;15)</f>
        <v>22-20</v>
      </c>
      <c r="J119" s="66" t="str" cm="1">
        <f t="array" ref="J119">INDEX(RECAP!N:N,_xlfn.AGGREGATE(14,6,ROW(Tabel1[personne])/((Tabel1[personne]=Tabel2[[#This Row],[Personne]])*(Tabel1[début]&lt;=Tabel2[[#This Row],[Date]])),1))</f>
        <v>30,24h/semaine</v>
      </c>
      <c r="K119" s="66">
        <f>VLOOKUP(J119,RECAP!$T$4:$V$7,3,0)</f>
        <v>0.252</v>
      </c>
      <c r="L119" s="67" t="str">
        <f>IF(WORKDAY.INTL(Tabel2[[#This Row],[Date]]-1,1,"0000000",TBL_Féries[])&lt;&gt;Tabel2[[#This Row],[Date]],"X","")</f>
        <v/>
      </c>
      <c r="M119" s="34"/>
      <c r="N119" s="34"/>
      <c r="O119" s="34"/>
    </row>
    <row r="120" spans="1:15" ht="21" x14ac:dyDescent="0.25">
      <c r="A120" s="63" t="s">
        <v>19</v>
      </c>
      <c r="B120" s="64">
        <f t="shared" si="4"/>
        <v>43418</v>
      </c>
      <c r="C120" s="37"/>
      <c r="E120" s="44"/>
      <c r="F120" s="66">
        <f t="shared" si="5"/>
        <v>0</v>
      </c>
      <c r="G120" s="66">
        <f>IF(L120="x",Tabel2[[#This Row],[Temps
 théorique]]-RECAP!$Y$6,(F120-K120)*(COUNT(C120:D120)=2))</f>
        <v>0</v>
      </c>
      <c r="H120" s="66"/>
      <c r="I120" s="66" t="str">
        <f>MOD(YEAR(Tabel2[[#This Row],[Date]]),100)&amp;"-"&amp;(MONTH(Tabel2[[#This Row],[Date]])-1)*2+(DAY(Tabel2[[#This Row],[Date]])&gt;15)</f>
        <v>22-20</v>
      </c>
      <c r="J120" s="66" t="str" cm="1">
        <f t="array" ref="J120">INDEX(RECAP!N:N,_xlfn.AGGREGATE(14,6,ROW(Tabel1[personne])/((Tabel1[personne]=Tabel2[[#This Row],[Personne]])*(Tabel1[début]&lt;=Tabel2[[#This Row],[Date]])),1))</f>
        <v>30,24h/semaine</v>
      </c>
      <c r="K120" s="66">
        <f>VLOOKUP(J120,RECAP!$T$4:$V$7,3,0)</f>
        <v>0.252</v>
      </c>
      <c r="L120" s="67" t="str">
        <f>IF(WORKDAY.INTL(Tabel2[[#This Row],[Date]]-1,1,"0000000",TBL_Féries[])&lt;&gt;Tabel2[[#This Row],[Date]],"X","")</f>
        <v/>
      </c>
      <c r="M120" s="34"/>
      <c r="N120" s="34"/>
      <c r="O120" s="34"/>
    </row>
    <row r="121" spans="1:15" ht="21" x14ac:dyDescent="0.25">
      <c r="A121" s="63" t="s">
        <v>19</v>
      </c>
      <c r="B121" s="64">
        <f t="shared" si="4"/>
        <v>43419</v>
      </c>
      <c r="C121" s="37"/>
      <c r="E121" s="44"/>
      <c r="F121" s="66">
        <f t="shared" si="5"/>
        <v>0</v>
      </c>
      <c r="G121" s="66">
        <f>IF(L121="x",Tabel2[[#This Row],[Temps
 théorique]]-RECAP!$Y$6,(F121-K121)*(COUNT(C121:D121)=2))</f>
        <v>0</v>
      </c>
      <c r="H121" s="66"/>
      <c r="I121" s="66" t="str">
        <f>MOD(YEAR(Tabel2[[#This Row],[Date]]),100)&amp;"-"&amp;(MONTH(Tabel2[[#This Row],[Date]])-1)*2+(DAY(Tabel2[[#This Row],[Date]])&gt;15)</f>
        <v>22-21</v>
      </c>
      <c r="J121" s="66" t="str" cm="1">
        <f t="array" ref="J121">INDEX(RECAP!N:N,_xlfn.AGGREGATE(14,6,ROW(Tabel1[personne])/((Tabel1[personne]=Tabel2[[#This Row],[Personne]])*(Tabel1[début]&lt;=Tabel2[[#This Row],[Date]])),1))</f>
        <v>30,24h/semaine</v>
      </c>
      <c r="K121" s="66">
        <f>VLOOKUP(J121,RECAP!$T$4:$V$7,3,0)</f>
        <v>0.252</v>
      </c>
      <c r="L121" s="67" t="str">
        <f>IF(WORKDAY.INTL(Tabel2[[#This Row],[Date]]-1,1,"0000000",TBL_Féries[])&lt;&gt;Tabel2[[#This Row],[Date]],"X","")</f>
        <v/>
      </c>
      <c r="M121" s="34"/>
      <c r="N121" s="34"/>
      <c r="O121" s="34"/>
    </row>
    <row r="122" spans="1:15" ht="21" x14ac:dyDescent="0.25">
      <c r="A122" s="63" t="s">
        <v>19</v>
      </c>
      <c r="B122" s="64">
        <f t="shared" si="4"/>
        <v>43420</v>
      </c>
      <c r="C122" s="37"/>
      <c r="E122" s="44"/>
      <c r="F122" s="66">
        <f t="shared" si="5"/>
        <v>0</v>
      </c>
      <c r="G122" s="66">
        <f>IF(L122="x",Tabel2[[#This Row],[Temps
 théorique]]-RECAP!$Y$6,(F122-K122)*(COUNT(C122:D122)=2))</f>
        <v>0</v>
      </c>
      <c r="H122" s="66"/>
      <c r="I122" s="66" t="str">
        <f>MOD(YEAR(Tabel2[[#This Row],[Date]]),100)&amp;"-"&amp;(MONTH(Tabel2[[#This Row],[Date]])-1)*2+(DAY(Tabel2[[#This Row],[Date]])&gt;15)</f>
        <v>22-21</v>
      </c>
      <c r="J122" s="66" t="str" cm="1">
        <f t="array" ref="J122">INDEX(RECAP!N:N,_xlfn.AGGREGATE(14,6,ROW(Tabel1[personne])/((Tabel1[personne]=Tabel2[[#This Row],[Personne]])*(Tabel1[début]&lt;=Tabel2[[#This Row],[Date]])),1))</f>
        <v>30,24h/semaine</v>
      </c>
      <c r="K122" s="66">
        <f>VLOOKUP(J122,RECAP!$T$4:$V$7,3,0)</f>
        <v>0.252</v>
      </c>
      <c r="L122" s="67" t="str">
        <f>IF(WORKDAY.INTL(Tabel2[[#This Row],[Date]]-1,1,"0000000",TBL_Féries[])&lt;&gt;Tabel2[[#This Row],[Date]],"X","")</f>
        <v/>
      </c>
      <c r="M122" s="34"/>
      <c r="N122" s="34"/>
      <c r="O122" s="34"/>
    </row>
    <row r="123" spans="1:15" ht="21" x14ac:dyDescent="0.25">
      <c r="A123" s="63" t="s">
        <v>19</v>
      </c>
      <c r="B123" s="64">
        <f t="shared" si="4"/>
        <v>43421</v>
      </c>
      <c r="C123" s="37"/>
      <c r="E123" s="44"/>
      <c r="F123" s="66">
        <f t="shared" si="5"/>
        <v>0</v>
      </c>
      <c r="G123" s="66">
        <f>IF(L123="x",Tabel2[[#This Row],[Temps
 théorique]]-RECAP!$Y$6,(F123-K123)*(COUNT(C123:D123)=2))</f>
        <v>0</v>
      </c>
      <c r="H123" s="66"/>
      <c r="I123" s="66" t="str">
        <f>MOD(YEAR(Tabel2[[#This Row],[Date]]),100)&amp;"-"&amp;(MONTH(Tabel2[[#This Row],[Date]])-1)*2+(DAY(Tabel2[[#This Row],[Date]])&gt;15)</f>
        <v>22-21</v>
      </c>
      <c r="J123" s="66" t="str" cm="1">
        <f t="array" ref="J123">INDEX(RECAP!N:N,_xlfn.AGGREGATE(14,6,ROW(Tabel1[personne])/((Tabel1[personne]=Tabel2[[#This Row],[Personne]])*(Tabel1[début]&lt;=Tabel2[[#This Row],[Date]])),1))</f>
        <v>30,24h/semaine</v>
      </c>
      <c r="K123" s="66">
        <f>VLOOKUP(J123,RECAP!$T$4:$V$7,3,0)</f>
        <v>0.252</v>
      </c>
      <c r="L123" s="67" t="str">
        <f>IF(WORKDAY.INTL(Tabel2[[#This Row],[Date]]-1,1,"0000000",TBL_Féries[])&lt;&gt;Tabel2[[#This Row],[Date]],"X","")</f>
        <v/>
      </c>
      <c r="M123" s="34"/>
      <c r="N123" s="34"/>
      <c r="O123" s="34"/>
    </row>
    <row r="124" spans="1:15" ht="21" x14ac:dyDescent="0.25">
      <c r="A124" s="63" t="s">
        <v>19</v>
      </c>
      <c r="B124" s="64">
        <f t="shared" si="4"/>
        <v>43424</v>
      </c>
      <c r="C124" s="37"/>
      <c r="E124" s="44"/>
      <c r="F124" s="66">
        <f t="shared" si="5"/>
        <v>0</v>
      </c>
      <c r="G124" s="66">
        <f>IF(L124="x",Tabel2[[#This Row],[Temps
 théorique]]-RECAP!$Y$6,(F124-K124)*(COUNT(C124:D124)=2))</f>
        <v>0</v>
      </c>
      <c r="H124" s="66"/>
      <c r="I124" s="66" t="str">
        <f>MOD(YEAR(Tabel2[[#This Row],[Date]]),100)&amp;"-"&amp;(MONTH(Tabel2[[#This Row],[Date]])-1)*2+(DAY(Tabel2[[#This Row],[Date]])&gt;15)</f>
        <v>22-21</v>
      </c>
      <c r="J124" s="66" t="str" cm="1">
        <f t="array" ref="J124">INDEX(RECAP!N:N,_xlfn.AGGREGATE(14,6,ROW(Tabel1[personne])/((Tabel1[personne]=Tabel2[[#This Row],[Personne]])*(Tabel1[début]&lt;=Tabel2[[#This Row],[Date]])),1))</f>
        <v>30,24h/semaine</v>
      </c>
      <c r="K124" s="66">
        <f>VLOOKUP(J124,RECAP!$T$4:$V$7,3,0)</f>
        <v>0.252</v>
      </c>
      <c r="L124" s="67" t="str">
        <f>IF(WORKDAY.INTL(Tabel2[[#This Row],[Date]]-1,1,"0000000",TBL_Féries[])&lt;&gt;Tabel2[[#This Row],[Date]],"X","")</f>
        <v/>
      </c>
      <c r="M124" s="34"/>
      <c r="N124" s="34"/>
      <c r="O124" s="34"/>
    </row>
    <row r="125" spans="1:15" ht="21" x14ac:dyDescent="0.25">
      <c r="A125" s="63" t="s">
        <v>19</v>
      </c>
      <c r="B125" s="64">
        <f t="shared" si="4"/>
        <v>43425</v>
      </c>
      <c r="C125" s="37"/>
      <c r="E125" s="44"/>
      <c r="F125" s="66">
        <f t="shared" si="5"/>
        <v>0</v>
      </c>
      <c r="G125" s="66">
        <f>IF(L125="x",Tabel2[[#This Row],[Temps
 théorique]]-RECAP!$Y$6,(F125-K125)*(COUNT(C125:D125)=2))</f>
        <v>0</v>
      </c>
      <c r="H125" s="66"/>
      <c r="I125" s="66" t="str">
        <f>MOD(YEAR(Tabel2[[#This Row],[Date]]),100)&amp;"-"&amp;(MONTH(Tabel2[[#This Row],[Date]])-1)*2+(DAY(Tabel2[[#This Row],[Date]])&gt;15)</f>
        <v>22-21</v>
      </c>
      <c r="J125" s="66" t="str" cm="1">
        <f t="array" ref="J125">INDEX(RECAP!N:N,_xlfn.AGGREGATE(14,6,ROW(Tabel1[personne])/((Tabel1[personne]=Tabel2[[#This Row],[Personne]])*(Tabel1[début]&lt;=Tabel2[[#This Row],[Date]])),1))</f>
        <v>30,24h/semaine</v>
      </c>
      <c r="K125" s="66">
        <f>VLOOKUP(J125,RECAP!$T$4:$V$7,3,0)</f>
        <v>0.252</v>
      </c>
      <c r="L125" s="67" t="str">
        <f>IF(WORKDAY.INTL(Tabel2[[#This Row],[Date]]-1,1,"0000000",TBL_Féries[])&lt;&gt;Tabel2[[#This Row],[Date]],"X","")</f>
        <v/>
      </c>
      <c r="M125" s="34"/>
      <c r="N125" s="34"/>
      <c r="O125" s="34"/>
    </row>
    <row r="126" spans="1:15" ht="21" x14ac:dyDescent="0.25">
      <c r="A126" s="63" t="s">
        <v>19</v>
      </c>
      <c r="B126" s="64">
        <f t="shared" si="4"/>
        <v>43426</v>
      </c>
      <c r="C126" s="37"/>
      <c r="E126" s="44"/>
      <c r="F126" s="66">
        <f t="shared" si="5"/>
        <v>0</v>
      </c>
      <c r="G126" s="66">
        <f>IF(L126="x",Tabel2[[#This Row],[Temps
 théorique]]-RECAP!$Y$6,(F126-K126)*(COUNT(C126:D126)=2))</f>
        <v>0</v>
      </c>
      <c r="H126" s="66"/>
      <c r="I126" s="66" t="str">
        <f>MOD(YEAR(Tabel2[[#This Row],[Date]]),100)&amp;"-"&amp;(MONTH(Tabel2[[#This Row],[Date]])-1)*2+(DAY(Tabel2[[#This Row],[Date]])&gt;15)</f>
        <v>22-21</v>
      </c>
      <c r="J126" s="66" t="str" cm="1">
        <f t="array" ref="J126">INDEX(RECAP!N:N,_xlfn.AGGREGATE(14,6,ROW(Tabel1[personne])/((Tabel1[personne]=Tabel2[[#This Row],[Personne]])*(Tabel1[début]&lt;=Tabel2[[#This Row],[Date]])),1))</f>
        <v>30,24h/semaine</v>
      </c>
      <c r="K126" s="66">
        <f>VLOOKUP(J126,RECAP!$T$4:$V$7,3,0)</f>
        <v>0.252</v>
      </c>
      <c r="L126" s="67" t="str">
        <f>IF(WORKDAY.INTL(Tabel2[[#This Row],[Date]]-1,1,"0000000",TBL_Féries[])&lt;&gt;Tabel2[[#This Row],[Date]],"X","")</f>
        <v/>
      </c>
      <c r="M126" s="34"/>
      <c r="N126" s="34"/>
      <c r="O126" s="34"/>
    </row>
    <row r="127" spans="1:15" ht="21" x14ac:dyDescent="0.25">
      <c r="A127" s="63" t="s">
        <v>19</v>
      </c>
      <c r="B127" s="64">
        <f t="shared" si="4"/>
        <v>43427</v>
      </c>
      <c r="C127" s="37"/>
      <c r="E127" s="44"/>
      <c r="F127" s="66">
        <f t="shared" si="5"/>
        <v>0</v>
      </c>
      <c r="G127" s="66">
        <f>IF(L127="x",Tabel2[[#This Row],[Temps
 théorique]]-RECAP!$Y$6,(F127-K127)*(COUNT(C127:D127)=2))</f>
        <v>0</v>
      </c>
      <c r="H127" s="66"/>
      <c r="I127" s="66" t="str">
        <f>MOD(YEAR(Tabel2[[#This Row],[Date]]),100)&amp;"-"&amp;(MONTH(Tabel2[[#This Row],[Date]])-1)*2+(DAY(Tabel2[[#This Row],[Date]])&gt;15)</f>
        <v>22-21</v>
      </c>
      <c r="J127" s="66" t="str" cm="1">
        <f t="array" ref="J127">INDEX(RECAP!N:N,_xlfn.AGGREGATE(14,6,ROW(Tabel1[personne])/((Tabel1[personne]=Tabel2[[#This Row],[Personne]])*(Tabel1[début]&lt;=Tabel2[[#This Row],[Date]])),1))</f>
        <v>30,24h/semaine</v>
      </c>
      <c r="K127" s="66">
        <f>VLOOKUP(J127,RECAP!$T$4:$V$7,3,0)</f>
        <v>0.252</v>
      </c>
      <c r="L127" s="67" t="str">
        <f>IF(WORKDAY.INTL(Tabel2[[#This Row],[Date]]-1,1,"0000000",TBL_Féries[])&lt;&gt;Tabel2[[#This Row],[Date]],"X","")</f>
        <v/>
      </c>
      <c r="M127" s="34"/>
      <c r="N127" s="34"/>
      <c r="O127" s="34"/>
    </row>
    <row r="128" spans="1:15" ht="21" x14ac:dyDescent="0.25">
      <c r="A128" s="63" t="s">
        <v>19</v>
      </c>
      <c r="B128" s="64">
        <f t="shared" si="4"/>
        <v>43428</v>
      </c>
      <c r="C128" s="37"/>
      <c r="E128" s="44"/>
      <c r="F128" s="66">
        <f t="shared" si="5"/>
        <v>0</v>
      </c>
      <c r="G128" s="66">
        <f>IF(L128="x",Tabel2[[#This Row],[Temps
 théorique]]-RECAP!$Y$6,(F128-K128)*(COUNT(C128:D128)=2))</f>
        <v>0</v>
      </c>
      <c r="H128" s="66"/>
      <c r="I128" s="66" t="str">
        <f>MOD(YEAR(Tabel2[[#This Row],[Date]]),100)&amp;"-"&amp;(MONTH(Tabel2[[#This Row],[Date]])-1)*2+(DAY(Tabel2[[#This Row],[Date]])&gt;15)</f>
        <v>22-21</v>
      </c>
      <c r="J128" s="66" t="str" cm="1">
        <f t="array" ref="J128">INDEX(RECAP!N:N,_xlfn.AGGREGATE(14,6,ROW(Tabel1[personne])/((Tabel1[personne]=Tabel2[[#This Row],[Personne]])*(Tabel1[début]&lt;=Tabel2[[#This Row],[Date]])),1))</f>
        <v>30,24h/semaine</v>
      </c>
      <c r="K128" s="66">
        <f>VLOOKUP(J128,RECAP!$T$4:$V$7,3,0)</f>
        <v>0.252</v>
      </c>
      <c r="L128" s="67" t="str">
        <f>IF(WORKDAY.INTL(Tabel2[[#This Row],[Date]]-1,1,"0000000",TBL_Féries[])&lt;&gt;Tabel2[[#This Row],[Date]],"X","")</f>
        <v/>
      </c>
      <c r="M128" s="34"/>
      <c r="N128" s="34"/>
      <c r="O128" s="34"/>
    </row>
    <row r="129" spans="1:15" ht="21" x14ac:dyDescent="0.25">
      <c r="A129" s="63" t="s">
        <v>19</v>
      </c>
      <c r="B129" s="64">
        <f t="shared" si="4"/>
        <v>43431</v>
      </c>
      <c r="C129" s="37"/>
      <c r="E129" s="44"/>
      <c r="F129" s="66">
        <f t="shared" si="5"/>
        <v>0</v>
      </c>
      <c r="G129" s="66">
        <f>IF(L129="x",Tabel2[[#This Row],[Temps
 théorique]]-RECAP!$Y$6,(F129-K129)*(COUNT(C129:D129)=2))</f>
        <v>0</v>
      </c>
      <c r="H129" s="66"/>
      <c r="I129" s="66" t="str">
        <f>MOD(YEAR(Tabel2[[#This Row],[Date]]),100)&amp;"-"&amp;(MONTH(Tabel2[[#This Row],[Date]])-1)*2+(DAY(Tabel2[[#This Row],[Date]])&gt;15)</f>
        <v>22-21</v>
      </c>
      <c r="J129" s="66" t="str" cm="1">
        <f t="array" ref="J129">INDEX(RECAP!N:N,_xlfn.AGGREGATE(14,6,ROW(Tabel1[personne])/((Tabel1[personne]=Tabel2[[#This Row],[Personne]])*(Tabel1[début]&lt;=Tabel2[[#This Row],[Date]])),1))</f>
        <v>30,24h/semaine</v>
      </c>
      <c r="K129" s="66">
        <f>VLOOKUP(J129,RECAP!$T$4:$V$7,3,0)</f>
        <v>0.252</v>
      </c>
      <c r="L129" s="67" t="str">
        <f>IF(WORKDAY.INTL(Tabel2[[#This Row],[Date]]-1,1,"0000000",TBL_Féries[])&lt;&gt;Tabel2[[#This Row],[Date]],"X","")</f>
        <v/>
      </c>
      <c r="M129" s="34"/>
      <c r="N129" s="34"/>
      <c r="O129" s="34"/>
    </row>
    <row r="130" spans="1:15" ht="21" x14ac:dyDescent="0.25">
      <c r="A130" s="63" t="s">
        <v>19</v>
      </c>
      <c r="B130" s="64">
        <f t="shared" si="4"/>
        <v>43432</v>
      </c>
      <c r="C130" s="37"/>
      <c r="E130" s="44"/>
      <c r="F130" s="66">
        <f t="shared" ref="F130:F161" si="6">IF(COUNT(C130:D130)&lt;&gt;2,0,D130-C130-(D130-C130&gt;=pause)*IF(E130&lt;&gt;"",E130,pause))</f>
        <v>0</v>
      </c>
      <c r="G130" s="66">
        <f>IF(L130="x",Tabel2[[#This Row],[Temps
 théorique]]-RECAP!$Y$6,(F130-K130)*(COUNT(C130:D130)=2))</f>
        <v>0</v>
      </c>
      <c r="H130" s="66"/>
      <c r="I130" s="66" t="str">
        <f>MOD(YEAR(Tabel2[[#This Row],[Date]]),100)&amp;"-"&amp;(MONTH(Tabel2[[#This Row],[Date]])-1)*2+(DAY(Tabel2[[#This Row],[Date]])&gt;15)</f>
        <v>22-21</v>
      </c>
      <c r="J130" s="66" t="str" cm="1">
        <f t="array" ref="J130">INDEX(RECAP!N:N,_xlfn.AGGREGATE(14,6,ROW(Tabel1[personne])/((Tabel1[personne]=Tabel2[[#This Row],[Personne]])*(Tabel1[début]&lt;=Tabel2[[#This Row],[Date]])),1))</f>
        <v>30,24h/semaine</v>
      </c>
      <c r="K130" s="66">
        <f>VLOOKUP(J130,RECAP!$T$4:$V$7,3,0)</f>
        <v>0.252</v>
      </c>
      <c r="L130" s="67" t="str">
        <f>IF(WORKDAY.INTL(Tabel2[[#This Row],[Date]]-1,1,"0000000",TBL_Féries[])&lt;&gt;Tabel2[[#This Row],[Date]],"X","")</f>
        <v/>
      </c>
      <c r="M130" s="34"/>
      <c r="N130" s="34"/>
      <c r="O130" s="34"/>
    </row>
    <row r="131" spans="1:15" ht="21" x14ac:dyDescent="0.25">
      <c r="A131" s="63" t="s">
        <v>19</v>
      </c>
      <c r="B131" s="64">
        <f t="shared" si="4"/>
        <v>43433</v>
      </c>
      <c r="C131" s="37"/>
      <c r="E131" s="44"/>
      <c r="F131" s="66">
        <f t="shared" si="6"/>
        <v>0</v>
      </c>
      <c r="G131" s="66">
        <f>IF(L131="x",Tabel2[[#This Row],[Temps
 théorique]]-RECAP!$Y$6,(F131-K131)*(COUNT(C131:D131)=2))</f>
        <v>0</v>
      </c>
      <c r="H131" s="66"/>
      <c r="I131" s="66" t="str">
        <f>MOD(YEAR(Tabel2[[#This Row],[Date]]),100)&amp;"-"&amp;(MONTH(Tabel2[[#This Row],[Date]])-1)*2+(DAY(Tabel2[[#This Row],[Date]])&gt;15)</f>
        <v>22-21</v>
      </c>
      <c r="J131" s="66" t="str" cm="1">
        <f t="array" ref="J131">INDEX(RECAP!N:N,_xlfn.AGGREGATE(14,6,ROW(Tabel1[personne])/((Tabel1[personne]=Tabel2[[#This Row],[Personne]])*(Tabel1[début]&lt;=Tabel2[[#This Row],[Date]])),1))</f>
        <v>30,24h/semaine</v>
      </c>
      <c r="K131" s="66">
        <f>VLOOKUP(J131,RECAP!$T$4:$V$7,3,0)</f>
        <v>0.252</v>
      </c>
      <c r="L131" s="67" t="str">
        <f>IF(WORKDAY.INTL(Tabel2[[#This Row],[Date]]-1,1,"0000000",TBL_Féries[])&lt;&gt;Tabel2[[#This Row],[Date]],"X","")</f>
        <v/>
      </c>
      <c r="M131" s="34"/>
      <c r="N131" s="34"/>
      <c r="O131" s="34"/>
    </row>
  </sheetData>
  <conditionalFormatting sqref="G2:G131">
    <cfRule type="cellIs" dxfId="58" priority="68" operator="lessThan">
      <formula>0</formula>
    </cfRule>
    <cfRule type="cellIs" dxfId="57" priority="69" operator="greaterThan">
      <formula>0</formula>
    </cfRule>
  </conditionalFormatting>
  <conditionalFormatting sqref="C2:C3 C9:C68 C74:C131">
    <cfRule type="cellIs" dxfId="56" priority="67" operator="lessThan">
      <formula>0.354166666666667</formula>
    </cfRule>
  </conditionalFormatting>
  <conditionalFormatting sqref="D2:E3 D5:E6 D8:E28">
    <cfRule type="cellIs" dxfId="55" priority="66" operator="greaterThan">
      <formula>0.7125</formula>
    </cfRule>
  </conditionalFormatting>
  <conditionalFormatting sqref="D4:E4">
    <cfRule type="cellIs" dxfId="54" priority="31" operator="greaterThan">
      <formula>0.7125</formula>
    </cfRule>
  </conditionalFormatting>
  <conditionalFormatting sqref="D7:E7">
    <cfRule type="cellIs" dxfId="53" priority="29" operator="greaterThan">
      <formula>0.7125</formula>
    </cfRule>
  </conditionalFormatting>
  <conditionalFormatting sqref="C4:C8">
    <cfRule type="cellIs" dxfId="52" priority="27" operator="lessThan">
      <formula>0.354166666666667</formula>
    </cfRule>
  </conditionalFormatting>
  <conditionalFormatting sqref="J2:J131">
    <cfRule type="expression" dxfId="51" priority="5">
      <formula>LEFT(J2,2)="19"</formula>
    </cfRule>
    <cfRule type="expression" dxfId="50" priority="6">
      <formula>LEFT(J2,4)="30h/"</formula>
    </cfRule>
    <cfRule type="expression" dxfId="49" priority="7">
      <formula>LEFT(J2,5)="30,24"</formula>
    </cfRule>
    <cfRule type="expression" dxfId="48" priority="8">
      <formula>LEFT(J2,2)="38"</formula>
    </cfRule>
  </conditionalFormatting>
  <conditionalFormatting sqref="D67:E68 D70:E71 D73:E93">
    <cfRule type="cellIs" dxfId="47" priority="4" operator="greaterThan">
      <formula>0.7125</formula>
    </cfRule>
  </conditionalFormatting>
  <conditionalFormatting sqref="D69:E69">
    <cfRule type="cellIs" dxfId="46" priority="3" operator="greaterThan">
      <formula>0.7125</formula>
    </cfRule>
  </conditionalFormatting>
  <conditionalFormatting sqref="D72:E72">
    <cfRule type="cellIs" dxfId="45" priority="2" operator="greaterThan">
      <formula>0.7125</formula>
    </cfRule>
  </conditionalFormatting>
  <conditionalFormatting sqref="C69:C73">
    <cfRule type="cellIs" dxfId="44" priority="1" operator="lessThan">
      <formula>0.354166666666667</formula>
    </cfRule>
  </conditionalFormatting>
  <conditionalFormatting sqref="L2:L131 B2:B131">
    <cfRule type="expression" dxfId="43" priority="70">
      <formula>$L2="x"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2350C-0DC1-4114-9616-B3AA3CD35699}">
  <dimension ref="B3:I18"/>
  <sheetViews>
    <sheetView workbookViewId="0">
      <selection activeCell="A19" sqref="A19"/>
    </sheetView>
  </sheetViews>
  <sheetFormatPr defaultRowHeight="15" x14ac:dyDescent="0.25"/>
  <cols>
    <col min="2" max="2" width="10" bestFit="1" customWidth="1"/>
    <col min="3" max="3" width="7.85546875" bestFit="1" customWidth="1"/>
    <col min="4" max="7" width="11.7109375" bestFit="1" customWidth="1"/>
    <col min="8" max="8" width="12.5703125" bestFit="1" customWidth="1"/>
    <col min="9" max="9" width="11.85546875" bestFit="1" customWidth="1"/>
    <col min="10" max="10" width="6" bestFit="1" customWidth="1"/>
    <col min="11" max="11" width="6.7109375" bestFit="1" customWidth="1"/>
    <col min="12" max="12" width="6" bestFit="1" customWidth="1"/>
    <col min="13" max="13" width="6.7109375" bestFit="1" customWidth="1"/>
    <col min="14" max="14" width="6" bestFit="1" customWidth="1"/>
    <col min="15" max="15" width="12.5703125" bestFit="1" customWidth="1"/>
    <col min="16" max="16" width="11.85546875" bestFit="1" customWidth="1"/>
  </cols>
  <sheetData>
    <row r="3" spans="2:9" x14ac:dyDescent="0.25">
      <c r="D3" s="48" t="s">
        <v>32</v>
      </c>
      <c r="E3" s="48" t="s">
        <v>49</v>
      </c>
    </row>
    <row r="4" spans="2:9" x14ac:dyDescent="0.25">
      <c r="D4" t="s">
        <v>18</v>
      </c>
      <c r="F4" t="s">
        <v>19</v>
      </c>
      <c r="H4" t="s">
        <v>51</v>
      </c>
      <c r="I4" t="s">
        <v>53</v>
      </c>
    </row>
    <row r="5" spans="2:9" x14ac:dyDescent="0.25">
      <c r="B5" s="48" t="s">
        <v>0</v>
      </c>
      <c r="C5" s="48" t="s">
        <v>50</v>
      </c>
      <c r="D5" t="s">
        <v>52</v>
      </c>
      <c r="E5" t="s">
        <v>8</v>
      </c>
      <c r="F5" t="s">
        <v>52</v>
      </c>
      <c r="G5" t="s">
        <v>8</v>
      </c>
    </row>
    <row r="6" spans="2:9" x14ac:dyDescent="0.25">
      <c r="B6" s="51" t="s">
        <v>54</v>
      </c>
      <c r="C6" t="s">
        <v>43</v>
      </c>
      <c r="D6" s="50">
        <v>2.8354166666666667</v>
      </c>
      <c r="E6" s="49">
        <v>-1.4583333333333131E-2</v>
      </c>
      <c r="F6" s="50">
        <v>2.8354166666666667</v>
      </c>
      <c r="G6" s="49">
        <v>0.56739583333333321</v>
      </c>
      <c r="H6" s="50">
        <v>5.6708333333333334</v>
      </c>
      <c r="I6" s="49">
        <v>0.55281250000000004</v>
      </c>
    </row>
    <row r="7" spans="2:9" x14ac:dyDescent="0.25">
      <c r="B7" s="51" t="s">
        <v>54</v>
      </c>
      <c r="C7" t="s">
        <v>44</v>
      </c>
      <c r="D7" s="50">
        <v>2.540972222222222</v>
      </c>
      <c r="E7" s="49">
        <v>0.40763888888888888</v>
      </c>
      <c r="F7" s="50">
        <v>2.540972222222222</v>
      </c>
      <c r="G7" s="49">
        <v>0.52495370370370376</v>
      </c>
      <c r="H7" s="50">
        <v>5.0819444444444439</v>
      </c>
      <c r="I7" s="49">
        <v>0.93259259259259264</v>
      </c>
    </row>
    <row r="8" spans="2:9" x14ac:dyDescent="0.25">
      <c r="B8" s="52" t="s">
        <v>55</v>
      </c>
      <c r="C8" s="53"/>
      <c r="D8" s="54">
        <v>5.3763888888888882</v>
      </c>
      <c r="E8" s="55">
        <v>0.39305555555555577</v>
      </c>
      <c r="F8" s="54">
        <v>5.3763888888888882</v>
      </c>
      <c r="G8" s="55">
        <v>1.0923495370370371</v>
      </c>
      <c r="H8" s="54">
        <v>10.752777777777776</v>
      </c>
      <c r="I8" s="55">
        <v>1.4854050925925928</v>
      </c>
    </row>
    <row r="9" spans="2:9" x14ac:dyDescent="0.25">
      <c r="B9" s="51"/>
      <c r="D9" s="50"/>
      <c r="E9" s="49"/>
      <c r="F9" s="50"/>
      <c r="G9" s="49"/>
      <c r="H9" s="50"/>
      <c r="I9" s="49"/>
    </row>
    <row r="10" spans="2:9" x14ac:dyDescent="0.25">
      <c r="B10" s="51" t="s">
        <v>56</v>
      </c>
      <c r="C10" t="s">
        <v>45</v>
      </c>
      <c r="D10" s="50">
        <v>1.909027777777778</v>
      </c>
      <c r="E10" s="49">
        <v>0.40302083333333333</v>
      </c>
      <c r="F10" s="50">
        <v>1.909027777777778</v>
      </c>
      <c r="G10" s="49">
        <v>0.39701388888888889</v>
      </c>
      <c r="H10" s="50">
        <v>3.818055555555556</v>
      </c>
      <c r="I10" s="49">
        <v>0.80003472222222216</v>
      </c>
    </row>
    <row r="11" spans="2:9" x14ac:dyDescent="0.25">
      <c r="B11" s="51" t="s">
        <v>56</v>
      </c>
      <c r="C11" t="s">
        <v>46</v>
      </c>
      <c r="D11" s="50">
        <v>2.5388888888888888</v>
      </c>
      <c r="E11" s="49">
        <v>0.52287037037037032</v>
      </c>
      <c r="F11" s="50">
        <v>2.5388888888888888</v>
      </c>
      <c r="G11" s="49">
        <v>0.52287037037037032</v>
      </c>
      <c r="H11" s="50">
        <v>5.0777777777777775</v>
      </c>
      <c r="I11" s="49">
        <v>1.0457407407407406</v>
      </c>
    </row>
    <row r="12" spans="2:9" x14ac:dyDescent="0.25">
      <c r="B12" s="52" t="s">
        <v>57</v>
      </c>
      <c r="C12" s="53"/>
      <c r="D12" s="54">
        <v>4.447916666666667</v>
      </c>
      <c r="E12" s="55">
        <v>0.9258912037037037</v>
      </c>
      <c r="F12" s="54">
        <v>4.447916666666667</v>
      </c>
      <c r="G12" s="55">
        <v>0.91988425925925921</v>
      </c>
      <c r="H12" s="54">
        <v>8.8958333333333339</v>
      </c>
      <c r="I12" s="55">
        <v>1.8457754629629628</v>
      </c>
    </row>
    <row r="13" spans="2:9" x14ac:dyDescent="0.25">
      <c r="B13" s="51"/>
      <c r="D13" s="50"/>
      <c r="E13" s="49"/>
      <c r="F13" s="50"/>
      <c r="G13" s="49"/>
      <c r="H13" s="50"/>
      <c r="I13" s="49"/>
    </row>
    <row r="14" spans="2:9" x14ac:dyDescent="0.25">
      <c r="B14" s="51" t="s">
        <v>58</v>
      </c>
      <c r="C14" t="s">
        <v>47</v>
      </c>
      <c r="D14" s="50">
        <v>1.1187499999999999</v>
      </c>
      <c r="E14" s="49">
        <v>0.23758101851851854</v>
      </c>
      <c r="F14" s="50">
        <v>1.1187499999999999</v>
      </c>
      <c r="G14" s="49">
        <v>5.0243055555555527E-2</v>
      </c>
      <c r="H14" s="50">
        <v>2.2374999999999998</v>
      </c>
      <c r="I14" s="49">
        <v>0.28782407407407407</v>
      </c>
    </row>
    <row r="15" spans="2:9" x14ac:dyDescent="0.25">
      <c r="B15" s="51" t="s">
        <v>58</v>
      </c>
      <c r="C15" t="s">
        <v>48</v>
      </c>
      <c r="D15" s="50">
        <v>0</v>
      </c>
      <c r="E15" s="49">
        <v>0</v>
      </c>
      <c r="F15" s="50">
        <v>0</v>
      </c>
      <c r="G15" s="49">
        <v>0</v>
      </c>
      <c r="H15" s="50">
        <v>0</v>
      </c>
      <c r="I15" s="49">
        <v>0</v>
      </c>
    </row>
    <row r="16" spans="2:9" x14ac:dyDescent="0.25">
      <c r="B16" s="52" t="s">
        <v>59</v>
      </c>
      <c r="C16" s="53"/>
      <c r="D16" s="54">
        <v>1.1187499999999999</v>
      </c>
      <c r="E16" s="55">
        <v>0.23758101851851854</v>
      </c>
      <c r="F16" s="54">
        <v>1.1187499999999999</v>
      </c>
      <c r="G16" s="55">
        <v>5.0243055555555527E-2</v>
      </c>
      <c r="H16" s="54">
        <v>2.2374999999999998</v>
      </c>
      <c r="I16" s="55">
        <v>0.28782407407407407</v>
      </c>
    </row>
    <row r="17" spans="2:9" x14ac:dyDescent="0.25">
      <c r="B17" s="51"/>
      <c r="D17" s="50"/>
      <c r="E17" s="49"/>
      <c r="F17" s="50"/>
      <c r="G17" s="49"/>
      <c r="H17" s="50"/>
      <c r="I17" s="49"/>
    </row>
    <row r="18" spans="2:9" x14ac:dyDescent="0.25">
      <c r="B18" s="56" t="s">
        <v>42</v>
      </c>
      <c r="C18" s="57"/>
      <c r="D18" s="58">
        <v>10.943055555555555</v>
      </c>
      <c r="E18" s="59">
        <v>1.556527777777778</v>
      </c>
      <c r="F18" s="58">
        <v>10.943055555555555</v>
      </c>
      <c r="G18" s="59">
        <v>2.0624768518518524</v>
      </c>
      <c r="H18" s="58">
        <v>21.886111111111109</v>
      </c>
      <c r="I18" s="59">
        <v>3.6190046296296297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13"/>
  <dimension ref="B1:AE18"/>
  <sheetViews>
    <sheetView zoomScale="80" zoomScaleNormal="80" workbookViewId="0">
      <selection activeCell="T12" sqref="T12"/>
    </sheetView>
  </sheetViews>
  <sheetFormatPr defaultColWidth="10.5703125" defaultRowHeight="26.1" customHeight="1" x14ac:dyDescent="0.25"/>
  <cols>
    <col min="1" max="3" width="10.5703125" style="7"/>
    <col min="4" max="4" width="11.42578125" style="60" bestFit="1" customWidth="1"/>
    <col min="5" max="5" width="10.5703125" style="7"/>
    <col min="6" max="6" width="12.42578125" style="7" customWidth="1"/>
    <col min="7" max="7" width="11.42578125" style="7" bestFit="1" customWidth="1"/>
    <col min="8" max="8" width="10.5703125" style="7"/>
    <col min="9" max="9" width="13" style="7" customWidth="1"/>
    <col min="10" max="11" width="10.5703125" style="7"/>
    <col min="12" max="12" width="14.5703125" style="7" bestFit="1" customWidth="1"/>
    <col min="13" max="13" width="14.85546875" style="7" bestFit="1" customWidth="1"/>
    <col min="14" max="14" width="22.28515625" style="7" bestFit="1" customWidth="1"/>
    <col min="15" max="15" width="13.7109375" style="7" bestFit="1" customWidth="1"/>
    <col min="16" max="16" width="8.7109375" style="7" bestFit="1" customWidth="1"/>
    <col min="17" max="17" width="27.7109375" style="7" bestFit="1" customWidth="1"/>
    <col min="18" max="18" width="10.5703125" style="7"/>
    <col min="19" max="19" width="13.7109375" style="7" customWidth="1"/>
    <col min="20" max="20" width="19.140625" style="7" customWidth="1"/>
    <col min="21" max="21" width="21.140625" style="7" customWidth="1"/>
    <col min="22" max="22" width="11.85546875" style="7" bestFit="1" customWidth="1"/>
    <col min="23" max="23" width="25.85546875" style="7" bestFit="1" customWidth="1"/>
    <col min="24" max="24" width="5.5703125" style="7" customWidth="1"/>
    <col min="25" max="25" width="23.140625" style="7" customWidth="1"/>
    <col min="26" max="26" width="29.140625" style="7" bestFit="1" customWidth="1"/>
    <col min="27" max="16384" width="10.5703125" style="7"/>
  </cols>
  <sheetData>
    <row r="1" spans="2:31" ht="26.1" customHeight="1" x14ac:dyDescent="0.25">
      <c r="C1" s="9" t="s">
        <v>6</v>
      </c>
      <c r="T1" s="9" t="s">
        <v>7</v>
      </c>
    </row>
    <row r="3" spans="2:31" s="3" customFormat="1" ht="26.1" customHeight="1" x14ac:dyDescent="0.25">
      <c r="C3" s="2"/>
      <c r="D3" s="61" t="s">
        <v>8</v>
      </c>
      <c r="F3" s="4"/>
      <c r="G3" s="4" t="s">
        <v>8</v>
      </c>
      <c r="I3" s="5"/>
      <c r="J3" s="5" t="s">
        <v>8</v>
      </c>
      <c r="L3" s="22" t="s">
        <v>29</v>
      </c>
      <c r="M3" s="22" t="s">
        <v>30</v>
      </c>
      <c r="N3" s="22" t="s">
        <v>31</v>
      </c>
      <c r="O3" s="22" t="s">
        <v>10</v>
      </c>
      <c r="P3" s="22" t="s">
        <v>11</v>
      </c>
      <c r="Q3" s="22" t="s">
        <v>12</v>
      </c>
      <c r="T3" s="17" t="s">
        <v>9</v>
      </c>
      <c r="U3" s="17" t="s">
        <v>10</v>
      </c>
      <c r="V3" s="16" t="s">
        <v>11</v>
      </c>
      <c r="W3" s="16" t="s">
        <v>12</v>
      </c>
      <c r="Y3" s="16" t="s">
        <v>13</v>
      </c>
      <c r="Z3" s="7"/>
      <c r="AA3" s="7"/>
      <c r="AB3" s="7"/>
      <c r="AC3" s="7"/>
      <c r="AD3" s="7"/>
      <c r="AE3" s="7"/>
    </row>
    <row r="4" spans="2:31" ht="26.1" customHeight="1" x14ac:dyDescent="0.25">
      <c r="C4" s="12" t="s">
        <v>18</v>
      </c>
      <c r="D4" s="62">
        <f>+GETPIVOTDATA("Solde",TCD!$B$3,"Personne",C4)</f>
        <v>1.556527777777778</v>
      </c>
      <c r="F4" s="6" t="s">
        <v>26</v>
      </c>
      <c r="G4" s="8" t="e">
        <f>Données!#REF!</f>
        <v>#REF!</v>
      </c>
      <c r="I4" s="6" t="s">
        <v>27</v>
      </c>
      <c r="J4" s="8" t="e">
        <f>#REF!</f>
        <v>#REF!</v>
      </c>
      <c r="L4" s="25" t="s">
        <v>18</v>
      </c>
      <c r="M4" s="26">
        <v>43343</v>
      </c>
      <c r="N4" s="25" t="s">
        <v>14</v>
      </c>
      <c r="O4" s="25">
        <f t="shared" ref="O4:O18" si="0">VLOOKUP($N4,$T$4:$W$7,2,0)</f>
        <v>38</v>
      </c>
      <c r="P4" s="27">
        <f t="shared" ref="P4:P18" si="1">VLOOKUP($N4,$T$4:$W$7,3,0)</f>
        <v>0.31666666666666665</v>
      </c>
      <c r="Q4" s="27">
        <f t="shared" ref="Q4:Q18" si="2">VLOOKUP($N4,$T$4:$W$7,4,0)</f>
        <v>0</v>
      </c>
      <c r="T4" s="14" t="s">
        <v>14</v>
      </c>
      <c r="U4" s="15">
        <v>38</v>
      </c>
      <c r="V4" s="18">
        <f>U4/5/24</f>
        <v>0.31666666666666665</v>
      </c>
      <c r="W4" s="19">
        <f>V4-V4</f>
        <v>0</v>
      </c>
      <c r="Y4" s="19">
        <f t="shared" ref="Y4:Y6" si="3">W4+V4</f>
        <v>0.31666666666666665</v>
      </c>
    </row>
    <row r="5" spans="2:31" ht="26.1" customHeight="1" x14ac:dyDescent="0.25">
      <c r="B5" s="13"/>
      <c r="C5" s="6" t="s">
        <v>19</v>
      </c>
      <c r="D5" s="62" t="e">
        <f>#REF!</f>
        <v>#REF!</v>
      </c>
      <c r="F5" s="6" t="s">
        <v>28</v>
      </c>
      <c r="G5" s="8" t="e">
        <f>#REF!</f>
        <v>#REF!</v>
      </c>
      <c r="I5" s="6"/>
      <c r="J5" s="8" t="e">
        <f>#REF!</f>
        <v>#REF!</v>
      </c>
      <c r="L5" s="28" t="s">
        <v>18</v>
      </c>
      <c r="M5" s="29">
        <v>43362</v>
      </c>
      <c r="N5" s="28" t="s">
        <v>16</v>
      </c>
      <c r="O5" s="30">
        <f t="shared" si="0"/>
        <v>30</v>
      </c>
      <c r="P5" s="31">
        <f t="shared" si="1"/>
        <v>0.25</v>
      </c>
      <c r="Q5" s="31">
        <f t="shared" si="2"/>
        <v>6.25E-2</v>
      </c>
      <c r="T5" s="6" t="s">
        <v>15</v>
      </c>
      <c r="U5" s="15">
        <v>30.24</v>
      </c>
      <c r="V5" s="18">
        <f>U5/5/24</f>
        <v>0.252</v>
      </c>
      <c r="W5" s="19">
        <v>6.3194444444444442E-2</v>
      </c>
      <c r="Y5" s="19">
        <f t="shared" si="3"/>
        <v>0.31519444444444444</v>
      </c>
    </row>
    <row r="6" spans="2:31" ht="26.1" customHeight="1" x14ac:dyDescent="0.25">
      <c r="B6" s="13"/>
      <c r="C6" s="6" t="s">
        <v>20</v>
      </c>
      <c r="D6" s="62" t="e">
        <f>#REF!</f>
        <v>#REF!</v>
      </c>
      <c r="E6" s="13"/>
      <c r="F6" s="6"/>
      <c r="G6" s="8"/>
      <c r="L6" s="28" t="s">
        <v>18</v>
      </c>
      <c r="M6" s="29">
        <v>43382</v>
      </c>
      <c r="N6" s="28" t="s">
        <v>15</v>
      </c>
      <c r="O6" s="30">
        <f t="shared" si="0"/>
        <v>30.24</v>
      </c>
      <c r="P6" s="31">
        <f t="shared" si="1"/>
        <v>0.252</v>
      </c>
      <c r="Q6" s="31">
        <f t="shared" si="2"/>
        <v>6.3194444444444442E-2</v>
      </c>
      <c r="T6" s="6" t="s">
        <v>16</v>
      </c>
      <c r="U6" s="15">
        <v>30</v>
      </c>
      <c r="V6" s="18">
        <f>U6/5/24</f>
        <v>0.25</v>
      </c>
      <c r="W6" s="19">
        <v>6.25E-2</v>
      </c>
      <c r="Y6" s="19">
        <f t="shared" si="3"/>
        <v>0.3125</v>
      </c>
    </row>
    <row r="7" spans="2:31" ht="26.1" customHeight="1" x14ac:dyDescent="0.25">
      <c r="C7" s="12" t="s">
        <v>21</v>
      </c>
      <c r="D7" s="62" t="e">
        <f>#REF!</f>
        <v>#REF!</v>
      </c>
      <c r="F7" s="6"/>
      <c r="G7" s="8" t="e">
        <f>#REF!</f>
        <v>#REF!</v>
      </c>
      <c r="L7" s="28" t="s">
        <v>18</v>
      </c>
      <c r="M7" s="29">
        <v>43407</v>
      </c>
      <c r="N7" s="28" t="s">
        <v>17</v>
      </c>
      <c r="O7" s="30">
        <f t="shared" si="0"/>
        <v>19</v>
      </c>
      <c r="P7" s="31">
        <f t="shared" si="1"/>
        <v>0.15833333333333333</v>
      </c>
      <c r="Q7" s="31">
        <f t="shared" si="2"/>
        <v>0.15833333333333333</v>
      </c>
      <c r="T7" s="6" t="s">
        <v>17</v>
      </c>
      <c r="U7" s="15">
        <v>19</v>
      </c>
      <c r="V7" s="18">
        <f>U7/5/24</f>
        <v>0.15833333333333333</v>
      </c>
      <c r="W7" s="19">
        <f>V4-V7</f>
        <v>0.15833333333333333</v>
      </c>
      <c r="Y7" s="19">
        <f>W7+V7</f>
        <v>0.31666666666666665</v>
      </c>
    </row>
    <row r="8" spans="2:31" ht="26.1" customHeight="1" x14ac:dyDescent="0.25">
      <c r="C8" s="12"/>
      <c r="D8" s="62" t="e">
        <f>#REF!</f>
        <v>#REF!</v>
      </c>
      <c r="F8" s="6"/>
      <c r="G8" s="8" t="e">
        <f>#REF!</f>
        <v>#REF!</v>
      </c>
      <c r="L8" s="22" t="s">
        <v>19</v>
      </c>
      <c r="M8" s="23">
        <v>42369</v>
      </c>
      <c r="N8" s="22" t="s">
        <v>15</v>
      </c>
      <c r="O8" s="22">
        <f t="shared" si="0"/>
        <v>30.24</v>
      </c>
      <c r="P8" s="24">
        <f t="shared" si="1"/>
        <v>0.252</v>
      </c>
      <c r="Q8" s="24">
        <f t="shared" si="2"/>
        <v>6.3194444444444442E-2</v>
      </c>
    </row>
    <row r="9" spans="2:31" ht="26.1" customHeight="1" x14ac:dyDescent="0.25">
      <c r="C9" s="6" t="s">
        <v>23</v>
      </c>
      <c r="D9" s="62" t="e">
        <f>#REF!</f>
        <v>#REF!</v>
      </c>
      <c r="F9" s="6"/>
      <c r="G9" s="8" t="e">
        <f>#REF!</f>
        <v>#REF!</v>
      </c>
      <c r="L9" s="22" t="s">
        <v>20</v>
      </c>
      <c r="M9" s="23">
        <v>42369</v>
      </c>
      <c r="N9" s="22" t="s">
        <v>16</v>
      </c>
      <c r="O9" s="22">
        <f t="shared" si="0"/>
        <v>30</v>
      </c>
      <c r="P9" s="24">
        <f t="shared" si="1"/>
        <v>0.25</v>
      </c>
      <c r="Q9" s="24">
        <f t="shared" si="2"/>
        <v>6.25E-2</v>
      </c>
    </row>
    <row r="10" spans="2:31" ht="26.1" customHeight="1" x14ac:dyDescent="0.25">
      <c r="C10" s="6" t="s">
        <v>5</v>
      </c>
      <c r="D10" s="62" t="e">
        <f>#REF!</f>
        <v>#REF!</v>
      </c>
      <c r="E10" s="13"/>
      <c r="F10" s="6"/>
      <c r="G10" s="8" t="e">
        <f>#REF!</f>
        <v>#REF!</v>
      </c>
      <c r="L10" s="22" t="s">
        <v>21</v>
      </c>
      <c r="M10" s="23">
        <v>42369</v>
      </c>
      <c r="N10" s="22" t="s">
        <v>17</v>
      </c>
      <c r="O10" s="22">
        <f t="shared" si="0"/>
        <v>19</v>
      </c>
      <c r="P10" s="24">
        <f t="shared" si="1"/>
        <v>0.15833333333333333</v>
      </c>
      <c r="Q10" s="24">
        <f t="shared" si="2"/>
        <v>0.15833333333333333</v>
      </c>
    </row>
    <row r="11" spans="2:31" ht="26.1" customHeight="1" x14ac:dyDescent="0.25">
      <c r="C11" s="6" t="s">
        <v>24</v>
      </c>
      <c r="D11" s="62" t="e">
        <f>#REF!</f>
        <v>#REF!</v>
      </c>
      <c r="L11" s="22" t="s">
        <v>22</v>
      </c>
      <c r="M11" s="23">
        <v>42369</v>
      </c>
      <c r="N11" s="22" t="s">
        <v>14</v>
      </c>
      <c r="O11" s="22">
        <f t="shared" si="0"/>
        <v>38</v>
      </c>
      <c r="P11" s="24">
        <f t="shared" si="1"/>
        <v>0.31666666666666665</v>
      </c>
      <c r="Q11" s="24">
        <f t="shared" si="2"/>
        <v>0</v>
      </c>
    </row>
    <row r="12" spans="2:31" ht="26.1" customHeight="1" x14ac:dyDescent="0.25">
      <c r="C12" s="6" t="s">
        <v>25</v>
      </c>
      <c r="D12" s="62" t="e">
        <f>#REF!</f>
        <v>#REF!</v>
      </c>
      <c r="L12" s="22" t="s">
        <v>23</v>
      </c>
      <c r="M12" s="23">
        <v>42369</v>
      </c>
      <c r="N12" s="22" t="s">
        <v>14</v>
      </c>
      <c r="O12" s="22">
        <f t="shared" si="0"/>
        <v>38</v>
      </c>
      <c r="P12" s="24">
        <f t="shared" si="1"/>
        <v>0.31666666666666665</v>
      </c>
      <c r="Q12" s="24">
        <f t="shared" si="2"/>
        <v>0</v>
      </c>
      <c r="T12" s="7" t="s">
        <v>33</v>
      </c>
      <c r="U12" s="7" t="s">
        <v>34</v>
      </c>
      <c r="V12" s="7" t="s">
        <v>35</v>
      </c>
    </row>
    <row r="13" spans="2:31" ht="26.1" customHeight="1" x14ac:dyDescent="0.25">
      <c r="L13" s="22" t="s">
        <v>5</v>
      </c>
      <c r="M13" s="23">
        <v>42369</v>
      </c>
      <c r="N13" s="22" t="s">
        <v>14</v>
      </c>
      <c r="O13" s="22">
        <f t="shared" si="0"/>
        <v>38</v>
      </c>
      <c r="P13" s="24">
        <f t="shared" si="1"/>
        <v>0.31666666666666665</v>
      </c>
      <c r="Q13" s="24">
        <f t="shared" si="2"/>
        <v>0</v>
      </c>
      <c r="T13" s="32">
        <v>43458</v>
      </c>
      <c r="U13" s="32">
        <f t="shared" ref="U13:U14" si="4">EDATE(T13,12)</f>
        <v>43823</v>
      </c>
      <c r="V13" s="32">
        <f t="shared" ref="V13:V14" si="5">EDATE(U13,24)</f>
        <v>44554</v>
      </c>
    </row>
    <row r="14" spans="2:31" ht="26.1" customHeight="1" x14ac:dyDescent="0.25">
      <c r="L14" s="22" t="s">
        <v>24</v>
      </c>
      <c r="M14" s="23">
        <v>42369</v>
      </c>
      <c r="N14" s="22" t="s">
        <v>14</v>
      </c>
      <c r="O14" s="22">
        <f t="shared" si="0"/>
        <v>38</v>
      </c>
      <c r="P14" s="24">
        <f t="shared" si="1"/>
        <v>0.31666666666666665</v>
      </c>
      <c r="Q14" s="24">
        <f t="shared" si="2"/>
        <v>0</v>
      </c>
      <c r="T14" s="32">
        <v>43414</v>
      </c>
      <c r="U14" s="32">
        <f t="shared" si="4"/>
        <v>43779</v>
      </c>
      <c r="V14" s="32">
        <f t="shared" si="5"/>
        <v>44510</v>
      </c>
    </row>
    <row r="15" spans="2:31" ht="26.1" customHeight="1" x14ac:dyDescent="0.25">
      <c r="L15" s="22" t="s">
        <v>25</v>
      </c>
      <c r="M15" s="23">
        <v>42369</v>
      </c>
      <c r="N15" s="22" t="s">
        <v>14</v>
      </c>
      <c r="O15" s="22">
        <f t="shared" si="0"/>
        <v>38</v>
      </c>
      <c r="P15" s="24">
        <f t="shared" si="1"/>
        <v>0.31666666666666665</v>
      </c>
      <c r="Q15" s="24">
        <f t="shared" si="2"/>
        <v>0</v>
      </c>
    </row>
    <row r="16" spans="2:31" ht="26.1" customHeight="1" x14ac:dyDescent="0.25">
      <c r="L16" s="22" t="s">
        <v>26</v>
      </c>
      <c r="M16" s="23">
        <v>42369</v>
      </c>
      <c r="N16" s="22" t="s">
        <v>14</v>
      </c>
      <c r="O16" s="22">
        <f t="shared" si="0"/>
        <v>38</v>
      </c>
      <c r="P16" s="24">
        <f t="shared" si="1"/>
        <v>0.31666666666666665</v>
      </c>
      <c r="Q16" s="24">
        <f t="shared" si="2"/>
        <v>0</v>
      </c>
    </row>
    <row r="17" spans="12:17" ht="26.1" customHeight="1" x14ac:dyDescent="0.25">
      <c r="L17" s="22" t="s">
        <v>28</v>
      </c>
      <c r="M17" s="23">
        <v>42369</v>
      </c>
      <c r="N17" s="22" t="s">
        <v>14</v>
      </c>
      <c r="O17" s="22">
        <f t="shared" si="0"/>
        <v>38</v>
      </c>
      <c r="P17" s="24">
        <f t="shared" si="1"/>
        <v>0.31666666666666665</v>
      </c>
      <c r="Q17" s="24">
        <f t="shared" si="2"/>
        <v>0</v>
      </c>
    </row>
    <row r="18" spans="12:17" ht="26.1" customHeight="1" x14ac:dyDescent="0.25">
      <c r="L18" s="22" t="s">
        <v>27</v>
      </c>
      <c r="M18" s="23">
        <v>42369</v>
      </c>
      <c r="N18" s="22" t="s">
        <v>14</v>
      </c>
      <c r="O18" s="22">
        <f t="shared" si="0"/>
        <v>38</v>
      </c>
      <c r="P18" s="24">
        <f t="shared" si="1"/>
        <v>0.31666666666666665</v>
      </c>
      <c r="Q18" s="24">
        <f t="shared" si="2"/>
        <v>0</v>
      </c>
    </row>
  </sheetData>
  <phoneticPr fontId="10" type="noConversion"/>
  <conditionalFormatting sqref="D4:D9">
    <cfRule type="cellIs" dxfId="26" priority="15" operator="greaterThan">
      <formula>0</formula>
    </cfRule>
    <cfRule type="cellIs" dxfId="25" priority="16" operator="lessThan">
      <formula>0</formula>
    </cfRule>
  </conditionalFormatting>
  <conditionalFormatting sqref="G4:G7">
    <cfRule type="cellIs" dxfId="24" priority="13" operator="greaterThan">
      <formula>0</formula>
    </cfRule>
    <cfRule type="cellIs" dxfId="23" priority="14" operator="lessThan">
      <formula>0</formula>
    </cfRule>
  </conditionalFormatting>
  <conditionalFormatting sqref="J4:J5">
    <cfRule type="cellIs" dxfId="22" priority="11" operator="greaterThan">
      <formula>0</formula>
    </cfRule>
    <cfRule type="cellIs" dxfId="21" priority="12" operator="lessThan">
      <formula>0</formula>
    </cfRule>
  </conditionalFormatting>
  <conditionalFormatting sqref="G8">
    <cfRule type="cellIs" dxfId="20" priority="9" operator="greaterThan">
      <formula>0</formula>
    </cfRule>
    <cfRule type="cellIs" dxfId="19" priority="10" operator="lessThan">
      <formula>0</formula>
    </cfRule>
  </conditionalFormatting>
  <conditionalFormatting sqref="G9:G10">
    <cfRule type="cellIs" dxfId="18" priority="7" operator="greaterThan">
      <formula>0</formula>
    </cfRule>
    <cfRule type="cellIs" dxfId="17" priority="8" operator="lessThan">
      <formula>0</formula>
    </cfRule>
  </conditionalFormatting>
  <conditionalFormatting sqref="D10">
    <cfRule type="cellIs" dxfId="16" priority="3" operator="greaterThan">
      <formula>0</formula>
    </cfRule>
    <cfRule type="cellIs" dxfId="15" priority="4" operator="lessThan">
      <formula>0</formula>
    </cfRule>
  </conditionalFormatting>
  <conditionalFormatting sqref="D11:D12">
    <cfRule type="cellIs" dxfId="14" priority="1" operator="greaterThan">
      <formula>0</formula>
    </cfRule>
    <cfRule type="cellIs" dxfId="13" priority="2" operator="lessThan">
      <formula>0</formula>
    </cfRule>
  </conditionalFormatting>
  <dataValidations count="1">
    <dataValidation type="list" allowBlank="1" showInputMessage="1" showErrorMessage="1" sqref="N4:N18" xr:uid="{7A585352-06D8-439F-A742-F27B0AF33EDC}">
      <formula1>$T$4:$T$7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45CBDAAE18CF49AB23ED165E1E282B" ma:contentTypeVersion="14" ma:contentTypeDescription="Crée un document." ma:contentTypeScope="" ma:versionID="e24d5465f4ba0211d540ae5ba5848524">
  <xsd:schema xmlns:xsd="http://www.w3.org/2001/XMLSchema" xmlns:xs="http://www.w3.org/2001/XMLSchema" xmlns:p="http://schemas.microsoft.com/office/2006/metadata/properties" xmlns:ns3="9345726a-fa13-4059-823d-fd681c017bfb" xmlns:ns4="f57849d7-f3d7-40f7-b12d-901060181657" targetNamespace="http://schemas.microsoft.com/office/2006/metadata/properties" ma:root="true" ma:fieldsID="3182d4d37877f501811e566936fce0c9" ns3:_="" ns4:_="">
    <xsd:import namespace="9345726a-fa13-4059-823d-fd681c017bfb"/>
    <xsd:import namespace="f57849d7-f3d7-40f7-b12d-90106018165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AutoKeyPoints" minOccurs="0"/>
                <xsd:element ref="ns4:MediaServiceKeyPoint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45726a-fa13-4059-823d-fd681c017bf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7849d7-f3d7-40f7-b12d-9010601816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8C7DA5-DB60-4C24-8DA5-E5286B7DE968}">
  <ds:schemaRefs>
    <ds:schemaRef ds:uri="http://schemas.microsoft.com/office/2006/metadata/properties"/>
    <ds:schemaRef ds:uri="f57849d7-f3d7-40f7-b12d-901060181657"/>
    <ds:schemaRef ds:uri="http://purl.org/dc/terms/"/>
    <ds:schemaRef ds:uri="9345726a-fa13-4059-823d-fd681c017bfb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F72CB44-467B-49CF-B5B2-905A07CD4C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45726a-fa13-4059-823d-fd681c017bfb"/>
    <ds:schemaRef ds:uri="f57849d7-f3d7-40f7-b12d-9010601816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9E15CE-88CE-4883-B65C-6ABAA4AFBF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Données</vt:lpstr>
      <vt:lpstr>TCD</vt:lpstr>
      <vt:lpstr>RECAP</vt:lpstr>
      <vt:lpstr>pause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Guillaume Uytdenhoven</dc:creator>
  <cp:keywords/>
  <dc:description/>
  <cp:lastModifiedBy>BSA</cp:lastModifiedBy>
  <cp:revision/>
  <dcterms:created xsi:type="dcterms:W3CDTF">2021-06-22T11:59:33Z</dcterms:created>
  <dcterms:modified xsi:type="dcterms:W3CDTF">2022-11-16T18:46:35Z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0x0101009545CBDAAE18CF49AB23ED165E1E282B</vt:lpwstr>
  </property>
</Properties>
</file>