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9842E54-5556-4A61-A973-0AFD44F38152}" xr6:coauthVersionLast="47" xr6:coauthVersionMax="47" xr10:uidLastSave="{00000000-0000-0000-0000-000000000000}"/>
  <bookViews>
    <workbookView xWindow="-120" yWindow="-120" windowWidth="29040" windowHeight="16440" activeTab="1" xr2:uid="{23AAF16F-6823-4E5F-983D-932968D4938B}"/>
  </bookViews>
  <sheets>
    <sheet name="Mensuel" sheetId="1" r:id="rId1"/>
    <sheet name="Blad1" sheetId="3" r:id="rId2"/>
    <sheet name="Annuel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5" i="3" l="1"/>
  <c r="Q2" i="3"/>
  <c r="F3" i="3"/>
  <c r="F7" i="3"/>
  <c r="F11" i="3"/>
  <c r="F15" i="3"/>
  <c r="F19" i="3"/>
  <c r="F23" i="3"/>
  <c r="F27" i="3"/>
  <c r="F31" i="3"/>
  <c r="F35" i="3"/>
  <c r="F39" i="3"/>
  <c r="F43" i="3"/>
  <c r="F47" i="3"/>
  <c r="F51" i="3"/>
  <c r="F55" i="3"/>
  <c r="F59" i="3"/>
  <c r="F63" i="3"/>
  <c r="F67" i="3"/>
  <c r="F71" i="3"/>
  <c r="G2" i="3"/>
  <c r="G6" i="3"/>
  <c r="G10" i="3"/>
  <c r="G14" i="3"/>
  <c r="G19" i="3"/>
  <c r="G23" i="3"/>
  <c r="G27" i="3"/>
  <c r="G32" i="3"/>
  <c r="G36" i="3"/>
  <c r="G54" i="3"/>
  <c r="G58" i="3"/>
  <c r="G62" i="3"/>
  <c r="G67" i="3"/>
  <c r="G71" i="3"/>
  <c r="C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H2" i="3"/>
  <c r="D2" i="3"/>
  <c r="D3" i="3"/>
  <c r="D4" i="3"/>
  <c r="L3" i="3"/>
  <c r="N3" i="3" s="1"/>
  <c r="B2" i="3"/>
  <c r="F2" i="3" s="1"/>
  <c r="B3" i="3"/>
  <c r="I3" i="3" s="1"/>
  <c r="B4" i="3"/>
  <c r="F4" i="3" s="1"/>
  <c r="B5" i="3"/>
  <c r="I5" i="3" s="1"/>
  <c r="B6" i="3"/>
  <c r="I6" i="3" s="1"/>
  <c r="B7" i="3"/>
  <c r="I7" i="3" s="1"/>
  <c r="B8" i="3"/>
  <c r="I8" i="3" s="1"/>
  <c r="B9" i="3"/>
  <c r="I9" i="3" s="1"/>
  <c r="B10" i="3"/>
  <c r="I10" i="3" s="1"/>
  <c r="B11" i="3"/>
  <c r="I11" i="3" s="1"/>
  <c r="B12" i="3"/>
  <c r="I12" i="3" s="1"/>
  <c r="B13" i="3"/>
  <c r="I13" i="3" s="1"/>
  <c r="B14" i="3"/>
  <c r="I14" i="3" s="1"/>
  <c r="B15" i="3"/>
  <c r="I15" i="3" s="1"/>
  <c r="B16" i="3"/>
  <c r="F16" i="3" s="1"/>
  <c r="B17" i="3"/>
  <c r="I17" i="3" s="1"/>
  <c r="B18" i="3"/>
  <c r="F18" i="3" s="1"/>
  <c r="B19" i="3"/>
  <c r="I19" i="3" s="1"/>
  <c r="B20" i="3"/>
  <c r="I20" i="3" s="1"/>
  <c r="B21" i="3"/>
  <c r="I21" i="3" s="1"/>
  <c r="B22" i="3"/>
  <c r="F22" i="3" s="1"/>
  <c r="B23" i="3"/>
  <c r="I23" i="3" s="1"/>
  <c r="B24" i="3"/>
  <c r="I24" i="3" s="1"/>
  <c r="B25" i="3"/>
  <c r="I25" i="3" s="1"/>
  <c r="B26" i="3"/>
  <c r="F26" i="3" s="1"/>
  <c r="B27" i="3"/>
  <c r="I27" i="3" s="1"/>
  <c r="B28" i="3"/>
  <c r="F28" i="3" s="1"/>
  <c r="B29" i="3"/>
  <c r="I29" i="3" s="1"/>
  <c r="B30" i="3"/>
  <c r="G30" i="3" s="1"/>
  <c r="B31" i="3"/>
  <c r="G31" i="3" s="1"/>
  <c r="B32" i="3"/>
  <c r="I32" i="3" s="1"/>
  <c r="B33" i="3"/>
  <c r="I33" i="3" s="1"/>
  <c r="B34" i="3"/>
  <c r="G34" i="3" s="1"/>
  <c r="B35" i="3"/>
  <c r="G35" i="3" s="1"/>
  <c r="B36" i="3"/>
  <c r="I36" i="3" s="1"/>
  <c r="B37" i="3"/>
  <c r="I37" i="3" s="1"/>
  <c r="B38" i="3"/>
  <c r="G38" i="3" s="1"/>
  <c r="B39" i="3"/>
  <c r="G39" i="3" s="1"/>
  <c r="B40" i="3"/>
  <c r="F40" i="3" s="1"/>
  <c r="B41" i="3"/>
  <c r="I41" i="3" s="1"/>
  <c r="B42" i="3"/>
  <c r="G42" i="3" s="1"/>
  <c r="B43" i="3"/>
  <c r="G43" i="3" s="1"/>
  <c r="B44" i="3"/>
  <c r="F44" i="3" s="1"/>
  <c r="B45" i="3"/>
  <c r="I45" i="3" s="1"/>
  <c r="B46" i="3"/>
  <c r="G46" i="3" s="1"/>
  <c r="B47" i="3"/>
  <c r="G47" i="3" s="1"/>
  <c r="B48" i="3"/>
  <c r="F48" i="3" s="1"/>
  <c r="B49" i="3"/>
  <c r="I49" i="3" s="1"/>
  <c r="B50" i="3"/>
  <c r="G50" i="3" s="1"/>
  <c r="B51" i="3"/>
  <c r="G51" i="3" s="1"/>
  <c r="B52" i="3"/>
  <c r="F52" i="3" s="1"/>
  <c r="B53" i="3"/>
  <c r="I53" i="3" s="1"/>
  <c r="B54" i="3"/>
  <c r="I54" i="3" s="1"/>
  <c r="B55" i="3"/>
  <c r="I55" i="3" s="1"/>
  <c r="B56" i="3"/>
  <c r="I56" i="3" s="1"/>
  <c r="B57" i="3"/>
  <c r="I57" i="3" s="1"/>
  <c r="B58" i="3"/>
  <c r="I58" i="3" s="1"/>
  <c r="B59" i="3"/>
  <c r="I59" i="3" s="1"/>
  <c r="B60" i="3"/>
  <c r="I60" i="3" s="1"/>
  <c r="B61" i="3"/>
  <c r="I61" i="3" s="1"/>
  <c r="B62" i="3"/>
  <c r="I62" i="3" s="1"/>
  <c r="B63" i="3"/>
  <c r="I63" i="3" s="1"/>
  <c r="B64" i="3"/>
  <c r="F64" i="3" s="1"/>
  <c r="B65" i="3"/>
  <c r="I65" i="3" s="1"/>
  <c r="B66" i="3"/>
  <c r="F66" i="3" s="1"/>
  <c r="B67" i="3"/>
  <c r="I67" i="3" s="1"/>
  <c r="B68" i="3"/>
  <c r="I68" i="3" s="1"/>
  <c r="B69" i="3"/>
  <c r="I69" i="3" s="1"/>
  <c r="B70" i="3"/>
  <c r="F70" i="3" s="1"/>
  <c r="B71" i="3"/>
  <c r="I71" i="3" s="1"/>
  <c r="B72" i="3"/>
  <c r="I72" i="3" s="1"/>
  <c r="B73" i="3"/>
  <c r="I73" i="3" s="1"/>
  <c r="B74" i="3"/>
  <c r="F74" i="3" s="1"/>
  <c r="D19" i="1"/>
  <c r="F11" i="1"/>
  <c r="G11" i="1"/>
  <c r="H11" i="1"/>
  <c r="E19" i="1"/>
  <c r="F19" i="1" s="1"/>
  <c r="G19" i="1" s="1"/>
  <c r="H18" i="1" s="1"/>
  <c r="E5" i="1"/>
  <c r="I11" i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D3" i="1"/>
  <c r="D3" i="2"/>
  <c r="E2" i="3" l="1"/>
  <c r="C75" i="3"/>
  <c r="G49" i="3"/>
  <c r="G41" i="3"/>
  <c r="G70" i="3"/>
  <c r="G66" i="3"/>
  <c r="G61" i="3"/>
  <c r="G57" i="3"/>
  <c r="G53" i="3"/>
  <c r="G48" i="3"/>
  <c r="G44" i="3"/>
  <c r="G26" i="3"/>
  <c r="G22" i="3"/>
  <c r="G18" i="3"/>
  <c r="G13" i="3"/>
  <c r="G9" i="3"/>
  <c r="G5" i="3"/>
  <c r="F62" i="3"/>
  <c r="F58" i="3"/>
  <c r="F54" i="3"/>
  <c r="F50" i="3"/>
  <c r="F46" i="3"/>
  <c r="F42" i="3"/>
  <c r="F38" i="3"/>
  <c r="F34" i="3"/>
  <c r="F30" i="3"/>
  <c r="F14" i="3"/>
  <c r="F10" i="3"/>
  <c r="F6" i="3"/>
  <c r="G73" i="3"/>
  <c r="G69" i="3"/>
  <c r="G65" i="3"/>
  <c r="G60" i="3"/>
  <c r="G56" i="3"/>
  <c r="G25" i="3"/>
  <c r="G21" i="3"/>
  <c r="G17" i="3"/>
  <c r="G12" i="3"/>
  <c r="G8" i="3"/>
  <c r="G4" i="3"/>
  <c r="F73" i="3"/>
  <c r="F69" i="3"/>
  <c r="F65" i="3"/>
  <c r="F61" i="3"/>
  <c r="F57" i="3"/>
  <c r="F53" i="3"/>
  <c r="F49" i="3"/>
  <c r="F45" i="3"/>
  <c r="F41" i="3"/>
  <c r="F37" i="3"/>
  <c r="F33" i="3"/>
  <c r="F29" i="3"/>
  <c r="F25" i="3"/>
  <c r="F21" i="3"/>
  <c r="F17" i="3"/>
  <c r="F13" i="3"/>
  <c r="F9" i="3"/>
  <c r="F5" i="3"/>
  <c r="G45" i="3"/>
  <c r="G72" i="3"/>
  <c r="G68" i="3"/>
  <c r="G63" i="3"/>
  <c r="G59" i="3"/>
  <c r="G55" i="3"/>
  <c r="G37" i="3"/>
  <c r="G33" i="3"/>
  <c r="G29" i="3"/>
  <c r="G24" i="3"/>
  <c r="G20" i="3"/>
  <c r="G15" i="3"/>
  <c r="G11" i="3"/>
  <c r="G7" i="3"/>
  <c r="G3" i="3"/>
  <c r="H3" i="3" s="1"/>
  <c r="F72" i="3"/>
  <c r="F68" i="3"/>
  <c r="F60" i="3"/>
  <c r="F56" i="3"/>
  <c r="F36" i="3"/>
  <c r="F32" i="3"/>
  <c r="F24" i="3"/>
  <c r="F20" i="3"/>
  <c r="F12" i="3"/>
  <c r="F8" i="3"/>
  <c r="I74" i="3"/>
  <c r="I70" i="3"/>
  <c r="I66" i="3"/>
  <c r="I48" i="3"/>
  <c r="I44" i="3"/>
  <c r="I39" i="3"/>
  <c r="I35" i="3"/>
  <c r="I31" i="3"/>
  <c r="I26" i="3"/>
  <c r="I22" i="3"/>
  <c r="I18" i="3"/>
  <c r="I51" i="3"/>
  <c r="I47" i="3"/>
  <c r="I43" i="3"/>
  <c r="I38" i="3"/>
  <c r="I34" i="3"/>
  <c r="I30" i="3"/>
  <c r="I50" i="3"/>
  <c r="I46" i="3"/>
  <c r="I42" i="3"/>
  <c r="I2" i="3"/>
  <c r="E3" i="3"/>
  <c r="E4" i="3" s="1"/>
  <c r="F30" i="1"/>
  <c r="F29" i="1"/>
  <c r="F28" i="1"/>
  <c r="F27" i="1"/>
  <c r="F26" i="1"/>
  <c r="F25" i="1"/>
  <c r="E10" i="1"/>
  <c r="H14" i="2"/>
  <c r="D14" i="2"/>
  <c r="G14" i="2"/>
  <c r="C14" i="2"/>
  <c r="F14" i="2"/>
  <c r="E14" i="2"/>
  <c r="I14" i="2"/>
  <c r="F75" i="3" l="1"/>
  <c r="H4" i="3"/>
  <c r="F10" i="1"/>
  <c r="G10" i="1" s="1"/>
  <c r="H10" i="1" s="1"/>
  <c r="F26" i="2"/>
  <c r="C16" i="2"/>
  <c r="J14" i="2"/>
  <c r="F32" i="2"/>
  <c r="I16" i="2"/>
  <c r="I18" i="2" s="1"/>
  <c r="F30" i="2"/>
  <c r="G16" i="2"/>
  <c r="G18" i="2" s="1"/>
  <c r="F29" i="2"/>
  <c r="F16" i="2"/>
  <c r="F18" i="2" s="1"/>
  <c r="D16" i="2"/>
  <c r="D18" i="2" s="1"/>
  <c r="F27" i="2"/>
  <c r="F28" i="2"/>
  <c r="E16" i="2"/>
  <c r="E18" i="2" s="1"/>
  <c r="H16" i="2"/>
  <c r="H18" i="2" s="1"/>
  <c r="F31" i="2"/>
  <c r="H5" i="3" l="1"/>
  <c r="F24" i="1"/>
  <c r="F31" i="1" s="1"/>
  <c r="H12" i="1"/>
  <c r="H14" i="1" s="1"/>
  <c r="I10" i="1"/>
  <c r="G12" i="1"/>
  <c r="J16" i="2"/>
  <c r="E26" i="2" s="1"/>
  <c r="H26" i="2" s="1"/>
  <c r="E27" i="2" s="1"/>
  <c r="C18" i="2"/>
  <c r="J18" i="2" s="1"/>
  <c r="F33" i="2"/>
  <c r="H6" i="3" l="1"/>
  <c r="J10" i="1"/>
  <c r="I12" i="1"/>
  <c r="G27" i="2"/>
  <c r="H27" i="2"/>
  <c r="E28" i="2" s="1"/>
  <c r="H7" i="3" l="1"/>
  <c r="J12" i="1"/>
  <c r="K10" i="1"/>
  <c r="I14" i="1"/>
  <c r="G28" i="2"/>
  <c r="H28" i="2" s="1"/>
  <c r="E29" i="2" s="1"/>
  <c r="H8" i="3" l="1"/>
  <c r="K12" i="1"/>
  <c r="K14" i="1" s="1"/>
  <c r="L10" i="1"/>
  <c r="J14" i="1"/>
  <c r="G29" i="2"/>
  <c r="H29" i="2" s="1"/>
  <c r="E30" i="2" s="1"/>
  <c r="H9" i="3" l="1"/>
  <c r="L12" i="1"/>
  <c r="L14" i="1" s="1"/>
  <c r="M10" i="1"/>
  <c r="G30" i="2"/>
  <c r="H30" i="2" s="1"/>
  <c r="E31" i="2" s="1"/>
  <c r="H10" i="3" l="1"/>
  <c r="N10" i="1"/>
  <c r="M12" i="1"/>
  <c r="M14" i="1" s="1"/>
  <c r="G31" i="2"/>
  <c r="H31" i="2"/>
  <c r="E32" i="2" s="1"/>
  <c r="H11" i="3" l="1"/>
  <c r="N12" i="1"/>
  <c r="N14" i="1" s="1"/>
  <c r="O10" i="1"/>
  <c r="G32" i="2"/>
  <c r="H32" i="2" s="1"/>
  <c r="H12" i="3" l="1"/>
  <c r="G33" i="2"/>
  <c r="G35" i="2" s="1"/>
  <c r="O12" i="1"/>
  <c r="O14" i="1" s="1"/>
  <c r="P10" i="1"/>
  <c r="H13" i="3" l="1"/>
  <c r="P12" i="1"/>
  <c r="P14" i="1" s="1"/>
  <c r="Q10" i="1"/>
  <c r="H14" i="3" l="1"/>
  <c r="Q12" i="1"/>
  <c r="Q14" i="1" s="1"/>
  <c r="R10" i="1"/>
  <c r="H15" i="3" l="1"/>
  <c r="G16" i="3" s="1"/>
  <c r="R12" i="1"/>
  <c r="R14" i="1" s="1"/>
  <c r="S10" i="1"/>
  <c r="H16" i="3" l="1"/>
  <c r="S12" i="1"/>
  <c r="S14" i="1" s="1"/>
  <c r="T10" i="1"/>
  <c r="H17" i="3" l="1"/>
  <c r="H18" i="3" s="1"/>
  <c r="T12" i="1"/>
  <c r="T14" i="1" s="1"/>
  <c r="U10" i="1"/>
  <c r="H19" i="3" l="1"/>
  <c r="V10" i="1"/>
  <c r="U12" i="1"/>
  <c r="U14" i="1" s="1"/>
  <c r="H20" i="3" l="1"/>
  <c r="V12" i="1"/>
  <c r="V14" i="1" s="1"/>
  <c r="W10" i="1"/>
  <c r="H21" i="3" l="1"/>
  <c r="W12" i="1"/>
  <c r="W14" i="1" s="1"/>
  <c r="X10" i="1"/>
  <c r="H22" i="3" l="1"/>
  <c r="X12" i="1"/>
  <c r="X14" i="1" s="1"/>
  <c r="Y10" i="1"/>
  <c r="H23" i="3" l="1"/>
  <c r="Z10" i="1"/>
  <c r="Y12" i="1"/>
  <c r="Y14" i="1" s="1"/>
  <c r="H24" i="3" l="1"/>
  <c r="Z12" i="1"/>
  <c r="Z14" i="1" s="1"/>
  <c r="AA10" i="1"/>
  <c r="H25" i="3" l="1"/>
  <c r="AA12" i="1"/>
  <c r="AA14" i="1" s="1"/>
  <c r="AB10" i="1"/>
  <c r="H26" i="3" l="1"/>
  <c r="AB12" i="1"/>
  <c r="AB14" i="1" s="1"/>
  <c r="AC10" i="1"/>
  <c r="H27" i="3" l="1"/>
  <c r="G28" i="3" s="1"/>
  <c r="AD10" i="1"/>
  <c r="AC12" i="1"/>
  <c r="AC14" i="1" s="1"/>
  <c r="H28" i="3" l="1"/>
  <c r="AD12" i="1"/>
  <c r="AD14" i="1" s="1"/>
  <c r="AE10" i="1"/>
  <c r="H29" i="3" l="1"/>
  <c r="AE12" i="1"/>
  <c r="AE14" i="1" s="1"/>
  <c r="AF10" i="1"/>
  <c r="H30" i="3" l="1"/>
  <c r="AF12" i="1"/>
  <c r="AF14" i="1" s="1"/>
  <c r="AG10" i="1"/>
  <c r="H31" i="3" l="1"/>
  <c r="AH10" i="1"/>
  <c r="AG12" i="1"/>
  <c r="AG14" i="1" s="1"/>
  <c r="H32" i="3" l="1"/>
  <c r="AH12" i="1"/>
  <c r="AH14" i="1" s="1"/>
  <c r="AI10" i="1"/>
  <c r="H33" i="3" l="1"/>
  <c r="AI12" i="1"/>
  <c r="AI14" i="1" s="1"/>
  <c r="AJ10" i="1"/>
  <c r="H34" i="3" l="1"/>
  <c r="AJ12" i="1"/>
  <c r="AJ14" i="1" s="1"/>
  <c r="AK10" i="1"/>
  <c r="H35" i="3" l="1"/>
  <c r="AL10" i="1"/>
  <c r="AK12" i="1"/>
  <c r="AK14" i="1" s="1"/>
  <c r="H36" i="3" l="1"/>
  <c r="AL12" i="1"/>
  <c r="AL14" i="1" s="1"/>
  <c r="AM10" i="1"/>
  <c r="H37" i="3" l="1"/>
  <c r="AM12" i="1"/>
  <c r="AM14" i="1" s="1"/>
  <c r="AN10" i="1"/>
  <c r="H38" i="3" l="1"/>
  <c r="AN12" i="1"/>
  <c r="AN14" i="1" s="1"/>
  <c r="AO10" i="1"/>
  <c r="H39" i="3" l="1"/>
  <c r="G40" i="3" s="1"/>
  <c r="AP10" i="1"/>
  <c r="AO12" i="1"/>
  <c r="AO14" i="1" s="1"/>
  <c r="H40" i="3" l="1"/>
  <c r="AP12" i="1"/>
  <c r="AP14" i="1" s="1"/>
  <c r="AQ10" i="1"/>
  <c r="H41" i="3" l="1"/>
  <c r="H42" i="3" s="1"/>
  <c r="AQ12" i="1"/>
  <c r="AQ14" i="1" s="1"/>
  <c r="AR10" i="1"/>
  <c r="H43" i="3" l="1"/>
  <c r="AR12" i="1"/>
  <c r="AR14" i="1" s="1"/>
  <c r="AS10" i="1"/>
  <c r="H44" i="3" l="1"/>
  <c r="AT10" i="1"/>
  <c r="AS12" i="1"/>
  <c r="AS14" i="1" s="1"/>
  <c r="H45" i="3" l="1"/>
  <c r="AT12" i="1"/>
  <c r="AT14" i="1" s="1"/>
  <c r="AU10" i="1"/>
  <c r="H46" i="3" l="1"/>
  <c r="AU12" i="1"/>
  <c r="AU14" i="1" s="1"/>
  <c r="AV10" i="1"/>
  <c r="H47" i="3" l="1"/>
  <c r="AV12" i="1"/>
  <c r="AV14" i="1" s="1"/>
  <c r="AW10" i="1"/>
  <c r="H48" i="3" l="1"/>
  <c r="AX10" i="1"/>
  <c r="AW12" i="1"/>
  <c r="AW14" i="1" s="1"/>
  <c r="H49" i="3" l="1"/>
  <c r="AX12" i="1"/>
  <c r="AX14" i="1" s="1"/>
  <c r="AY10" i="1"/>
  <c r="H50" i="3" l="1"/>
  <c r="AY12" i="1"/>
  <c r="AY14" i="1" s="1"/>
  <c r="AZ10" i="1"/>
  <c r="H51" i="3" l="1"/>
  <c r="G52" i="3" s="1"/>
  <c r="AZ12" i="1"/>
  <c r="AZ14" i="1" s="1"/>
  <c r="BA10" i="1"/>
  <c r="H52" i="3" l="1"/>
  <c r="BB10" i="1"/>
  <c r="BA12" i="1"/>
  <c r="BA14" i="1" s="1"/>
  <c r="H53" i="3" l="1"/>
  <c r="H54" i="3" s="1"/>
  <c r="BB12" i="1"/>
  <c r="BB14" i="1" s="1"/>
  <c r="BC10" i="1"/>
  <c r="H55" i="3" l="1"/>
  <c r="BC12" i="1"/>
  <c r="BC14" i="1" s="1"/>
  <c r="BD10" i="1"/>
  <c r="H56" i="3" l="1"/>
  <c r="BD12" i="1"/>
  <c r="BD14" i="1" s="1"/>
  <c r="BE10" i="1"/>
  <c r="H57" i="3" l="1"/>
  <c r="BF10" i="1"/>
  <c r="BE12" i="1"/>
  <c r="BE14" i="1" s="1"/>
  <c r="H58" i="3" l="1"/>
  <c r="BF12" i="1"/>
  <c r="BF14" i="1" s="1"/>
  <c r="BG10" i="1"/>
  <c r="H59" i="3" l="1"/>
  <c r="BG12" i="1"/>
  <c r="BG14" i="1" s="1"/>
  <c r="BH10" i="1"/>
  <c r="H60" i="3" l="1"/>
  <c r="BH12" i="1"/>
  <c r="BH14" i="1" s="1"/>
  <c r="BI10" i="1"/>
  <c r="H61" i="3" l="1"/>
  <c r="BJ10" i="1"/>
  <c r="BI12" i="1"/>
  <c r="BI14" i="1" s="1"/>
  <c r="H62" i="3" l="1"/>
  <c r="BJ12" i="1"/>
  <c r="BJ14" i="1" s="1"/>
  <c r="BK10" i="1"/>
  <c r="H63" i="3" l="1"/>
  <c r="G64" i="3" s="1"/>
  <c r="BK12" i="1"/>
  <c r="BK14" i="1" s="1"/>
  <c r="BL10" i="1"/>
  <c r="H64" i="3" l="1"/>
  <c r="BL12" i="1"/>
  <c r="BL14" i="1" s="1"/>
  <c r="BM10" i="1"/>
  <c r="H65" i="3" l="1"/>
  <c r="H66" i="3" s="1"/>
  <c r="BN10" i="1"/>
  <c r="BM12" i="1"/>
  <c r="BM14" i="1" s="1"/>
  <c r="H67" i="3" l="1"/>
  <c r="BN12" i="1"/>
  <c r="BN14" i="1" s="1"/>
  <c r="BO10" i="1"/>
  <c r="H68" i="3" l="1"/>
  <c r="BO12" i="1"/>
  <c r="BO14" i="1" s="1"/>
  <c r="BP10" i="1"/>
  <c r="H69" i="3" l="1"/>
  <c r="BP12" i="1"/>
  <c r="BP14" i="1" s="1"/>
  <c r="BQ10" i="1"/>
  <c r="H70" i="3" l="1"/>
  <c r="BR10" i="1"/>
  <c r="BQ12" i="1"/>
  <c r="BQ14" i="1" s="1"/>
  <c r="H71" i="3" l="1"/>
  <c r="BR12" i="1"/>
  <c r="BR14" i="1" s="1"/>
  <c r="BS10" i="1"/>
  <c r="H72" i="3" l="1"/>
  <c r="BS12" i="1"/>
  <c r="BS14" i="1" s="1"/>
  <c r="BT10" i="1"/>
  <c r="H73" i="3" l="1"/>
  <c r="G74" i="3" s="1"/>
  <c r="BT12" i="1"/>
  <c r="BT14" i="1" s="1"/>
  <c r="BU10" i="1"/>
  <c r="H74" i="3" l="1"/>
  <c r="BV10" i="1"/>
  <c r="BU12" i="1"/>
  <c r="BU14" i="1" s="1"/>
  <c r="BV12" i="1" l="1"/>
  <c r="BV14" i="1" s="1"/>
  <c r="BW10" i="1"/>
  <c r="BW12" i="1" l="1"/>
  <c r="BW14" i="1" s="1"/>
  <c r="BX10" i="1"/>
  <c r="BX12" i="1" l="1"/>
  <c r="E24" i="1" l="1"/>
  <c r="H24" i="1" s="1"/>
  <c r="E25" i="1" s="1"/>
  <c r="G25" i="1" s="1"/>
  <c r="G16" i="1"/>
  <c r="G17" i="1" s="1"/>
  <c r="H16" i="1" s="1"/>
  <c r="H17" i="1" s="1"/>
  <c r="BX14" i="1"/>
  <c r="I16" i="1" l="1"/>
  <c r="I17" i="1" s="1"/>
  <c r="H19" i="1"/>
  <c r="I18" i="1" s="1"/>
  <c r="H25" i="1"/>
  <c r="E26" i="1" s="1"/>
  <c r="J16" i="1" l="1"/>
  <c r="J17" i="1" s="1"/>
  <c r="I19" i="1"/>
  <c r="J18" i="1" s="1"/>
  <c r="G26" i="1"/>
  <c r="K16" i="1" l="1"/>
  <c r="K17" i="1" s="1"/>
  <c r="J19" i="1"/>
  <c r="K18" i="1" s="1"/>
  <c r="H26" i="1"/>
  <c r="E27" i="1" s="1"/>
  <c r="L16" i="1" l="1"/>
  <c r="L17" i="1" s="1"/>
  <c r="K19" i="1"/>
  <c r="L18" i="1" s="1"/>
  <c r="G27" i="1"/>
  <c r="L19" i="1" l="1"/>
  <c r="M18" i="1" s="1"/>
  <c r="M16" i="1"/>
  <c r="M17" i="1" s="1"/>
  <c r="H27" i="1"/>
  <c r="E28" i="1" s="1"/>
  <c r="M19" i="1" l="1"/>
  <c r="N18" i="1" s="1"/>
  <c r="N16" i="1"/>
  <c r="N17" i="1" s="1"/>
  <c r="G28" i="1"/>
  <c r="H28" i="1" s="1"/>
  <c r="E29" i="1" s="1"/>
  <c r="N19" i="1" l="1"/>
  <c r="O18" i="1" s="1"/>
  <c r="O16" i="1"/>
  <c r="O17" i="1" s="1"/>
  <c r="G29" i="1"/>
  <c r="H29" i="1" s="1"/>
  <c r="E30" i="1" s="1"/>
  <c r="O19" i="1" l="1"/>
  <c r="P18" i="1" s="1"/>
  <c r="P16" i="1"/>
  <c r="P17" i="1" s="1"/>
  <c r="G30" i="1"/>
  <c r="G31" i="1" s="1"/>
  <c r="G33" i="1" s="1"/>
  <c r="P19" i="1" l="1"/>
  <c r="Q18" i="1" s="1"/>
  <c r="Q16" i="1"/>
  <c r="Q17" i="1" s="1"/>
  <c r="H30" i="1"/>
  <c r="R16" i="1" l="1"/>
  <c r="R17" i="1" s="1"/>
  <c r="Q19" i="1"/>
  <c r="R18" i="1" s="1"/>
  <c r="S16" i="1" l="1"/>
  <c r="S17" i="1" s="1"/>
  <c r="R19" i="1"/>
  <c r="S18" i="1" s="1"/>
  <c r="S19" i="1" l="1"/>
  <c r="T18" i="1" s="1"/>
  <c r="T16" i="1"/>
  <c r="T17" i="1" s="1"/>
  <c r="T19" i="1" l="1"/>
  <c r="U18" i="1" s="1"/>
  <c r="U16" i="1"/>
  <c r="U17" i="1" s="1"/>
  <c r="U19" i="1" l="1"/>
  <c r="V18" i="1" s="1"/>
  <c r="V16" i="1"/>
  <c r="V17" i="1" s="1"/>
  <c r="V19" i="1" l="1"/>
  <c r="W18" i="1" s="1"/>
  <c r="W16" i="1"/>
  <c r="W17" i="1" s="1"/>
  <c r="W19" i="1" l="1"/>
  <c r="X18" i="1" s="1"/>
  <c r="X16" i="1"/>
  <c r="X17" i="1" s="1"/>
  <c r="X19" i="1" l="1"/>
  <c r="Y18" i="1" s="1"/>
  <c r="Y16" i="1"/>
  <c r="Y17" i="1" s="1"/>
  <c r="Y19" i="1" l="1"/>
  <c r="Z18" i="1" s="1"/>
  <c r="Z16" i="1"/>
  <c r="Z17" i="1" s="1"/>
  <c r="AA16" i="1" l="1"/>
  <c r="AA17" i="1" s="1"/>
  <c r="Z19" i="1"/>
  <c r="AA18" i="1" s="1"/>
  <c r="AB16" i="1" l="1"/>
  <c r="AB17" i="1" s="1"/>
  <c r="AA19" i="1"/>
  <c r="AB18" i="1" s="1"/>
  <c r="AB19" i="1" l="1"/>
  <c r="AC18" i="1" s="1"/>
  <c r="AC16" i="1"/>
  <c r="AC17" i="1" s="1"/>
  <c r="AD16" i="1" l="1"/>
  <c r="AD17" i="1" s="1"/>
  <c r="AC19" i="1"/>
  <c r="AD18" i="1" s="1"/>
  <c r="AE16" i="1" l="1"/>
  <c r="AE17" i="1" s="1"/>
  <c r="AD19" i="1"/>
  <c r="AE18" i="1" s="1"/>
  <c r="AF16" i="1" l="1"/>
  <c r="AF17" i="1" s="1"/>
  <c r="AE19" i="1"/>
  <c r="AF18" i="1" s="1"/>
  <c r="AF19" i="1" l="1"/>
  <c r="AG18" i="1" s="1"/>
  <c r="AG16" i="1"/>
  <c r="AG17" i="1" s="1"/>
  <c r="AG19" i="1" l="1"/>
  <c r="AH18" i="1" s="1"/>
  <c r="AH16" i="1"/>
  <c r="AH17" i="1" s="1"/>
  <c r="AI16" i="1" l="1"/>
  <c r="AI17" i="1" s="1"/>
  <c r="AH19" i="1"/>
  <c r="AI18" i="1" s="1"/>
  <c r="AJ16" i="1" l="1"/>
  <c r="AJ17" i="1" s="1"/>
  <c r="AI19" i="1"/>
  <c r="AJ18" i="1" s="1"/>
  <c r="AJ19" i="1" l="1"/>
  <c r="AK18" i="1" s="1"/>
  <c r="AK16" i="1"/>
  <c r="AK17" i="1" s="1"/>
  <c r="AK19" i="1" l="1"/>
  <c r="AL18" i="1" s="1"/>
  <c r="AL16" i="1"/>
  <c r="AL17" i="1" s="1"/>
  <c r="AM16" i="1" l="1"/>
  <c r="AM17" i="1" s="1"/>
  <c r="AL19" i="1"/>
  <c r="AM18" i="1" s="1"/>
  <c r="AN16" i="1" l="1"/>
  <c r="AN17" i="1" s="1"/>
  <c r="AM19" i="1"/>
  <c r="AN18" i="1" s="1"/>
  <c r="AN19" i="1" l="1"/>
  <c r="AO18" i="1" s="1"/>
  <c r="AO16" i="1"/>
  <c r="AO17" i="1" s="1"/>
  <c r="AP16" i="1" l="1"/>
  <c r="AP17" i="1" s="1"/>
  <c r="AO19" i="1"/>
  <c r="AP18" i="1" s="1"/>
  <c r="AQ16" i="1" l="1"/>
  <c r="AQ17" i="1" s="1"/>
  <c r="AP19" i="1"/>
  <c r="AQ18" i="1" s="1"/>
  <c r="AR16" i="1" l="1"/>
  <c r="AR17" i="1" s="1"/>
  <c r="AQ19" i="1"/>
  <c r="AR18" i="1" s="1"/>
  <c r="AR19" i="1" l="1"/>
  <c r="AS18" i="1" s="1"/>
  <c r="AS16" i="1"/>
  <c r="AS17" i="1" s="1"/>
  <c r="AS19" i="1" l="1"/>
  <c r="AT18" i="1" s="1"/>
  <c r="AT16" i="1"/>
  <c r="AT17" i="1" s="1"/>
  <c r="AU16" i="1" l="1"/>
  <c r="AU17" i="1" s="1"/>
  <c r="AT19" i="1"/>
  <c r="AU18" i="1" s="1"/>
  <c r="AV16" i="1" l="1"/>
  <c r="AV17" i="1" s="1"/>
  <c r="AU19" i="1"/>
  <c r="AV18" i="1" s="1"/>
  <c r="AV19" i="1" l="1"/>
  <c r="AW18" i="1" s="1"/>
  <c r="AW16" i="1"/>
  <c r="AW17" i="1" s="1"/>
  <c r="AW19" i="1" l="1"/>
  <c r="AX18" i="1" s="1"/>
  <c r="AX16" i="1"/>
  <c r="AX17" i="1" s="1"/>
  <c r="AY16" i="1" l="1"/>
  <c r="AY17" i="1" s="1"/>
  <c r="AX19" i="1"/>
  <c r="AY18" i="1" s="1"/>
  <c r="AZ16" i="1" l="1"/>
  <c r="AZ17" i="1" s="1"/>
  <c r="AY19" i="1"/>
  <c r="AZ18" i="1" s="1"/>
  <c r="AZ19" i="1" l="1"/>
  <c r="BA18" i="1" s="1"/>
  <c r="BA16" i="1"/>
  <c r="BA17" i="1" s="1"/>
  <c r="BA19" i="1" l="1"/>
  <c r="BB18" i="1" s="1"/>
  <c r="BB16" i="1"/>
  <c r="BB17" i="1" s="1"/>
  <c r="BC16" i="1" l="1"/>
  <c r="BC17" i="1" s="1"/>
  <c r="BB19" i="1"/>
  <c r="BC18" i="1" s="1"/>
  <c r="BD16" i="1" l="1"/>
  <c r="BD17" i="1" s="1"/>
  <c r="BC19" i="1"/>
  <c r="BD18" i="1" s="1"/>
  <c r="BD19" i="1" l="1"/>
  <c r="BE18" i="1" s="1"/>
  <c r="BE16" i="1"/>
  <c r="BE17" i="1" s="1"/>
  <c r="BE19" i="1" l="1"/>
  <c r="BF18" i="1" s="1"/>
  <c r="BF16" i="1"/>
  <c r="BF17" i="1" s="1"/>
  <c r="BG16" i="1" l="1"/>
  <c r="BG17" i="1" s="1"/>
  <c r="BF19" i="1"/>
  <c r="BG18" i="1" s="1"/>
  <c r="BH16" i="1" l="1"/>
  <c r="BH17" i="1" s="1"/>
  <c r="BG19" i="1"/>
  <c r="BH18" i="1" s="1"/>
  <c r="BH19" i="1" l="1"/>
  <c r="BI18" i="1" s="1"/>
  <c r="BI16" i="1"/>
  <c r="BI17" i="1" s="1"/>
  <c r="BI19" i="1" l="1"/>
  <c r="BJ18" i="1" s="1"/>
  <c r="BJ16" i="1"/>
  <c r="BJ17" i="1" s="1"/>
  <c r="BK16" i="1" l="1"/>
  <c r="BK17" i="1" s="1"/>
  <c r="BJ19" i="1"/>
  <c r="BK18" i="1" s="1"/>
  <c r="BL16" i="1" l="1"/>
  <c r="BL17" i="1" s="1"/>
  <c r="BK19" i="1"/>
  <c r="BL18" i="1" s="1"/>
  <c r="BL19" i="1" l="1"/>
  <c r="BM18" i="1" s="1"/>
  <c r="BM16" i="1"/>
  <c r="BM17" i="1" s="1"/>
  <c r="BN16" i="1" l="1"/>
  <c r="BN17" i="1" s="1"/>
  <c r="BM19" i="1"/>
  <c r="BN18" i="1" s="1"/>
  <c r="BO16" i="1" l="1"/>
  <c r="BO17" i="1" s="1"/>
  <c r="BN19" i="1"/>
  <c r="BO18" i="1" s="1"/>
  <c r="BP16" i="1" l="1"/>
  <c r="BP17" i="1" s="1"/>
  <c r="BO19" i="1"/>
  <c r="BP18" i="1" s="1"/>
  <c r="BP19" i="1" l="1"/>
  <c r="BQ18" i="1" s="1"/>
  <c r="BQ16" i="1"/>
  <c r="BQ17" i="1" s="1"/>
  <c r="BQ19" i="1" l="1"/>
  <c r="BR18" i="1" s="1"/>
  <c r="BR16" i="1"/>
  <c r="BR17" i="1" s="1"/>
  <c r="BS16" i="1" l="1"/>
  <c r="BS17" i="1" s="1"/>
  <c r="BR19" i="1"/>
  <c r="BS18" i="1" s="1"/>
  <c r="BT16" i="1" l="1"/>
  <c r="BT17" i="1" s="1"/>
  <c r="BS19" i="1"/>
  <c r="BT18" i="1" s="1"/>
  <c r="BT19" i="1" l="1"/>
  <c r="BU18" i="1" s="1"/>
  <c r="BU16" i="1"/>
  <c r="BU17" i="1" s="1"/>
  <c r="BU19" i="1" l="1"/>
  <c r="BV18" i="1" s="1"/>
  <c r="BV16" i="1"/>
  <c r="BV17" i="1" s="1"/>
  <c r="BW16" i="1" l="1"/>
  <c r="BW17" i="1" s="1"/>
  <c r="BV19" i="1"/>
  <c r="BW18" i="1" s="1"/>
  <c r="BX16" i="1" l="1"/>
  <c r="BX17" i="1" s="1"/>
  <c r="BW19" i="1"/>
  <c r="BX18" i="1" l="1"/>
  <c r="BX19" i="1" s="1"/>
  <c r="I4" i="3"/>
  <c r="D5" i="3"/>
  <c r="E5" i="3" s="1"/>
  <c r="D6" i="3" l="1"/>
  <c r="E6" i="3" s="1"/>
  <c r="D7" i="3" l="1"/>
  <c r="E7" i="3" s="1"/>
  <c r="D8" i="3" l="1"/>
  <c r="E8" i="3" s="1"/>
  <c r="D9" i="3" l="1"/>
  <c r="E9" i="3" s="1"/>
  <c r="D10" i="3" l="1"/>
  <c r="E10" i="3" s="1"/>
  <c r="D11" i="3" l="1"/>
  <c r="E11" i="3" s="1"/>
  <c r="D12" i="3" l="1"/>
  <c r="E12" i="3" s="1"/>
  <c r="D13" i="3" l="1"/>
  <c r="E13" i="3" s="1"/>
  <c r="D14" i="3" l="1"/>
  <c r="E14" i="3" s="1"/>
  <c r="D15" i="3" l="1"/>
  <c r="E15" i="3" s="1"/>
  <c r="D16" i="3" l="1"/>
  <c r="E16" i="3" s="1"/>
  <c r="I16" i="3" l="1"/>
  <c r="D17" i="3"/>
  <c r="E17" i="3" s="1"/>
  <c r="D18" i="3" l="1"/>
  <c r="E18" i="3" s="1"/>
  <c r="D19" i="3" l="1"/>
  <c r="E19" i="3" s="1"/>
  <c r="D20" i="3" l="1"/>
  <c r="E20" i="3" s="1"/>
  <c r="D21" i="3" l="1"/>
  <c r="E21" i="3" s="1"/>
  <c r="D22" i="3" l="1"/>
  <c r="E22" i="3" s="1"/>
  <c r="D23" i="3" l="1"/>
  <c r="E23" i="3" s="1"/>
  <c r="D24" i="3" l="1"/>
  <c r="E24" i="3" s="1"/>
  <c r="D25" i="3" l="1"/>
  <c r="E25" i="3" s="1"/>
  <c r="D26" i="3" l="1"/>
  <c r="E26" i="3" s="1"/>
  <c r="D27" i="3" l="1"/>
  <c r="E27" i="3" s="1"/>
  <c r="D28" i="3" l="1"/>
  <c r="E28" i="3" s="1"/>
  <c r="D29" i="3" l="1"/>
  <c r="E29" i="3" s="1"/>
  <c r="I28" i="3"/>
  <c r="D30" i="3" l="1"/>
  <c r="E30" i="3" s="1"/>
  <c r="D31" i="3" l="1"/>
  <c r="E31" i="3" s="1"/>
  <c r="D32" i="3" l="1"/>
  <c r="E32" i="3" s="1"/>
  <c r="D33" i="3" l="1"/>
  <c r="E33" i="3" s="1"/>
  <c r="D34" i="3" l="1"/>
  <c r="E34" i="3" s="1"/>
  <c r="D35" i="3" l="1"/>
  <c r="E35" i="3" s="1"/>
  <c r="D36" i="3" l="1"/>
  <c r="E36" i="3" s="1"/>
  <c r="D37" i="3" l="1"/>
  <c r="E37" i="3" s="1"/>
  <c r="D38" i="3" l="1"/>
  <c r="E38" i="3" s="1"/>
  <c r="D39" i="3" l="1"/>
  <c r="E39" i="3" s="1"/>
  <c r="D40" i="3" l="1"/>
  <c r="E40" i="3" s="1"/>
  <c r="D41" i="3" l="1"/>
  <c r="E41" i="3" s="1"/>
  <c r="I40" i="3"/>
  <c r="D42" i="3" l="1"/>
  <c r="E42" i="3" s="1"/>
  <c r="D43" i="3" l="1"/>
  <c r="E43" i="3" s="1"/>
  <c r="D44" i="3" l="1"/>
  <c r="E44" i="3" s="1"/>
  <c r="D45" i="3" l="1"/>
  <c r="E45" i="3" s="1"/>
  <c r="D46" i="3" l="1"/>
  <c r="E46" i="3" s="1"/>
  <c r="D47" i="3" l="1"/>
  <c r="E47" i="3" s="1"/>
  <c r="D48" i="3" l="1"/>
  <c r="E48" i="3" s="1"/>
  <c r="D49" i="3" l="1"/>
  <c r="E49" i="3" s="1"/>
  <c r="D50" i="3" l="1"/>
  <c r="E50" i="3" s="1"/>
  <c r="D51" i="3" l="1"/>
  <c r="E51" i="3" s="1"/>
  <c r="D52" i="3" l="1"/>
  <c r="E52" i="3" s="1"/>
  <c r="I52" i="3" l="1"/>
  <c r="D53" i="3"/>
  <c r="E53" i="3" s="1"/>
  <c r="D54" i="3" l="1"/>
  <c r="E54" i="3" s="1"/>
  <c r="D55" i="3" l="1"/>
  <c r="E55" i="3" s="1"/>
  <c r="D56" i="3" l="1"/>
  <c r="E56" i="3" s="1"/>
  <c r="D57" i="3" l="1"/>
  <c r="E57" i="3" s="1"/>
  <c r="D58" i="3" l="1"/>
  <c r="E58" i="3" s="1"/>
  <c r="D59" i="3" l="1"/>
  <c r="E59" i="3" s="1"/>
  <c r="D60" i="3" l="1"/>
  <c r="E60" i="3" s="1"/>
  <c r="D61" i="3" l="1"/>
  <c r="E61" i="3" s="1"/>
  <c r="D62" i="3" l="1"/>
  <c r="E62" i="3" s="1"/>
  <c r="D63" i="3" l="1"/>
  <c r="E63" i="3" s="1"/>
  <c r="D64" i="3" l="1"/>
  <c r="E64" i="3" s="1"/>
  <c r="I64" i="3" l="1"/>
  <c r="D65" i="3"/>
  <c r="E65" i="3" s="1"/>
  <c r="D66" i="3" l="1"/>
  <c r="E66" i="3" s="1"/>
  <c r="D67" i="3" l="1"/>
  <c r="E67" i="3" s="1"/>
  <c r="D68" i="3" l="1"/>
  <c r="E68" i="3" s="1"/>
  <c r="D69" i="3" l="1"/>
  <c r="E69" i="3" s="1"/>
  <c r="D70" i="3" l="1"/>
  <c r="E70" i="3" s="1"/>
  <c r="D71" i="3" l="1"/>
  <c r="E71" i="3" s="1"/>
  <c r="D72" i="3" l="1"/>
  <c r="E72" i="3" s="1"/>
  <c r="D73" i="3" l="1"/>
  <c r="E73" i="3" s="1"/>
  <c r="D74" i="3" l="1"/>
  <c r="E74" i="3" s="1"/>
</calcChain>
</file>

<file path=xl/sharedStrings.xml><?xml version="1.0" encoding="utf-8"?>
<sst xmlns="http://schemas.openxmlformats.org/spreadsheetml/2006/main" count="70" uniqueCount="44">
  <si>
    <t>Total</t>
  </si>
  <si>
    <t>Year 1</t>
  </si>
  <si>
    <t>Year 2</t>
  </si>
  <si>
    <t>Year 3</t>
  </si>
  <si>
    <t>Year 4</t>
  </si>
  <si>
    <t>Year 5</t>
  </si>
  <si>
    <t>Year 6</t>
  </si>
  <si>
    <t>Years 1 to 6</t>
  </si>
  <si>
    <t>MGA</t>
  </si>
  <si>
    <t>Remboursements</t>
  </si>
  <si>
    <t>Discounting</t>
  </si>
  <si>
    <t>Year</t>
  </si>
  <si>
    <t>Nb mois</t>
  </si>
  <si>
    <t>Principal</t>
  </si>
  <si>
    <t>Annual amount</t>
  </si>
  <si>
    <t>Interest</t>
  </si>
  <si>
    <t>remaining</t>
  </si>
  <si>
    <t>Période</t>
  </si>
  <si>
    <t>Montant du loyer mensuel</t>
  </si>
  <si>
    <t xml:space="preserve">Début du paiement </t>
  </si>
  <si>
    <t>Discount rate</t>
  </si>
  <si>
    <t>Montant</t>
  </si>
  <si>
    <t>CFA</t>
  </si>
  <si>
    <t>Projection annuel</t>
  </si>
  <si>
    <t>Discounted cash</t>
  </si>
  <si>
    <t>Projection mensuel</t>
  </si>
  <si>
    <t xml:space="preserve">Récap </t>
  </si>
  <si>
    <t>Vérif</t>
  </si>
  <si>
    <t>Interst</t>
  </si>
  <si>
    <t>mois</t>
  </si>
  <si>
    <t>date</t>
  </si>
  <si>
    <t>interst</t>
  </si>
  <si>
    <t>debut</t>
  </si>
  <si>
    <t>%</t>
  </si>
  <si>
    <t>interst2</t>
  </si>
  <si>
    <t>remaining2</t>
  </si>
  <si>
    <t>delta</t>
  </si>
  <si>
    <t>payment mensuel a la fin di mois</t>
  </si>
  <si>
    <t>Kolom1</t>
  </si>
  <si>
    <t>payment annual 31/12</t>
  </si>
  <si>
    <t>payment chaque mois</t>
  </si>
  <si>
    <t>payment anuual</t>
  </si>
  <si>
    <t>per mois</t>
  </si>
  <si>
    <t>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</si>
</sst>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* #,##0_);_(* \(#,##0\);_(* &quot;-&quot;??_);_(@_)"/>
    <numFmt numFmtId="165" formatCode="_-* #,##0.00\ _€_-;\-* #,##0.00\ _€_-;_-* &quot;-&quot;??\ _€_-;_-@_-"/>
    <numFmt numFmtId="166" formatCode="_(* #,##0.00_);_(* \(#,##0.00\);_(* &quot;-&quot;??_);_(@_)"/>
    <numFmt numFmtId="167" formatCode="0.0000%"/>
    <numFmt numFmtId="169" formatCode="d/mm/yy;@"/>
    <numFmt numFmtId="170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9"/>
      <color theme="1"/>
      <name val="Georgia"/>
      <family val="1"/>
    </font>
    <font>
      <b/>
      <sz val="9"/>
      <color theme="1"/>
      <name val="Georgia"/>
      <family val="1"/>
    </font>
    <font>
      <sz val="9"/>
      <color theme="1"/>
      <name val="Georgia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3" applyFont="1" applyAlignment="1">
      <alignment wrapText="1"/>
    </xf>
    <xf numFmtId="0" fontId="4" fillId="0" borderId="1" xfId="3" applyFont="1" applyBorder="1"/>
    <xf numFmtId="0" fontId="4" fillId="0" borderId="1" xfId="3" applyFont="1" applyBorder="1" applyAlignment="1">
      <alignment horizontal="right"/>
    </xf>
    <xf numFmtId="0" fontId="5" fillId="0" borderId="0" xfId="3" applyFont="1" applyAlignment="1">
      <alignment horizontal="right"/>
    </xf>
    <xf numFmtId="0" fontId="5" fillId="0" borderId="0" xfId="3" applyFont="1" applyAlignment="1">
      <alignment horizontal="right" wrapText="1"/>
    </xf>
    <xf numFmtId="0" fontId="5" fillId="0" borderId="0" xfId="3" applyFont="1" applyAlignment="1">
      <alignment vertical="center" wrapText="1"/>
    </xf>
    <xf numFmtId="164" fontId="5" fillId="0" borderId="0" xfId="4" applyNumberFormat="1" applyFont="1" applyFill="1" applyAlignment="1">
      <alignment vertical="center"/>
    </xf>
    <xf numFmtId="164" fontId="4" fillId="0" borderId="0" xfId="3" applyNumberFormat="1" applyFont="1" applyAlignment="1">
      <alignment vertical="center"/>
    </xf>
    <xf numFmtId="0" fontId="0" fillId="0" borderId="0" xfId="0" applyAlignment="1">
      <alignment vertical="center"/>
    </xf>
    <xf numFmtId="164" fontId="5" fillId="0" borderId="0" xfId="4" applyNumberFormat="1" applyFont="1" applyFill="1"/>
    <xf numFmtId="164" fontId="5" fillId="0" borderId="0" xfId="3" applyNumberFormat="1" applyFont="1"/>
    <xf numFmtId="0" fontId="5" fillId="0" borderId="0" xfId="3" applyFont="1" applyAlignment="1">
      <alignment wrapText="1"/>
    </xf>
    <xf numFmtId="164" fontId="4" fillId="0" borderId="0" xfId="3" applyNumberFormat="1" applyFont="1"/>
    <xf numFmtId="0" fontId="2" fillId="0" borderId="1" xfId="0" applyFont="1" applyBorder="1"/>
    <xf numFmtId="164" fontId="4" fillId="0" borderId="1" xfId="4" applyNumberFormat="1" applyFont="1" applyFill="1" applyBorder="1" applyAlignment="1">
      <alignment horizontal="center"/>
    </xf>
    <xf numFmtId="164" fontId="4" fillId="0" borderId="0" xfId="4" applyNumberFormat="1" applyFont="1" applyFill="1" applyBorder="1" applyAlignment="1">
      <alignment horizontal="center"/>
    </xf>
    <xf numFmtId="165" fontId="0" fillId="0" borderId="0" xfId="0" applyNumberFormat="1"/>
    <xf numFmtId="43" fontId="0" fillId="0" borderId="0" xfId="1" applyFont="1"/>
    <xf numFmtId="9" fontId="0" fillId="0" borderId="0" xfId="0" applyNumberFormat="1"/>
    <xf numFmtId="9" fontId="0" fillId="0" borderId="0" xfId="2" applyFont="1"/>
    <xf numFmtId="165" fontId="2" fillId="0" borderId="0" xfId="0" applyNumberFormat="1" applyFont="1"/>
    <xf numFmtId="0" fontId="2" fillId="0" borderId="0" xfId="0" applyFont="1"/>
    <xf numFmtId="0" fontId="6" fillId="0" borderId="0" xfId="0" applyFont="1"/>
    <xf numFmtId="14" fontId="6" fillId="0" borderId="0" xfId="0" applyNumberFormat="1" applyFont="1"/>
    <xf numFmtId="9" fontId="6" fillId="0" borderId="0" xfId="0" applyNumberFormat="1" applyFont="1"/>
    <xf numFmtId="17" fontId="2" fillId="0" borderId="0" xfId="0" applyNumberFormat="1" applyFont="1"/>
    <xf numFmtId="166" fontId="0" fillId="0" borderId="0" xfId="0" applyNumberFormat="1"/>
    <xf numFmtId="0" fontId="7" fillId="0" borderId="0" xfId="0" applyFont="1"/>
    <xf numFmtId="164" fontId="4" fillId="2" borderId="1" xfId="4" applyNumberFormat="1" applyFont="1" applyFill="1" applyBorder="1" applyAlignment="1">
      <alignment horizontal="center"/>
    </xf>
    <xf numFmtId="43" fontId="0" fillId="2" borderId="0" xfId="1" applyFont="1" applyFill="1"/>
    <xf numFmtId="165" fontId="0" fillId="2" borderId="0" xfId="0" applyNumberFormat="1" applyFill="1"/>
    <xf numFmtId="0" fontId="2" fillId="2" borderId="0" xfId="0" applyFont="1" applyFill="1"/>
    <xf numFmtId="43" fontId="7" fillId="0" borderId="0" xfId="1" applyFont="1"/>
    <xf numFmtId="167" fontId="6" fillId="0" borderId="0" xfId="0" applyNumberFormat="1" applyFont="1"/>
    <xf numFmtId="169" fontId="0" fillId="0" borderId="0" xfId="0" applyNumberFormat="1"/>
    <xf numFmtId="170" fontId="0" fillId="0" borderId="0" xfId="0" applyNumberFormat="1"/>
    <xf numFmtId="167" fontId="0" fillId="0" borderId="0" xfId="2" applyNumberFormat="1" applyFont="1"/>
    <xf numFmtId="170" fontId="0" fillId="0" borderId="2" xfId="0" applyNumberFormat="1" applyBorder="1"/>
    <xf numFmtId="170" fontId="0" fillId="0" borderId="0" xfId="0" applyNumberFormat="1" applyBorder="1"/>
    <xf numFmtId="170" fontId="0" fillId="0" borderId="3" xfId="0" applyNumberFormat="1" applyBorder="1"/>
    <xf numFmtId="167" fontId="0" fillId="0" borderId="0" xfId="0" applyNumberFormat="1"/>
    <xf numFmtId="170" fontId="0" fillId="3" borderId="0" xfId="0" applyNumberFormat="1" applyFill="1"/>
    <xf numFmtId="44" fontId="0" fillId="4" borderId="0" xfId="5" applyFont="1" applyFill="1"/>
    <xf numFmtId="0" fontId="0" fillId="0" borderId="3" xfId="0" applyBorder="1"/>
  </cellXfs>
  <cellStyles count="6">
    <cellStyle name="Comma 4 2 2" xfId="4" xr:uid="{D316B6F7-7C18-4D97-959E-107E8044E8C3}"/>
    <cellStyle name="Komma" xfId="1" builtinId="3"/>
    <cellStyle name="Normal 4 4" xfId="3" xr:uid="{61BDDE9D-E1DA-40C4-B247-F3F2C5321F47}"/>
    <cellStyle name="Procent" xfId="2" builtinId="5"/>
    <cellStyle name="Standaard" xfId="0" builtinId="0"/>
    <cellStyle name="Valuta" xfId="5" builtinId="4"/>
  </cellStyles>
  <dxfs count="10">
    <dxf>
      <border diagonalUp="0" diagonalDown="0" outline="0">
        <left style="thick">
          <color rgb="FFFF0000"/>
        </left>
        <right/>
        <top/>
        <bottom/>
      </border>
    </dxf>
    <dxf>
      <border diagonalUp="0" diagonalDown="0" outline="0">
        <left/>
        <right style="thick">
          <color rgb="FFFF0000"/>
        </right>
        <top/>
        <bottom/>
      </border>
    </dxf>
    <dxf>
      <numFmt numFmtId="0" formatCode="General"/>
    </dxf>
    <dxf>
      <numFmt numFmtId="170" formatCode="#,##0.00\ &quot;€&quot;"/>
    </dxf>
    <dxf>
      <numFmt numFmtId="170" formatCode="#,##0.00\ &quot;€&quot;"/>
      <border diagonalUp="0" diagonalDown="0">
        <left style="thick">
          <color rgb="FFFF0000"/>
        </left>
        <right/>
        <top/>
        <bottom/>
        <vertical/>
        <horizontal/>
      </border>
    </dxf>
    <dxf>
      <numFmt numFmtId="170" formatCode="#,##0.00\ &quot;€&quot;"/>
      <border diagonalUp="0" diagonalDown="0">
        <left/>
        <right style="thick">
          <color rgb="FFFF0000"/>
        </right>
        <top/>
        <bottom/>
        <vertical/>
        <horizontal/>
      </border>
    </dxf>
    <dxf>
      <numFmt numFmtId="0" formatCode="General"/>
    </dxf>
    <dxf>
      <numFmt numFmtId="170" formatCode="#,##0.00\ &quot;€&quot;"/>
    </dxf>
    <dxf>
      <numFmt numFmtId="170" formatCode="#,##0.00\ &quot;€&quot;"/>
    </dxf>
    <dxf>
      <numFmt numFmtId="169" formatCode="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221872650111931E-2"/>
          <c:y val="1.3536709020429747E-2"/>
          <c:w val="0.8744250931311961"/>
          <c:h val="0.91571591443860645"/>
        </c:manualLayout>
      </c:layout>
      <c:scatterChart>
        <c:scatterStyle val="lineMarker"/>
        <c:varyColors val="0"/>
        <c:ser>
          <c:idx val="0"/>
          <c:order val="0"/>
          <c:tx>
            <c:strRef>
              <c:f>Blad1!$E$1</c:f>
              <c:strCache>
                <c:ptCount val="1"/>
                <c:pt idx="0">
                  <c:v>remaining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Blad1!$B$2:$B$74</c:f>
              <c:numCache>
                <c:formatCode>d/mm/yy;@</c:formatCode>
                <c:ptCount val="73"/>
                <c:pt idx="0">
                  <c:v>43739</c:v>
                </c:pt>
                <c:pt idx="1">
                  <c:v>43770</c:v>
                </c:pt>
                <c:pt idx="2">
                  <c:v>43800</c:v>
                </c:pt>
                <c:pt idx="3">
                  <c:v>43831</c:v>
                </c:pt>
                <c:pt idx="4">
                  <c:v>43862</c:v>
                </c:pt>
                <c:pt idx="5">
                  <c:v>43891</c:v>
                </c:pt>
                <c:pt idx="6">
                  <c:v>43922</c:v>
                </c:pt>
                <c:pt idx="7">
                  <c:v>43952</c:v>
                </c:pt>
                <c:pt idx="8">
                  <c:v>43983</c:v>
                </c:pt>
                <c:pt idx="9">
                  <c:v>44013</c:v>
                </c:pt>
                <c:pt idx="10">
                  <c:v>44044</c:v>
                </c:pt>
                <c:pt idx="11">
                  <c:v>44075</c:v>
                </c:pt>
                <c:pt idx="12">
                  <c:v>44105</c:v>
                </c:pt>
                <c:pt idx="13">
                  <c:v>44136</c:v>
                </c:pt>
                <c:pt idx="14">
                  <c:v>44166</c:v>
                </c:pt>
                <c:pt idx="15">
                  <c:v>44197</c:v>
                </c:pt>
                <c:pt idx="16">
                  <c:v>44228</c:v>
                </c:pt>
                <c:pt idx="17">
                  <c:v>44256</c:v>
                </c:pt>
                <c:pt idx="18">
                  <c:v>44287</c:v>
                </c:pt>
                <c:pt idx="19">
                  <c:v>44317</c:v>
                </c:pt>
                <c:pt idx="20">
                  <c:v>44348</c:v>
                </c:pt>
                <c:pt idx="21">
                  <c:v>44378</c:v>
                </c:pt>
                <c:pt idx="22">
                  <c:v>44409</c:v>
                </c:pt>
                <c:pt idx="23">
                  <c:v>44440</c:v>
                </c:pt>
                <c:pt idx="24">
                  <c:v>44470</c:v>
                </c:pt>
                <c:pt idx="25">
                  <c:v>44501</c:v>
                </c:pt>
                <c:pt idx="26">
                  <c:v>44531</c:v>
                </c:pt>
                <c:pt idx="27">
                  <c:v>44562</c:v>
                </c:pt>
                <c:pt idx="28">
                  <c:v>44593</c:v>
                </c:pt>
                <c:pt idx="29">
                  <c:v>44621</c:v>
                </c:pt>
                <c:pt idx="30">
                  <c:v>44652</c:v>
                </c:pt>
                <c:pt idx="31">
                  <c:v>44682</c:v>
                </c:pt>
                <c:pt idx="32">
                  <c:v>44713</c:v>
                </c:pt>
                <c:pt idx="33">
                  <c:v>44743</c:v>
                </c:pt>
                <c:pt idx="34">
                  <c:v>44774</c:v>
                </c:pt>
                <c:pt idx="35">
                  <c:v>44805</c:v>
                </c:pt>
                <c:pt idx="36">
                  <c:v>44835</c:v>
                </c:pt>
                <c:pt idx="37">
                  <c:v>44866</c:v>
                </c:pt>
                <c:pt idx="38">
                  <c:v>44896</c:v>
                </c:pt>
                <c:pt idx="39">
                  <c:v>44927</c:v>
                </c:pt>
                <c:pt idx="40">
                  <c:v>44958</c:v>
                </c:pt>
                <c:pt idx="41">
                  <c:v>44986</c:v>
                </c:pt>
                <c:pt idx="42">
                  <c:v>45017</c:v>
                </c:pt>
                <c:pt idx="43">
                  <c:v>45047</c:v>
                </c:pt>
                <c:pt idx="44">
                  <c:v>45078</c:v>
                </c:pt>
                <c:pt idx="45">
                  <c:v>45108</c:v>
                </c:pt>
                <c:pt idx="46">
                  <c:v>45139</c:v>
                </c:pt>
                <c:pt idx="47">
                  <c:v>45170</c:v>
                </c:pt>
                <c:pt idx="48">
                  <c:v>45200</c:v>
                </c:pt>
                <c:pt idx="49">
                  <c:v>45231</c:v>
                </c:pt>
                <c:pt idx="50">
                  <c:v>45261</c:v>
                </c:pt>
                <c:pt idx="51">
                  <c:v>45292</c:v>
                </c:pt>
                <c:pt idx="52">
                  <c:v>45323</c:v>
                </c:pt>
                <c:pt idx="53">
                  <c:v>45352</c:v>
                </c:pt>
                <c:pt idx="54">
                  <c:v>45383</c:v>
                </c:pt>
                <c:pt idx="55">
                  <c:v>45413</c:v>
                </c:pt>
                <c:pt idx="56">
                  <c:v>45444</c:v>
                </c:pt>
                <c:pt idx="57">
                  <c:v>45474</c:v>
                </c:pt>
                <c:pt idx="58">
                  <c:v>45505</c:v>
                </c:pt>
                <c:pt idx="59">
                  <c:v>45536</c:v>
                </c:pt>
                <c:pt idx="60">
                  <c:v>45566</c:v>
                </c:pt>
                <c:pt idx="61">
                  <c:v>45597</c:v>
                </c:pt>
                <c:pt idx="62">
                  <c:v>45627</c:v>
                </c:pt>
                <c:pt idx="63">
                  <c:v>45658</c:v>
                </c:pt>
                <c:pt idx="64">
                  <c:v>45689</c:v>
                </c:pt>
                <c:pt idx="65">
                  <c:v>45717</c:v>
                </c:pt>
                <c:pt idx="66">
                  <c:v>45748</c:v>
                </c:pt>
                <c:pt idx="67">
                  <c:v>45778</c:v>
                </c:pt>
                <c:pt idx="68">
                  <c:v>45809</c:v>
                </c:pt>
                <c:pt idx="69">
                  <c:v>45839</c:v>
                </c:pt>
                <c:pt idx="70">
                  <c:v>45870</c:v>
                </c:pt>
                <c:pt idx="71">
                  <c:v>45901</c:v>
                </c:pt>
                <c:pt idx="72">
                  <c:v>45931</c:v>
                </c:pt>
              </c:numCache>
            </c:numRef>
          </c:xVal>
          <c:yVal>
            <c:numRef>
              <c:f>Blad1!$E$2:$E$74</c:f>
              <c:numCache>
                <c:formatCode>#\ ##0.00\ "€"</c:formatCode>
                <c:ptCount val="73"/>
                <c:pt idx="0">
                  <c:v>21000</c:v>
                </c:pt>
                <c:pt idx="1">
                  <c:v>21000</c:v>
                </c:pt>
                <c:pt idx="2">
                  <c:v>19987.141278785406</c:v>
                </c:pt>
                <c:pt idx="3">
                  <c:v>19746.810125878354</c:v>
                </c:pt>
                <c:pt idx="4">
                  <c:v>19505.309148932098</c:v>
                </c:pt>
                <c:pt idx="5">
                  <c:v>19262.632653768975</c:v>
                </c:pt>
                <c:pt idx="6">
                  <c:v>19018.774918494626</c:v>
                </c:pt>
                <c:pt idx="7">
                  <c:v>18773.730193363081</c:v>
                </c:pt>
                <c:pt idx="8">
                  <c:v>18527.492700641185</c:v>
                </c:pt>
                <c:pt idx="9">
                  <c:v>18280.056634472385</c:v>
                </c:pt>
                <c:pt idx="10">
                  <c:v>18031.416160739816</c:v>
                </c:pt>
                <c:pt idx="11">
                  <c:v>17781.565416928763</c:v>
                </c:pt>
                <c:pt idx="12">
                  <c:v>17530.498511988422</c:v>
                </c:pt>
                <c:pt idx="13">
                  <c:v>17278.209526193001</c:v>
                </c:pt>
                <c:pt idx="14">
                  <c:v>17024.69251100214</c:v>
                </c:pt>
                <c:pt idx="15">
                  <c:v>16769.941488920664</c:v>
                </c:pt>
                <c:pt idx="16">
                  <c:v>16513.950453357633</c:v>
                </c:pt>
                <c:pt idx="17">
                  <c:v>16256.713368484725</c:v>
                </c:pt>
                <c:pt idx="18">
                  <c:v>15998.224169093915</c:v>
                </c:pt>
                <c:pt idx="19">
                  <c:v>15738.476760454476</c:v>
                </c:pt>
                <c:pt idx="20">
                  <c:v>15477.465018169267</c:v>
                </c:pt>
                <c:pt idx="21">
                  <c:v>15215.182788030337</c:v>
                </c:pt>
                <c:pt idx="22">
                  <c:v>14951.623885873816</c:v>
                </c:pt>
                <c:pt idx="23">
                  <c:v>14686.782097434101</c:v>
                </c:pt>
                <c:pt idx="24">
                  <c:v>14420.65117819734</c:v>
                </c:pt>
                <c:pt idx="25">
                  <c:v>14153.224853254193</c:v>
                </c:pt>
                <c:pt idx="26">
                  <c:v>13884.496817151881</c:v>
                </c:pt>
                <c:pt idx="27">
                  <c:v>13614.460733745516</c:v>
                </c:pt>
                <c:pt idx="28">
                  <c:v>13343.110236048704</c:v>
                </c:pt>
                <c:pt idx="29">
                  <c:v>13070.438926083421</c:v>
                </c:pt>
                <c:pt idx="30">
                  <c:v>12796.440374729164</c:v>
                </c:pt>
                <c:pt idx="31">
                  <c:v>12521.108121571358</c:v>
                </c:pt>
                <c:pt idx="32">
                  <c:v>12244.435674749038</c:v>
                </c:pt>
                <c:pt idx="33">
                  <c:v>11966.416510801773</c:v>
                </c:pt>
                <c:pt idx="34">
                  <c:v>11687.044074515859</c:v>
                </c:pt>
                <c:pt idx="35">
                  <c:v>11406.311778769761</c:v>
                </c:pt>
                <c:pt idx="36">
                  <c:v>11124.213004378795</c:v>
                </c:pt>
                <c:pt idx="37">
                  <c:v>10840.741099939058</c:v>
                </c:pt>
                <c:pt idx="38">
                  <c:v>10555.889381670608</c:v>
                </c:pt>
                <c:pt idx="39">
                  <c:v>10269.65113325986</c:v>
                </c:pt>
                <c:pt idx="40">
                  <c:v>9982.0196057012381</c:v>
                </c:pt>
                <c:pt idx="41">
                  <c:v>9692.9880171380373</c:v>
                </c:pt>
                <c:pt idx="42">
                  <c:v>9402.549552702525</c:v>
                </c:pt>
                <c:pt idx="43">
                  <c:v>9110.6973643552519</c:v>
                </c:pt>
                <c:pt idx="44">
                  <c:v>8817.4245707235914</c:v>
                </c:pt>
                <c:pt idx="45">
                  <c:v>8522.7242569394894</c:v>
                </c:pt>
                <c:pt idx="46">
                  <c:v>8226.5894744764209</c:v>
                </c:pt>
                <c:pt idx="47">
                  <c:v>7929.013240985556</c:v>
                </c:pt>
                <c:pt idx="48">
                  <c:v>7629.9885401311303</c:v>
                </c:pt>
                <c:pt idx="49">
                  <c:v>7329.5083214250089</c:v>
                </c:pt>
                <c:pt idx="50">
                  <c:v>7027.5655000604502</c:v>
                </c:pt>
                <c:pt idx="51">
                  <c:v>6724.1529567450571</c:v>
                </c:pt>
                <c:pt idx="52">
                  <c:v>6419.2635375329173</c:v>
                </c:pt>
                <c:pt idx="53">
                  <c:v>6112.890053655924</c:v>
                </c:pt>
                <c:pt idx="54">
                  <c:v>5805.0252813542793</c:v>
                </c:pt>
                <c:pt idx="55">
                  <c:v>5495.6619617061679</c:v>
                </c:pt>
                <c:pt idx="56">
                  <c:v>5184.7928004566074</c:v>
                </c:pt>
                <c:pt idx="57">
                  <c:v>4872.4104678454587</c:v>
                </c:pt>
                <c:pt idx="58">
                  <c:v>4558.5075984346058</c:v>
                </c:pt>
                <c:pt idx="59">
                  <c:v>4243.0767909342894</c:v>
                </c:pt>
                <c:pt idx="60">
                  <c:v>3926.1106080285986</c:v>
                </c:pt>
                <c:pt idx="61">
                  <c:v>3607.6015762001102</c:v>
                </c:pt>
                <c:pt idx="62">
                  <c:v>3287.5421855536783</c:v>
                </c:pt>
                <c:pt idx="63">
                  <c:v>2965.9248896393619</c:v>
                </c:pt>
                <c:pt idx="64">
                  <c:v>2642.742105274494</c:v>
                </c:pt>
                <c:pt idx="65">
                  <c:v>2317.9862123648813</c:v>
                </c:pt>
                <c:pt idx="66">
                  <c:v>1991.649553725138</c:v>
                </c:pt>
                <c:pt idx="67">
                  <c:v>1663.7244348981405</c:v>
                </c:pt>
                <c:pt idx="68">
                  <c:v>1334.2031239736066</c:v>
                </c:pt>
                <c:pt idx="69">
                  <c:v>1003.0778514057893</c:v>
                </c:pt>
                <c:pt idx="70">
                  <c:v>670.34080983028514</c:v>
                </c:pt>
                <c:pt idx="71">
                  <c:v>335.98415387994964</c:v>
                </c:pt>
                <c:pt idx="72">
                  <c:v>-8.3103302017661917E-11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B0-4421-9349-4A34920434ED}"/>
            </c:ext>
          </c:extLst>
        </c:ser>
        <c:ser>
          <c:idx val="1"/>
          <c:order val="1"/>
          <c:tx>
            <c:strRef>
              <c:f>Blad1!$H$1</c:f>
              <c:strCache>
                <c:ptCount val="1"/>
                <c:pt idx="0">
                  <c:v>remaining2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Blad1!$B$2:$B$74</c:f>
              <c:numCache>
                <c:formatCode>d/mm/yy;@</c:formatCode>
                <c:ptCount val="73"/>
                <c:pt idx="0">
                  <c:v>43739</c:v>
                </c:pt>
                <c:pt idx="1">
                  <c:v>43770</c:v>
                </c:pt>
                <c:pt idx="2">
                  <c:v>43800</c:v>
                </c:pt>
                <c:pt idx="3">
                  <c:v>43831</c:v>
                </c:pt>
                <c:pt idx="4">
                  <c:v>43862</c:v>
                </c:pt>
                <c:pt idx="5">
                  <c:v>43891</c:v>
                </c:pt>
                <c:pt idx="6">
                  <c:v>43922</c:v>
                </c:pt>
                <c:pt idx="7">
                  <c:v>43952</c:v>
                </c:pt>
                <c:pt idx="8">
                  <c:v>43983</c:v>
                </c:pt>
                <c:pt idx="9">
                  <c:v>44013</c:v>
                </c:pt>
                <c:pt idx="10">
                  <c:v>44044</c:v>
                </c:pt>
                <c:pt idx="11">
                  <c:v>44075</c:v>
                </c:pt>
                <c:pt idx="12">
                  <c:v>44105</c:v>
                </c:pt>
                <c:pt idx="13">
                  <c:v>44136</c:v>
                </c:pt>
                <c:pt idx="14">
                  <c:v>44166</c:v>
                </c:pt>
                <c:pt idx="15">
                  <c:v>44197</c:v>
                </c:pt>
                <c:pt idx="16">
                  <c:v>44228</c:v>
                </c:pt>
                <c:pt idx="17">
                  <c:v>44256</c:v>
                </c:pt>
                <c:pt idx="18">
                  <c:v>44287</c:v>
                </c:pt>
                <c:pt idx="19">
                  <c:v>44317</c:v>
                </c:pt>
                <c:pt idx="20">
                  <c:v>44348</c:v>
                </c:pt>
                <c:pt idx="21">
                  <c:v>44378</c:v>
                </c:pt>
                <c:pt idx="22">
                  <c:v>44409</c:v>
                </c:pt>
                <c:pt idx="23">
                  <c:v>44440</c:v>
                </c:pt>
                <c:pt idx="24">
                  <c:v>44470</c:v>
                </c:pt>
                <c:pt idx="25">
                  <c:v>44501</c:v>
                </c:pt>
                <c:pt idx="26">
                  <c:v>44531</c:v>
                </c:pt>
                <c:pt idx="27">
                  <c:v>44562</c:v>
                </c:pt>
                <c:pt idx="28">
                  <c:v>44593</c:v>
                </c:pt>
                <c:pt idx="29">
                  <c:v>44621</c:v>
                </c:pt>
                <c:pt idx="30">
                  <c:v>44652</c:v>
                </c:pt>
                <c:pt idx="31">
                  <c:v>44682</c:v>
                </c:pt>
                <c:pt idx="32">
                  <c:v>44713</c:v>
                </c:pt>
                <c:pt idx="33">
                  <c:v>44743</c:v>
                </c:pt>
                <c:pt idx="34">
                  <c:v>44774</c:v>
                </c:pt>
                <c:pt idx="35">
                  <c:v>44805</c:v>
                </c:pt>
                <c:pt idx="36">
                  <c:v>44835</c:v>
                </c:pt>
                <c:pt idx="37">
                  <c:v>44866</c:v>
                </c:pt>
                <c:pt idx="38">
                  <c:v>44896</c:v>
                </c:pt>
                <c:pt idx="39">
                  <c:v>44927</c:v>
                </c:pt>
                <c:pt idx="40">
                  <c:v>44958</c:v>
                </c:pt>
                <c:pt idx="41">
                  <c:v>44986</c:v>
                </c:pt>
                <c:pt idx="42">
                  <c:v>45017</c:v>
                </c:pt>
                <c:pt idx="43">
                  <c:v>45047</c:v>
                </c:pt>
                <c:pt idx="44">
                  <c:v>45078</c:v>
                </c:pt>
                <c:pt idx="45">
                  <c:v>45108</c:v>
                </c:pt>
                <c:pt idx="46">
                  <c:v>45139</c:v>
                </c:pt>
                <c:pt idx="47">
                  <c:v>45170</c:v>
                </c:pt>
                <c:pt idx="48">
                  <c:v>45200</c:v>
                </c:pt>
                <c:pt idx="49">
                  <c:v>45231</c:v>
                </c:pt>
                <c:pt idx="50">
                  <c:v>45261</c:v>
                </c:pt>
                <c:pt idx="51">
                  <c:v>45292</c:v>
                </c:pt>
                <c:pt idx="52">
                  <c:v>45323</c:v>
                </c:pt>
                <c:pt idx="53">
                  <c:v>45352</c:v>
                </c:pt>
                <c:pt idx="54">
                  <c:v>45383</c:v>
                </c:pt>
                <c:pt idx="55">
                  <c:v>45413</c:v>
                </c:pt>
                <c:pt idx="56">
                  <c:v>45444</c:v>
                </c:pt>
                <c:pt idx="57">
                  <c:v>45474</c:v>
                </c:pt>
                <c:pt idx="58">
                  <c:v>45505</c:v>
                </c:pt>
                <c:pt idx="59">
                  <c:v>45536</c:v>
                </c:pt>
                <c:pt idx="60">
                  <c:v>45566</c:v>
                </c:pt>
                <c:pt idx="61">
                  <c:v>45597</c:v>
                </c:pt>
                <c:pt idx="62">
                  <c:v>45627</c:v>
                </c:pt>
                <c:pt idx="63">
                  <c:v>45658</c:v>
                </c:pt>
                <c:pt idx="64">
                  <c:v>45689</c:v>
                </c:pt>
                <c:pt idx="65">
                  <c:v>45717</c:v>
                </c:pt>
                <c:pt idx="66">
                  <c:v>45748</c:v>
                </c:pt>
                <c:pt idx="67">
                  <c:v>45778</c:v>
                </c:pt>
                <c:pt idx="68">
                  <c:v>45809</c:v>
                </c:pt>
                <c:pt idx="69">
                  <c:v>45839</c:v>
                </c:pt>
                <c:pt idx="70">
                  <c:v>45870</c:v>
                </c:pt>
                <c:pt idx="71">
                  <c:v>45901</c:v>
                </c:pt>
                <c:pt idx="72">
                  <c:v>45931</c:v>
                </c:pt>
              </c:numCache>
            </c:numRef>
          </c:xVal>
          <c:yVal>
            <c:numRef>
              <c:f>Blad1!$H$2:$H$74</c:f>
              <c:numCache>
                <c:formatCode>#\ ##0.00\ "€"</c:formatCode>
                <c:ptCount val="73"/>
                <c:pt idx="0">
                  <c:v>21000</c:v>
                </c:pt>
                <c:pt idx="1">
                  <c:v>21000</c:v>
                </c:pt>
                <c:pt idx="2">
                  <c:v>19961.51181342276</c:v>
                </c:pt>
                <c:pt idx="3">
                  <c:v>19961.51181342276</c:v>
                </c:pt>
                <c:pt idx="4">
                  <c:v>19961.51181342276</c:v>
                </c:pt>
                <c:pt idx="5">
                  <c:v>19961.51181342276</c:v>
                </c:pt>
                <c:pt idx="6">
                  <c:v>19961.51181342276</c:v>
                </c:pt>
                <c:pt idx="7">
                  <c:v>19961.51181342276</c:v>
                </c:pt>
                <c:pt idx="8">
                  <c:v>19961.51181342276</c:v>
                </c:pt>
                <c:pt idx="9">
                  <c:v>19961.51181342276</c:v>
                </c:pt>
                <c:pt idx="10">
                  <c:v>19961.51181342276</c:v>
                </c:pt>
                <c:pt idx="11">
                  <c:v>19961.51181342276</c:v>
                </c:pt>
                <c:pt idx="12">
                  <c:v>19961.51181342276</c:v>
                </c:pt>
                <c:pt idx="13">
                  <c:v>19961.51181342276</c:v>
                </c:pt>
                <c:pt idx="14">
                  <c:v>17005.249775919165</c:v>
                </c:pt>
                <c:pt idx="15">
                  <c:v>17005.249775919165</c:v>
                </c:pt>
                <c:pt idx="16">
                  <c:v>17005.249775919165</c:v>
                </c:pt>
                <c:pt idx="17">
                  <c:v>17005.249775919165</c:v>
                </c:pt>
                <c:pt idx="18">
                  <c:v>17005.249775919165</c:v>
                </c:pt>
                <c:pt idx="19">
                  <c:v>17005.249775919165</c:v>
                </c:pt>
                <c:pt idx="20">
                  <c:v>17005.249775919165</c:v>
                </c:pt>
                <c:pt idx="21">
                  <c:v>17005.249775919165</c:v>
                </c:pt>
                <c:pt idx="22">
                  <c:v>17005.249775919165</c:v>
                </c:pt>
                <c:pt idx="23">
                  <c:v>17005.249775919165</c:v>
                </c:pt>
                <c:pt idx="24">
                  <c:v>17005.249775919165</c:v>
                </c:pt>
                <c:pt idx="25">
                  <c:v>17005.249775919165</c:v>
                </c:pt>
                <c:pt idx="26">
                  <c:v>13871.612016165354</c:v>
                </c:pt>
                <c:pt idx="27">
                  <c:v>13871.612016165354</c:v>
                </c:pt>
                <c:pt idx="28">
                  <c:v>13871.612016165354</c:v>
                </c:pt>
                <c:pt idx="29">
                  <c:v>13871.612016165354</c:v>
                </c:pt>
                <c:pt idx="30">
                  <c:v>13871.612016165354</c:v>
                </c:pt>
                <c:pt idx="31">
                  <c:v>13871.612016165354</c:v>
                </c:pt>
                <c:pt idx="32">
                  <c:v>13871.612016165354</c:v>
                </c:pt>
                <c:pt idx="33">
                  <c:v>13871.612016165354</c:v>
                </c:pt>
                <c:pt idx="34">
                  <c:v>13871.612016165354</c:v>
                </c:pt>
                <c:pt idx="35">
                  <c:v>13871.612016165354</c:v>
                </c:pt>
                <c:pt idx="36">
                  <c:v>13871.612016165354</c:v>
                </c:pt>
                <c:pt idx="37">
                  <c:v>13871.612016165354</c:v>
                </c:pt>
                <c:pt idx="38">
                  <c:v>10549.955990826316</c:v>
                </c:pt>
                <c:pt idx="39">
                  <c:v>10549.955990826316</c:v>
                </c:pt>
                <c:pt idx="40">
                  <c:v>10549.955990826316</c:v>
                </c:pt>
                <c:pt idx="41">
                  <c:v>10549.955990826316</c:v>
                </c:pt>
                <c:pt idx="42">
                  <c:v>10549.955990826316</c:v>
                </c:pt>
                <c:pt idx="43">
                  <c:v>10549.955990826316</c:v>
                </c:pt>
                <c:pt idx="44">
                  <c:v>10549.955990826316</c:v>
                </c:pt>
                <c:pt idx="45">
                  <c:v>10549.955990826316</c:v>
                </c:pt>
                <c:pt idx="46">
                  <c:v>10549.955990826316</c:v>
                </c:pt>
                <c:pt idx="47">
                  <c:v>10549.955990826316</c:v>
                </c:pt>
                <c:pt idx="48">
                  <c:v>10549.955990826316</c:v>
                </c:pt>
                <c:pt idx="49">
                  <c:v>10549.955990826316</c:v>
                </c:pt>
                <c:pt idx="50">
                  <c:v>7029.0006039669352</c:v>
                </c:pt>
                <c:pt idx="51">
                  <c:v>7029.0006039669352</c:v>
                </c:pt>
                <c:pt idx="52">
                  <c:v>7029.0006039669352</c:v>
                </c:pt>
                <c:pt idx="53">
                  <c:v>7029.0006039669352</c:v>
                </c:pt>
                <c:pt idx="54">
                  <c:v>7029.0006039669352</c:v>
                </c:pt>
                <c:pt idx="55">
                  <c:v>7029.0006039669352</c:v>
                </c:pt>
                <c:pt idx="56">
                  <c:v>7029.0006039669352</c:v>
                </c:pt>
                <c:pt idx="57">
                  <c:v>7029.0006039669352</c:v>
                </c:pt>
                <c:pt idx="58">
                  <c:v>7029.0006039669352</c:v>
                </c:pt>
                <c:pt idx="59">
                  <c:v>7029.0006039669352</c:v>
                </c:pt>
                <c:pt idx="60">
                  <c:v>7029.0006039669352</c:v>
                </c:pt>
                <c:pt idx="61">
                  <c:v>7029.0006039669352</c:v>
                </c:pt>
                <c:pt idx="62">
                  <c:v>3296.7878938959916</c:v>
                </c:pt>
                <c:pt idx="63">
                  <c:v>3296.7878938959916</c:v>
                </c:pt>
                <c:pt idx="64">
                  <c:v>3296.7878938959916</c:v>
                </c:pt>
                <c:pt idx="65">
                  <c:v>3296.7878938959916</c:v>
                </c:pt>
                <c:pt idx="66">
                  <c:v>3296.7878938959916</c:v>
                </c:pt>
                <c:pt idx="67">
                  <c:v>3296.7878938959916</c:v>
                </c:pt>
                <c:pt idx="68">
                  <c:v>3296.7878938959916</c:v>
                </c:pt>
                <c:pt idx="69">
                  <c:v>3296.7878938959916</c:v>
                </c:pt>
                <c:pt idx="70">
                  <c:v>3296.7878938959916</c:v>
                </c:pt>
                <c:pt idx="71">
                  <c:v>3296.7878938959916</c:v>
                </c:pt>
                <c:pt idx="72">
                  <c:v>-8.1854523159563541E-12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FB0-4421-9349-4A34920434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6900384"/>
        <c:axId val="516901696"/>
      </c:scatterChart>
      <c:valAx>
        <c:axId val="516900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/mm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16901696"/>
        <c:crosses val="autoZero"/>
        <c:crossBetween val="midCat"/>
      </c:valAx>
      <c:valAx>
        <c:axId val="51690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16900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6</xdr:row>
      <xdr:rowOff>9524</xdr:rowOff>
    </xdr:from>
    <xdr:to>
      <xdr:col>24</xdr:col>
      <xdr:colOff>438150</xdr:colOff>
      <xdr:row>33</xdr:row>
      <xdr:rowOff>19049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4868B69-A91B-A33E-42EC-A57EC88846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/AppData/Local/AuraOffline/fa/Download/051cf5b4-12b7-ec11-a82b-0022489b319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brary Procedures"/>
      <sheetName val="AwD"/>
      <sheetName val="Contrat resume"/>
      <sheetName val="Assesment IFRS 16"/>
      <sheetName val="Disposal TAC"/>
      <sheetName val="Taux BCM"/>
      <sheetName val="Disposals"/>
    </sheetNames>
    <sheetDataSet>
      <sheetData sheetId="0"/>
      <sheetData sheetId="1"/>
      <sheetData sheetId="2"/>
      <sheetData sheetId="3"/>
      <sheetData sheetId="4">
        <row r="22">
          <cell r="D22">
            <v>0.06</v>
          </cell>
        </row>
      </sheetData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43CDAD-8D4A-454E-B04F-680629D0394B}" name="Tabel1" displayName="Tabel1" ref="A1:J75" totalsRowCount="1">
  <autoFilter ref="A1:J74" xr:uid="{AD43CDAD-8D4A-454E-B04F-680629D0394B}"/>
  <tableColumns count="10">
    <tableColumn id="1" xr3:uid="{97728A74-1904-4E21-BA56-9A5E32D0E2E1}" name="mois" totalsRowLabel="Totaal"/>
    <tableColumn id="2" xr3:uid="{57934257-9322-4D20-BD54-735797743BEF}" name="date" dataDxfId="9">
      <calculatedColumnFormula>EDATE(DATE(2019,10,1),A2)</calculatedColumnFormula>
    </tableColumn>
    <tableColumn id="3" xr3:uid="{0E86CBF8-AADF-4CA6-9A50-5F2AD3A68AE4}" name="payment mensuel a la fin di mois" totalsRowFunction="sum" dataDxfId="4" totalsRowDxfId="0">
      <calculatedColumnFormula>IF(Tabel1[[#This Row],[mois]]&lt;2,0,IF(Tabel1[[#This Row],[mois]]&gt;2,-1,-3)*$P$1)</calculatedColumnFormula>
    </tableColumn>
    <tableColumn id="4" xr3:uid="{2246E5CC-5E17-49A8-88EA-BFB1E2B4A2D7}" name="interst" dataDxfId="8">
      <calculatedColumnFormula>IF(Tabel1[[#This Row],[mois]]&gt;2,E1*$L$3,0)</calculatedColumnFormula>
    </tableColumn>
    <tableColumn id="5" xr3:uid="{7A328FFD-D38D-4184-A09F-C25FA572465C}" name="remaining" dataDxfId="5" totalsRowDxfId="1">
      <calculatedColumnFormula>SUM(IF(ROW()=2,$L$1,E1),Tabel1[[#This Row],[payment mensuel a la fin di mois]],Tabel1[[#This Row],[interst]])</calculatedColumnFormula>
    </tableColumn>
    <tableColumn id="6" xr3:uid="{23FBB84C-444B-4A7D-B1D4-1C209F0F6435}" name="payment annual 31/12" totalsRowFunction="sum" dataDxfId="2">
      <calculatedColumnFormula>IF(OR(Tabel1[[#This Row],[mois]]=72,MONTH(Tabel1[[#This Row],[date]])=12),MIN(Tabel1[[#This Row],[mois]]+1,12,82-Tabel1[[#This Row],[mois]])*-$P$2,0)</calculatedColumnFormula>
    </tableColumn>
    <tableColumn id="7" xr3:uid="{1BA24F83-E441-4B18-8AA8-C815AAF05FD2}" name="interst2" dataDxfId="3">
      <calculatedColumnFormula>IF(OR(Tabel1[[#This Row],[mois]]=72,AND(MONTH(Tabel1[[#This Row],[date]])=12,YEAR(Tabel1[[#This Row],[date]])&gt;2019)),H1*$L$2*MIN(Tabel1[[#This Row],[mois]],12,72-Tabel1[[#This Row],[mois]]+10)/12,0)</calculatedColumnFormula>
    </tableColumn>
    <tableColumn id="8" xr3:uid="{9416837C-BF61-4A0D-AF42-EAF1795DE895}" name="remaining2" dataDxfId="7">
      <calculatedColumnFormula>IF(ROW()=2,$L$1,SUM(Tabel1[[#This Row],[payment annual 31/12]],Tabel1[[#This Row],[interst2]],H1))</calculatedColumnFormula>
    </tableColumn>
    <tableColumn id="9" xr3:uid="{1148C700-D5FE-4F45-A09C-6E95433FA1C5}" name="delta" dataDxfId="6">
      <calculatedColumnFormula>IF(MONTH(Tabel1[[#This Row],[date]])=12,Tabel1[[#This Row],[remaining]]-Tabel1[[#This Row],[remaining2]],"-")</calculatedColumnFormula>
    </tableColumn>
    <tableColumn id="10" xr3:uid="{41CBFEB3-FBD5-4FD6-A165-249C2F317225}" name="Kolom1" totalsRowFunction="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08305-41A1-4008-A09B-E91D5CD31AB0}">
  <dimension ref="B1:BX33"/>
  <sheetViews>
    <sheetView workbookViewId="0">
      <selection activeCell="H12" sqref="H12"/>
    </sheetView>
  </sheetViews>
  <sheetFormatPr defaultColWidth="11.42578125" defaultRowHeight="15" x14ac:dyDescent="0.25"/>
  <cols>
    <col min="1" max="1" width="5.28515625" customWidth="1"/>
    <col min="3" max="3" width="19.85546875" customWidth="1"/>
    <col min="4" max="4" width="15.5703125" bestFit="1" customWidth="1"/>
    <col min="5" max="5" width="15.85546875" bestFit="1" customWidth="1"/>
    <col min="6" max="6" width="20.28515625" customWidth="1"/>
    <col min="7" max="7" width="20.140625" customWidth="1"/>
    <col min="8" max="8" width="16.42578125" customWidth="1"/>
    <col min="9" max="9" width="15.42578125" bestFit="1" customWidth="1"/>
    <col min="10" max="10" width="16.85546875" bestFit="1" customWidth="1"/>
    <col min="11" max="11" width="13.42578125" bestFit="1" customWidth="1"/>
    <col min="12" max="15" width="16.85546875" customWidth="1"/>
    <col min="16" max="30" width="13.42578125" bestFit="1" customWidth="1"/>
    <col min="31" max="42" width="12.42578125" bestFit="1" customWidth="1"/>
    <col min="43" max="43" width="12.5703125" bestFit="1" customWidth="1"/>
    <col min="44" max="54" width="12.42578125" bestFit="1" customWidth="1"/>
    <col min="55" max="55" width="12.5703125" bestFit="1" customWidth="1"/>
    <col min="56" max="61" width="12.42578125" bestFit="1" customWidth="1"/>
    <col min="62" max="65" width="11" bestFit="1" customWidth="1"/>
    <col min="66" max="66" width="11.5703125" bestFit="1" customWidth="1"/>
    <col min="67" max="67" width="12.5703125" bestFit="1" customWidth="1"/>
    <col min="68" max="68" width="11.5703125" bestFit="1" customWidth="1"/>
    <col min="69" max="76" width="13.140625" bestFit="1" customWidth="1"/>
  </cols>
  <sheetData>
    <row r="1" spans="2:76" s="23" customFormat="1" ht="12.75" x14ac:dyDescent="0.2">
      <c r="B1" s="23" t="s">
        <v>21</v>
      </c>
      <c r="D1" s="33">
        <v>21000</v>
      </c>
      <c r="E1" s="28" t="s">
        <v>22</v>
      </c>
    </row>
    <row r="2" spans="2:76" s="23" customFormat="1" ht="12.75" x14ac:dyDescent="0.2">
      <c r="B2" s="23" t="s">
        <v>17</v>
      </c>
      <c r="D2" s="23">
        <v>72</v>
      </c>
    </row>
    <row r="3" spans="2:76" s="23" customFormat="1" ht="12.75" x14ac:dyDescent="0.2">
      <c r="B3" s="23" t="s">
        <v>18</v>
      </c>
      <c r="D3" s="33">
        <f>D1/D2</f>
        <v>291.66666666666669</v>
      </c>
      <c r="E3" s="28" t="s">
        <v>22</v>
      </c>
    </row>
    <row r="4" spans="2:76" s="23" customFormat="1" ht="12.75" x14ac:dyDescent="0.2">
      <c r="B4" s="23" t="s">
        <v>19</v>
      </c>
      <c r="D4" s="24">
        <v>43739</v>
      </c>
    </row>
    <row r="5" spans="2:76" s="23" customFormat="1" ht="12.75" x14ac:dyDescent="0.2">
      <c r="B5" s="23" t="s">
        <v>20</v>
      </c>
      <c r="D5" s="25">
        <v>0.06</v>
      </c>
      <c r="E5" s="34">
        <f>+POWER(1+D5,0.0833333333333333)-1</f>
        <v>4.8675505653430484E-3</v>
      </c>
    </row>
    <row r="7" spans="2:76" x14ac:dyDescent="0.25">
      <c r="D7" s="22" t="s">
        <v>25</v>
      </c>
    </row>
    <row r="8" spans="2:76" x14ac:dyDescent="0.25">
      <c r="D8" s="22"/>
    </row>
    <row r="9" spans="2:76" x14ac:dyDescent="0.25">
      <c r="E9" s="26">
        <v>43739</v>
      </c>
      <c r="F9" s="26">
        <v>43770</v>
      </c>
      <c r="G9" s="26">
        <v>43800</v>
      </c>
      <c r="H9" s="26">
        <v>43831</v>
      </c>
      <c r="I9" s="26">
        <v>43862</v>
      </c>
      <c r="J9" s="26">
        <v>43891</v>
      </c>
      <c r="K9" s="26">
        <v>43922</v>
      </c>
      <c r="L9" s="26">
        <v>43952</v>
      </c>
      <c r="M9" s="26">
        <v>43983</v>
      </c>
      <c r="N9" s="26">
        <v>44013</v>
      </c>
      <c r="O9" s="26">
        <v>44044</v>
      </c>
      <c r="P9" s="26">
        <v>44075</v>
      </c>
      <c r="Q9" s="26">
        <v>44105</v>
      </c>
      <c r="R9" s="26">
        <v>44136</v>
      </c>
      <c r="S9" s="26">
        <v>44166</v>
      </c>
      <c r="T9" s="26">
        <v>44197</v>
      </c>
      <c r="U9" s="26">
        <v>44228</v>
      </c>
      <c r="V9" s="26">
        <v>44256</v>
      </c>
      <c r="W9" s="26">
        <v>44287</v>
      </c>
      <c r="X9" s="26">
        <v>44317</v>
      </c>
      <c r="Y9" s="26">
        <v>44348</v>
      </c>
      <c r="Z9" s="26">
        <v>44378</v>
      </c>
      <c r="AA9" s="26">
        <v>44409</v>
      </c>
      <c r="AB9" s="26">
        <v>44440</v>
      </c>
      <c r="AC9" s="26">
        <v>44470</v>
      </c>
      <c r="AD9" s="26">
        <v>44501</v>
      </c>
      <c r="AE9" s="26">
        <v>44531</v>
      </c>
      <c r="AF9" s="26">
        <v>44562</v>
      </c>
      <c r="AG9" s="26">
        <v>44593</v>
      </c>
      <c r="AH9" s="26">
        <v>44621</v>
      </c>
      <c r="AI9" s="26">
        <v>44652</v>
      </c>
      <c r="AJ9" s="26">
        <v>44682</v>
      </c>
      <c r="AK9" s="26">
        <v>44713</v>
      </c>
      <c r="AL9" s="26">
        <v>44743</v>
      </c>
      <c r="AM9" s="26">
        <v>44774</v>
      </c>
      <c r="AN9" s="26">
        <v>44805</v>
      </c>
      <c r="AO9" s="26">
        <v>44835</v>
      </c>
      <c r="AP9" s="26">
        <v>44866</v>
      </c>
      <c r="AQ9" s="26">
        <v>44896</v>
      </c>
      <c r="AR9" s="26">
        <v>44927</v>
      </c>
      <c r="AS9" s="26">
        <v>44958</v>
      </c>
      <c r="AT9" s="26">
        <v>44986</v>
      </c>
      <c r="AU9" s="26">
        <v>45017</v>
      </c>
      <c r="AV9" s="26">
        <v>45047</v>
      </c>
      <c r="AW9" s="26">
        <v>45078</v>
      </c>
      <c r="AX9" s="26">
        <v>45108</v>
      </c>
      <c r="AY9" s="26">
        <v>45139</v>
      </c>
      <c r="AZ9" s="26">
        <v>45170</v>
      </c>
      <c r="BA9" s="26">
        <v>45200</v>
      </c>
      <c r="BB9" s="26">
        <v>45231</v>
      </c>
      <c r="BC9" s="26">
        <v>45261</v>
      </c>
      <c r="BD9" s="26">
        <v>45292</v>
      </c>
      <c r="BE9" s="26">
        <v>45323</v>
      </c>
      <c r="BF9" s="26">
        <v>45352</v>
      </c>
      <c r="BG9" s="26">
        <v>45383</v>
      </c>
      <c r="BH9" s="26">
        <v>45413</v>
      </c>
      <c r="BI9" s="26">
        <v>45444</v>
      </c>
      <c r="BJ9" s="26">
        <v>45474</v>
      </c>
      <c r="BK9" s="26">
        <v>45505</v>
      </c>
      <c r="BL9" s="26">
        <v>45536</v>
      </c>
      <c r="BM9" s="26">
        <v>45566</v>
      </c>
      <c r="BN9" s="26">
        <v>45597</v>
      </c>
      <c r="BO9" s="26">
        <v>45627</v>
      </c>
      <c r="BP9" s="26">
        <v>45658</v>
      </c>
      <c r="BQ9" s="26">
        <v>45689</v>
      </c>
      <c r="BR9" s="26">
        <v>45717</v>
      </c>
      <c r="BS9" s="26">
        <v>45748</v>
      </c>
      <c r="BT9" s="26">
        <v>45778</v>
      </c>
      <c r="BU9" s="26">
        <v>45809</v>
      </c>
      <c r="BV9" s="26">
        <v>45839</v>
      </c>
      <c r="BW9" s="26">
        <v>45870</v>
      </c>
      <c r="BX9" s="26">
        <v>45901</v>
      </c>
    </row>
    <row r="10" spans="2:76" x14ac:dyDescent="0.25">
      <c r="C10" s="6" t="s">
        <v>9</v>
      </c>
      <c r="E10" s="27">
        <f>D3</f>
        <v>291.66666666666669</v>
      </c>
      <c r="F10" s="27">
        <f>E10</f>
        <v>291.66666666666669</v>
      </c>
      <c r="G10" s="27">
        <f t="shared" ref="G10:BR10" si="0">F10</f>
        <v>291.66666666666669</v>
      </c>
      <c r="H10" s="27">
        <f t="shared" si="0"/>
        <v>291.66666666666669</v>
      </c>
      <c r="I10" s="27">
        <f t="shared" si="0"/>
        <v>291.66666666666669</v>
      </c>
      <c r="J10" s="27">
        <f t="shared" si="0"/>
        <v>291.66666666666669</v>
      </c>
      <c r="K10" s="27">
        <f t="shared" si="0"/>
        <v>291.66666666666669</v>
      </c>
      <c r="L10" s="27">
        <f t="shared" si="0"/>
        <v>291.66666666666669</v>
      </c>
      <c r="M10" s="27">
        <f t="shared" si="0"/>
        <v>291.66666666666669</v>
      </c>
      <c r="N10" s="27">
        <f t="shared" si="0"/>
        <v>291.66666666666669</v>
      </c>
      <c r="O10" s="27">
        <f t="shared" si="0"/>
        <v>291.66666666666669</v>
      </c>
      <c r="P10" s="27">
        <f t="shared" si="0"/>
        <v>291.66666666666669</v>
      </c>
      <c r="Q10" s="27">
        <f t="shared" si="0"/>
        <v>291.66666666666669</v>
      </c>
      <c r="R10" s="27">
        <f t="shared" si="0"/>
        <v>291.66666666666669</v>
      </c>
      <c r="S10" s="27">
        <f t="shared" si="0"/>
        <v>291.66666666666669</v>
      </c>
      <c r="T10" s="27">
        <f t="shared" si="0"/>
        <v>291.66666666666669</v>
      </c>
      <c r="U10" s="27">
        <f t="shared" si="0"/>
        <v>291.66666666666669</v>
      </c>
      <c r="V10" s="27">
        <f t="shared" si="0"/>
        <v>291.66666666666669</v>
      </c>
      <c r="W10" s="27">
        <f t="shared" si="0"/>
        <v>291.66666666666669</v>
      </c>
      <c r="X10" s="27">
        <f t="shared" si="0"/>
        <v>291.66666666666669</v>
      </c>
      <c r="Y10" s="27">
        <f t="shared" si="0"/>
        <v>291.66666666666669</v>
      </c>
      <c r="Z10" s="27">
        <f t="shared" si="0"/>
        <v>291.66666666666669</v>
      </c>
      <c r="AA10" s="27">
        <f t="shared" si="0"/>
        <v>291.66666666666669</v>
      </c>
      <c r="AB10" s="27">
        <f t="shared" si="0"/>
        <v>291.66666666666669</v>
      </c>
      <c r="AC10" s="27">
        <f t="shared" si="0"/>
        <v>291.66666666666669</v>
      </c>
      <c r="AD10" s="27">
        <f t="shared" si="0"/>
        <v>291.66666666666669</v>
      </c>
      <c r="AE10" s="27">
        <f t="shared" si="0"/>
        <v>291.66666666666669</v>
      </c>
      <c r="AF10" s="27">
        <f t="shared" si="0"/>
        <v>291.66666666666669</v>
      </c>
      <c r="AG10" s="27">
        <f t="shared" si="0"/>
        <v>291.66666666666669</v>
      </c>
      <c r="AH10" s="27">
        <f t="shared" si="0"/>
        <v>291.66666666666669</v>
      </c>
      <c r="AI10" s="27">
        <f t="shared" si="0"/>
        <v>291.66666666666669</v>
      </c>
      <c r="AJ10" s="27">
        <f t="shared" si="0"/>
        <v>291.66666666666669</v>
      </c>
      <c r="AK10" s="27">
        <f t="shared" si="0"/>
        <v>291.66666666666669</v>
      </c>
      <c r="AL10" s="27">
        <f t="shared" si="0"/>
        <v>291.66666666666669</v>
      </c>
      <c r="AM10" s="27">
        <f t="shared" si="0"/>
        <v>291.66666666666669</v>
      </c>
      <c r="AN10" s="27">
        <f t="shared" si="0"/>
        <v>291.66666666666669</v>
      </c>
      <c r="AO10" s="27">
        <f t="shared" si="0"/>
        <v>291.66666666666669</v>
      </c>
      <c r="AP10" s="27">
        <f t="shared" si="0"/>
        <v>291.66666666666669</v>
      </c>
      <c r="AQ10" s="27">
        <f t="shared" si="0"/>
        <v>291.66666666666669</v>
      </c>
      <c r="AR10" s="27">
        <f t="shared" si="0"/>
        <v>291.66666666666669</v>
      </c>
      <c r="AS10" s="27">
        <f t="shared" si="0"/>
        <v>291.66666666666669</v>
      </c>
      <c r="AT10" s="27">
        <f t="shared" si="0"/>
        <v>291.66666666666669</v>
      </c>
      <c r="AU10" s="27">
        <f t="shared" si="0"/>
        <v>291.66666666666669</v>
      </c>
      <c r="AV10" s="27">
        <f t="shared" si="0"/>
        <v>291.66666666666669</v>
      </c>
      <c r="AW10" s="27">
        <f t="shared" si="0"/>
        <v>291.66666666666669</v>
      </c>
      <c r="AX10" s="27">
        <f t="shared" si="0"/>
        <v>291.66666666666669</v>
      </c>
      <c r="AY10" s="27">
        <f t="shared" si="0"/>
        <v>291.66666666666669</v>
      </c>
      <c r="AZ10" s="27">
        <f t="shared" si="0"/>
        <v>291.66666666666669</v>
      </c>
      <c r="BA10" s="27">
        <f t="shared" si="0"/>
        <v>291.66666666666669</v>
      </c>
      <c r="BB10" s="27">
        <f t="shared" si="0"/>
        <v>291.66666666666669</v>
      </c>
      <c r="BC10" s="27">
        <f t="shared" si="0"/>
        <v>291.66666666666669</v>
      </c>
      <c r="BD10" s="27">
        <f t="shared" si="0"/>
        <v>291.66666666666669</v>
      </c>
      <c r="BE10" s="27">
        <f t="shared" si="0"/>
        <v>291.66666666666669</v>
      </c>
      <c r="BF10" s="27">
        <f t="shared" si="0"/>
        <v>291.66666666666669</v>
      </c>
      <c r="BG10" s="27">
        <f t="shared" si="0"/>
        <v>291.66666666666669</v>
      </c>
      <c r="BH10" s="27">
        <f t="shared" si="0"/>
        <v>291.66666666666669</v>
      </c>
      <c r="BI10" s="27">
        <f t="shared" si="0"/>
        <v>291.66666666666669</v>
      </c>
      <c r="BJ10" s="27">
        <f t="shared" si="0"/>
        <v>291.66666666666669</v>
      </c>
      <c r="BK10" s="27">
        <f t="shared" si="0"/>
        <v>291.66666666666669</v>
      </c>
      <c r="BL10" s="27">
        <f t="shared" si="0"/>
        <v>291.66666666666669</v>
      </c>
      <c r="BM10" s="27">
        <f t="shared" si="0"/>
        <v>291.66666666666669</v>
      </c>
      <c r="BN10" s="27">
        <f t="shared" si="0"/>
        <v>291.66666666666669</v>
      </c>
      <c r="BO10" s="27">
        <f t="shared" si="0"/>
        <v>291.66666666666669</v>
      </c>
      <c r="BP10" s="27">
        <f t="shared" si="0"/>
        <v>291.66666666666669</v>
      </c>
      <c r="BQ10" s="27">
        <f t="shared" si="0"/>
        <v>291.66666666666669</v>
      </c>
      <c r="BR10" s="27">
        <f t="shared" si="0"/>
        <v>291.66666666666669</v>
      </c>
      <c r="BS10" s="27">
        <f t="shared" ref="BS10:BX10" si="1">BR10</f>
        <v>291.66666666666669</v>
      </c>
      <c r="BT10" s="27">
        <f t="shared" si="1"/>
        <v>291.66666666666669</v>
      </c>
      <c r="BU10" s="27">
        <f t="shared" si="1"/>
        <v>291.66666666666669</v>
      </c>
      <c r="BV10" s="27">
        <f t="shared" si="1"/>
        <v>291.66666666666669</v>
      </c>
      <c r="BW10" s="27">
        <f t="shared" si="1"/>
        <v>291.66666666666669</v>
      </c>
      <c r="BX10" s="27">
        <f t="shared" si="1"/>
        <v>291.66666666666669</v>
      </c>
    </row>
    <row r="11" spans="2:76" x14ac:dyDescent="0.25">
      <c r="E11">
        <v>1</v>
      </c>
      <c r="F11">
        <f t="shared" ref="F11:H11" si="2">E11+1</f>
        <v>2</v>
      </c>
      <c r="G11">
        <f t="shared" si="2"/>
        <v>3</v>
      </c>
      <c r="H11">
        <f t="shared" si="2"/>
        <v>4</v>
      </c>
      <c r="I11">
        <f>H11+1</f>
        <v>5</v>
      </c>
      <c r="J11">
        <f t="shared" ref="J11:BU11" si="3">I11+1</f>
        <v>6</v>
      </c>
      <c r="K11">
        <f t="shared" si="3"/>
        <v>7</v>
      </c>
      <c r="L11">
        <f t="shared" si="3"/>
        <v>8</v>
      </c>
      <c r="M11">
        <f t="shared" si="3"/>
        <v>9</v>
      </c>
      <c r="N11">
        <f t="shared" si="3"/>
        <v>10</v>
      </c>
      <c r="O11">
        <f t="shared" si="3"/>
        <v>11</v>
      </c>
      <c r="P11">
        <f t="shared" si="3"/>
        <v>12</v>
      </c>
      <c r="Q11">
        <f t="shared" si="3"/>
        <v>13</v>
      </c>
      <c r="R11">
        <f t="shared" si="3"/>
        <v>14</v>
      </c>
      <c r="S11">
        <f t="shared" si="3"/>
        <v>15</v>
      </c>
      <c r="T11">
        <f t="shared" si="3"/>
        <v>16</v>
      </c>
      <c r="U11">
        <f t="shared" si="3"/>
        <v>17</v>
      </c>
      <c r="V11">
        <f t="shared" si="3"/>
        <v>18</v>
      </c>
      <c r="W11">
        <f t="shared" si="3"/>
        <v>19</v>
      </c>
      <c r="X11">
        <f t="shared" si="3"/>
        <v>20</v>
      </c>
      <c r="Y11">
        <f t="shared" si="3"/>
        <v>21</v>
      </c>
      <c r="Z11">
        <f t="shared" si="3"/>
        <v>22</v>
      </c>
      <c r="AA11">
        <f t="shared" si="3"/>
        <v>23</v>
      </c>
      <c r="AB11">
        <f t="shared" si="3"/>
        <v>24</v>
      </c>
      <c r="AC11">
        <f t="shared" si="3"/>
        <v>25</v>
      </c>
      <c r="AD11">
        <f t="shared" si="3"/>
        <v>26</v>
      </c>
      <c r="AE11">
        <f t="shared" si="3"/>
        <v>27</v>
      </c>
      <c r="AF11">
        <f t="shared" si="3"/>
        <v>28</v>
      </c>
      <c r="AG11">
        <f t="shared" si="3"/>
        <v>29</v>
      </c>
      <c r="AH11">
        <f t="shared" si="3"/>
        <v>30</v>
      </c>
      <c r="AI11">
        <f t="shared" si="3"/>
        <v>31</v>
      </c>
      <c r="AJ11">
        <f t="shared" si="3"/>
        <v>32</v>
      </c>
      <c r="AK11">
        <f t="shared" si="3"/>
        <v>33</v>
      </c>
      <c r="AL11">
        <f t="shared" si="3"/>
        <v>34</v>
      </c>
      <c r="AM11">
        <f t="shared" si="3"/>
        <v>35</v>
      </c>
      <c r="AN11">
        <f t="shared" si="3"/>
        <v>36</v>
      </c>
      <c r="AO11">
        <f t="shared" si="3"/>
        <v>37</v>
      </c>
      <c r="AP11">
        <f t="shared" si="3"/>
        <v>38</v>
      </c>
      <c r="AQ11">
        <f t="shared" si="3"/>
        <v>39</v>
      </c>
      <c r="AR11">
        <f t="shared" si="3"/>
        <v>40</v>
      </c>
      <c r="AS11">
        <f t="shared" si="3"/>
        <v>41</v>
      </c>
      <c r="AT11">
        <f t="shared" si="3"/>
        <v>42</v>
      </c>
      <c r="AU11">
        <f t="shared" si="3"/>
        <v>43</v>
      </c>
      <c r="AV11">
        <f t="shared" si="3"/>
        <v>44</v>
      </c>
      <c r="AW11">
        <f t="shared" si="3"/>
        <v>45</v>
      </c>
      <c r="AX11">
        <f t="shared" si="3"/>
        <v>46</v>
      </c>
      <c r="AY11">
        <f t="shared" si="3"/>
        <v>47</v>
      </c>
      <c r="AZ11">
        <f t="shared" si="3"/>
        <v>48</v>
      </c>
      <c r="BA11">
        <f t="shared" si="3"/>
        <v>49</v>
      </c>
      <c r="BB11">
        <f t="shared" si="3"/>
        <v>50</v>
      </c>
      <c r="BC11">
        <f t="shared" si="3"/>
        <v>51</v>
      </c>
      <c r="BD11">
        <f t="shared" si="3"/>
        <v>52</v>
      </c>
      <c r="BE11">
        <f t="shared" si="3"/>
        <v>53</v>
      </c>
      <c r="BF11">
        <f t="shared" si="3"/>
        <v>54</v>
      </c>
      <c r="BG11">
        <f t="shared" si="3"/>
        <v>55</v>
      </c>
      <c r="BH11">
        <f t="shared" si="3"/>
        <v>56</v>
      </c>
      <c r="BI11">
        <f t="shared" si="3"/>
        <v>57</v>
      </c>
      <c r="BJ11">
        <f t="shared" si="3"/>
        <v>58</v>
      </c>
      <c r="BK11">
        <f t="shared" si="3"/>
        <v>59</v>
      </c>
      <c r="BL11">
        <f t="shared" si="3"/>
        <v>60</v>
      </c>
      <c r="BM11">
        <f t="shared" si="3"/>
        <v>61</v>
      </c>
      <c r="BN11">
        <f t="shared" si="3"/>
        <v>62</v>
      </c>
      <c r="BO11">
        <f t="shared" si="3"/>
        <v>63</v>
      </c>
      <c r="BP11">
        <f t="shared" si="3"/>
        <v>64</v>
      </c>
      <c r="BQ11">
        <f t="shared" si="3"/>
        <v>65</v>
      </c>
      <c r="BR11">
        <f t="shared" si="3"/>
        <v>66</v>
      </c>
      <c r="BS11">
        <f t="shared" si="3"/>
        <v>67</v>
      </c>
      <c r="BT11">
        <f t="shared" si="3"/>
        <v>68</v>
      </c>
      <c r="BU11">
        <f t="shared" si="3"/>
        <v>69</v>
      </c>
      <c r="BV11">
        <f t="shared" ref="BV11:BX11" si="4">BU11+1</f>
        <v>70</v>
      </c>
      <c r="BW11">
        <f t="shared" si="4"/>
        <v>71</v>
      </c>
      <c r="BX11">
        <f t="shared" si="4"/>
        <v>72</v>
      </c>
    </row>
    <row r="12" spans="2:76" x14ac:dyDescent="0.25">
      <c r="C12" s="12" t="s">
        <v>24</v>
      </c>
      <c r="G12" s="27">
        <f>SUM(E10:G10)</f>
        <v>875</v>
      </c>
      <c r="H12" s="18">
        <f>H10*(1+'[1]Disposal TAC'!$D$22/12)^-H11</f>
        <v>285.90552716288028</v>
      </c>
      <c r="I12" s="18">
        <f>I10*(1+'[1]Disposal TAC'!$D$22/12)^-I11</f>
        <v>284.48311160485605</v>
      </c>
      <c r="J12" s="18">
        <f>J10*(1+'[1]Disposal TAC'!$D$22/12)^-J11</f>
        <v>283.06777274115041</v>
      </c>
      <c r="K12" s="18">
        <f>K10*(1+'[1]Disposal TAC'!$D$22/12)^-K11</f>
        <v>281.65947536432873</v>
      </c>
      <c r="L12" s="18">
        <f>L10*(1+'[1]Disposal TAC'!$D$22/12)^-L11</f>
        <v>280.25818444211819</v>
      </c>
      <c r="M12" s="18">
        <f>M10*(1+'[1]Disposal TAC'!$D$22/12)^-M11</f>
        <v>278.86386511653552</v>
      </c>
      <c r="N12" s="18">
        <f>N10*(1+'[1]Disposal TAC'!$D$22/12)^-N11</f>
        <v>277.47648270302045</v>
      </c>
      <c r="O12" s="18">
        <f>O10*(1+'[1]Disposal TAC'!$D$22/12)^-O11</f>
        <v>276.09600268957263</v>
      </c>
      <c r="P12" s="18">
        <f>P10*(1+'[1]Disposal TAC'!$D$22/12)^-P11</f>
        <v>274.72239073589327</v>
      </c>
      <c r="Q12" s="18">
        <f>Q10*(1+'[1]Disposal TAC'!$D$22/12)^-Q11</f>
        <v>273.35561267253064</v>
      </c>
      <c r="R12" s="18">
        <f>R10*(1+'[1]Disposal TAC'!$D$22/12)^-R11</f>
        <v>271.99563450003052</v>
      </c>
      <c r="S12" s="18">
        <f>S10*(1+'[1]Disposal TAC'!$D$22/12)^-S11</f>
        <v>270.64242238809015</v>
      </c>
      <c r="T12" s="18">
        <f>T10*(1+'[1]Disposal TAC'!$D$22/12)^-T11</f>
        <v>269.29594267471657</v>
      </c>
      <c r="U12" s="18">
        <f>U10*(1+'[1]Disposal TAC'!$D$22/12)^-U11</f>
        <v>267.95616186538967</v>
      </c>
      <c r="V12" s="18">
        <f>V10*(1+'[1]Disposal TAC'!$D$22/12)^-V11</f>
        <v>266.62304663222858</v>
      </c>
      <c r="W12" s="18">
        <f>W10*(1+'[1]Disposal TAC'!$D$22/12)^-W11</f>
        <v>265.29656381316278</v>
      </c>
      <c r="X12" s="18">
        <f>X10*(1+'[1]Disposal TAC'!$D$22/12)^-X11</f>
        <v>263.97668041110728</v>
      </c>
      <c r="Y12" s="18">
        <f>Y10*(1+'[1]Disposal TAC'!$D$22/12)^-Y11</f>
        <v>262.66336359314164</v>
      </c>
      <c r="Z12" s="18">
        <f>Z10*(1+'[1]Disposal TAC'!$D$22/12)^-Z11</f>
        <v>261.3565806896932</v>
      </c>
      <c r="AA12" s="18">
        <f>AA10*(1+'[1]Disposal TAC'!$D$22/12)^-AA11</f>
        <v>260.05629919372467</v>
      </c>
      <c r="AB12" s="18">
        <f>AB10*(1+'[1]Disposal TAC'!$D$22/12)^-AB11</f>
        <v>258.76248675992497</v>
      </c>
      <c r="AC12" s="18">
        <f>AC10*(1+'[1]Disposal TAC'!$D$22/12)^-AC11</f>
        <v>257.47511120390556</v>
      </c>
      <c r="AD12" s="18">
        <f>AD10*(1+'[1]Disposal TAC'!$D$22/12)^-AD11</f>
        <v>256.19414050139858</v>
      </c>
      <c r="AE12" s="18">
        <f>AE10*(1+'[1]Disposal TAC'!$D$22/12)^-AE11</f>
        <v>254.9195427874613</v>
      </c>
      <c r="AF12" s="18">
        <f>AF10*(1+'[1]Disposal TAC'!$D$22/12)^-AF11</f>
        <v>253.65128635568294</v>
      </c>
      <c r="AG12" s="18">
        <f>AG10*(1+'[1]Disposal TAC'!$D$22/12)^-AG11</f>
        <v>252.38933965739599</v>
      </c>
      <c r="AH12" s="18">
        <f>AH10*(1+'[1]Disposal TAC'!$D$22/12)^-AH11</f>
        <v>251.13367130089159</v>
      </c>
      <c r="AI12" s="18">
        <f>AI10*(1+'[1]Disposal TAC'!$D$22/12)^-AI11</f>
        <v>249.88425005063843</v>
      </c>
      <c r="AJ12" s="18">
        <f>AJ10*(1+'[1]Disposal TAC'!$D$22/12)^-AJ11</f>
        <v>248.64104482650595</v>
      </c>
      <c r="AK12" s="18">
        <f>AK10*(1+'[1]Disposal TAC'!$D$22/12)^-AK11</f>
        <v>247.40402470299105</v>
      </c>
      <c r="AL12" s="18">
        <f>AL10*(1+'[1]Disposal TAC'!$D$22/12)^-AL11</f>
        <v>246.17315890844884</v>
      </c>
      <c r="AM12" s="18">
        <f>AM10*(1+'[1]Disposal TAC'!$D$22/12)^-AM11</f>
        <v>244.94841682432718</v>
      </c>
      <c r="AN12" s="18">
        <f>AN10*(1+'[1]Disposal TAC'!$D$22/12)^-AN11</f>
        <v>243.72976798440524</v>
      </c>
      <c r="AO12" s="18">
        <f>AO10*(1+'[1]Disposal TAC'!$D$22/12)^-AO11</f>
        <v>242.51718207403513</v>
      </c>
      <c r="AP12" s="18">
        <f>AP10*(1+'[1]Disposal TAC'!$D$22/12)^-AP11</f>
        <v>241.3106289293882</v>
      </c>
      <c r="AQ12" s="18">
        <f>AQ10*(1+'[1]Disposal TAC'!$D$22/12)^-AQ11</f>
        <v>240.11007853670469</v>
      </c>
      <c r="AR12" s="18">
        <f>AR10*(1+'[1]Disposal TAC'!$D$22/12)^-AR11</f>
        <v>238.915501031547</v>
      </c>
      <c r="AS12" s="18">
        <f>AS10*(1+'[1]Disposal TAC'!$D$22/12)^-AS11</f>
        <v>237.72686669805674</v>
      </c>
      <c r="AT12" s="18">
        <f>AT10*(1+'[1]Disposal TAC'!$D$22/12)^-AT11</f>
        <v>236.54414596821573</v>
      </c>
      <c r="AU12" s="18">
        <f>AU10*(1+'[1]Disposal TAC'!$D$22/12)^-AU11</f>
        <v>235.36730942111018</v>
      </c>
      <c r="AV12" s="18">
        <f>AV10*(1+'[1]Disposal TAC'!$D$22/12)^-AV11</f>
        <v>234.19632778219921</v>
      </c>
      <c r="AW12" s="18">
        <f>AW10*(1+'[1]Disposal TAC'!$D$22/12)^-AW11</f>
        <v>233.03117192258637</v>
      </c>
      <c r="AX12" s="18">
        <f>AX10*(1+'[1]Disposal TAC'!$D$22/12)^-AX11</f>
        <v>231.8718128582949</v>
      </c>
      <c r="AY12" s="18">
        <f>AY10*(1+'[1]Disposal TAC'!$D$22/12)^-AY11</f>
        <v>230.71822174954724</v>
      </c>
      <c r="AZ12" s="18">
        <f>AZ10*(1+'[1]Disposal TAC'!$D$22/12)^-AZ11</f>
        <v>229.57036990004701</v>
      </c>
      <c r="BA12" s="18">
        <f>BA10*(1+'[1]Disposal TAC'!$D$22/12)^-BA11</f>
        <v>228.4282287562657</v>
      </c>
      <c r="BB12" s="18">
        <f>BB10*(1+'[1]Disposal TAC'!$D$22/12)^-BB11</f>
        <v>227.29176990673213</v>
      </c>
      <c r="BC12" s="18">
        <f>BC10*(1+'[1]Disposal TAC'!$D$22/12)^-BC11</f>
        <v>226.16096508132551</v>
      </c>
      <c r="BD12" s="18">
        <f>BD10*(1+'[1]Disposal TAC'!$D$22/12)^-BD11</f>
        <v>225.03578615057268</v>
      </c>
      <c r="BE12" s="18">
        <f>BE10*(1+'[1]Disposal TAC'!$D$22/12)^-BE11</f>
        <v>223.91620512494796</v>
      </c>
      <c r="BF12" s="18">
        <f>BF10*(1+'[1]Disposal TAC'!$D$22/12)^-BF11</f>
        <v>222.80219415417713</v>
      </c>
      <c r="BG12" s="18">
        <f>BG10*(1+'[1]Disposal TAC'!$D$22/12)^-BG11</f>
        <v>221.69372552654443</v>
      </c>
      <c r="BH12" s="18">
        <f>BH10*(1+'[1]Disposal TAC'!$D$22/12)^-BH11</f>
        <v>220.59077166820339</v>
      </c>
      <c r="BI12" s="18">
        <f>BI10*(1+'[1]Disposal TAC'!$D$22/12)^-BI11</f>
        <v>219.49330514249098</v>
      </c>
      <c r="BJ12" s="18">
        <f>BJ10*(1+'[1]Disposal TAC'!$D$22/12)^-BJ11</f>
        <v>218.40129864924481</v>
      </c>
      <c r="BK12" s="18">
        <f>BK10*(1+'[1]Disposal TAC'!$D$22/12)^-BK11</f>
        <v>217.31472502412424</v>
      </c>
      <c r="BL12" s="18">
        <f>BL10*(1+'[1]Disposal TAC'!$D$22/12)^-BL11</f>
        <v>216.2335572379346</v>
      </c>
      <c r="BM12" s="18">
        <f>BM10*(1+'[1]Disposal TAC'!$D$22/12)^-BM11</f>
        <v>215.15776839595483</v>
      </c>
      <c r="BN12" s="18">
        <f>BN10*(1+'[1]Disposal TAC'!$D$22/12)^-BN11</f>
        <v>214.08733173726856</v>
      </c>
      <c r="BO12" s="18">
        <f>BO10*(1+'[1]Disposal TAC'!$D$22/12)^-BO11</f>
        <v>213.02222063409809</v>
      </c>
      <c r="BP12" s="18">
        <f>BP10*(1+'[1]Disposal TAC'!$D$22/12)^-BP11</f>
        <v>211.96240859114241</v>
      </c>
      <c r="BQ12" s="18">
        <f>BQ10*(1+'[1]Disposal TAC'!$D$22/12)^-BQ11</f>
        <v>210.90786924491783</v>
      </c>
      <c r="BR12" s="18">
        <f>BR10*(1+'[1]Disposal TAC'!$D$22/12)^-BR11</f>
        <v>209.85857636310237</v>
      </c>
      <c r="BS12" s="18">
        <f>BS10*(1+'[1]Disposal TAC'!$D$22/12)^-BS11</f>
        <v>208.81450384388293</v>
      </c>
      <c r="BT12" s="18">
        <f>BT10*(1+'[1]Disposal TAC'!$D$22/12)^-BT11</f>
        <v>207.77562571530646</v>
      </c>
      <c r="BU12" s="18">
        <f>BU10*(1+'[1]Disposal TAC'!$D$22/12)^-BU11</f>
        <v>206.74191613463336</v>
      </c>
      <c r="BV12" s="18">
        <f>BV10*(1+'[1]Disposal TAC'!$D$22/12)^-BV11</f>
        <v>205.7133493876949</v>
      </c>
      <c r="BW12" s="18">
        <f>BW10*(1+'[1]Disposal TAC'!$D$22/12)^-BW11</f>
        <v>204.68989988825365</v>
      </c>
      <c r="BX12" s="18">
        <f>BX10*(1+'[1]Disposal TAC'!$D$22/12)^-BX11</f>
        <v>203.67154217736686</v>
      </c>
    </row>
    <row r="14" spans="2:76" s="18" customFormat="1" x14ac:dyDescent="0.25">
      <c r="C14" s="18" t="s">
        <v>28</v>
      </c>
      <c r="H14" s="18">
        <f>H12*6%/12</f>
        <v>1.4295276358144013</v>
      </c>
      <c r="I14" s="18">
        <f t="shared" ref="I14:BT14" si="5">I10-I12</f>
        <v>7.1835550618106367</v>
      </c>
      <c r="J14" s="18">
        <f t="shared" si="5"/>
        <v>8.5988939255162791</v>
      </c>
      <c r="K14" s="18">
        <f t="shared" si="5"/>
        <v>10.007191302337958</v>
      </c>
      <c r="L14" s="18">
        <f t="shared" si="5"/>
        <v>11.408482224548493</v>
      </c>
      <c r="M14" s="18">
        <f t="shared" si="5"/>
        <v>12.802801550131164</v>
      </c>
      <c r="N14" s="18">
        <f t="shared" si="5"/>
        <v>14.190183963646234</v>
      </c>
      <c r="O14" s="18">
        <f t="shared" si="5"/>
        <v>15.570663977094057</v>
      </c>
      <c r="P14" s="18">
        <f t="shared" si="5"/>
        <v>16.944275930773415</v>
      </c>
      <c r="Q14" s="18">
        <f t="shared" si="5"/>
        <v>18.311053994136046</v>
      </c>
      <c r="R14" s="18">
        <f t="shared" si="5"/>
        <v>19.671032166636166</v>
      </c>
      <c r="S14" s="18">
        <f t="shared" si="5"/>
        <v>21.024244278576532</v>
      </c>
      <c r="T14" s="18">
        <f t="shared" si="5"/>
        <v>22.370723991950115</v>
      </c>
      <c r="U14" s="18">
        <f t="shared" si="5"/>
        <v>23.710504801277011</v>
      </c>
      <c r="V14" s="18">
        <f t="shared" si="5"/>
        <v>25.043620034438106</v>
      </c>
      <c r="W14" s="18">
        <f t="shared" si="5"/>
        <v>26.370102853503909</v>
      </c>
      <c r="X14" s="18">
        <f t="shared" si="5"/>
        <v>27.689986255559404</v>
      </c>
      <c r="Y14" s="18">
        <f t="shared" si="5"/>
        <v>29.003303073525046</v>
      </c>
      <c r="Z14" s="18">
        <f t="shared" si="5"/>
        <v>30.310085976973483</v>
      </c>
      <c r="AA14" s="18">
        <f t="shared" si="5"/>
        <v>31.610367472942016</v>
      </c>
      <c r="AB14" s="18">
        <f t="shared" si="5"/>
        <v>32.904179906741717</v>
      </c>
      <c r="AC14" s="18">
        <f t="shared" si="5"/>
        <v>34.19155546276113</v>
      </c>
      <c r="AD14" s="18">
        <f t="shared" si="5"/>
        <v>35.472526165268107</v>
      </c>
      <c r="AE14" s="18">
        <f t="shared" si="5"/>
        <v>36.74712387920539</v>
      </c>
      <c r="AF14" s="18">
        <f t="shared" si="5"/>
        <v>38.015380310983744</v>
      </c>
      <c r="AG14" s="18">
        <f t="shared" si="5"/>
        <v>39.277327009270692</v>
      </c>
      <c r="AH14" s="18">
        <f t="shared" si="5"/>
        <v>40.532995365775093</v>
      </c>
      <c r="AI14" s="18">
        <f t="shared" si="5"/>
        <v>41.782416616028257</v>
      </c>
      <c r="AJ14" s="18">
        <f t="shared" si="5"/>
        <v>43.025621840160738</v>
      </c>
      <c r="AK14" s="18">
        <f t="shared" si="5"/>
        <v>44.262641963675634</v>
      </c>
      <c r="AL14" s="18">
        <f t="shared" si="5"/>
        <v>45.493507758217845</v>
      </c>
      <c r="AM14" s="18">
        <f t="shared" si="5"/>
        <v>46.718249842339503</v>
      </c>
      <c r="AN14" s="18">
        <f t="shared" si="5"/>
        <v>47.936898682261443</v>
      </c>
      <c r="AO14" s="18">
        <f t="shared" si="5"/>
        <v>49.149484592631552</v>
      </c>
      <c r="AP14" s="18">
        <f t="shared" si="5"/>
        <v>50.356037737278484</v>
      </c>
      <c r="AQ14" s="18">
        <f t="shared" si="5"/>
        <v>51.556588129961995</v>
      </c>
      <c r="AR14" s="18">
        <f t="shared" si="5"/>
        <v>52.75116563511969</v>
      </c>
      <c r="AS14" s="18">
        <f t="shared" si="5"/>
        <v>53.939799968609947</v>
      </c>
      <c r="AT14" s="18">
        <f t="shared" si="5"/>
        <v>55.122520698450955</v>
      </c>
      <c r="AU14" s="18">
        <f t="shared" si="5"/>
        <v>56.299357245556507</v>
      </c>
      <c r="AV14" s="18">
        <f t="shared" si="5"/>
        <v>57.470338884467481</v>
      </c>
      <c r="AW14" s="18">
        <f t="shared" si="5"/>
        <v>58.635494744080319</v>
      </c>
      <c r="AX14" s="18">
        <f t="shared" si="5"/>
        <v>59.794853808371784</v>
      </c>
      <c r="AY14" s="18">
        <f t="shared" si="5"/>
        <v>60.948444917119446</v>
      </c>
      <c r="AZ14" s="18">
        <f t="shared" si="5"/>
        <v>62.096296766619673</v>
      </c>
      <c r="BA14" s="18">
        <f t="shared" si="5"/>
        <v>63.238437910400989</v>
      </c>
      <c r="BB14" s="18">
        <f t="shared" si="5"/>
        <v>64.374896759934558</v>
      </c>
      <c r="BC14" s="18">
        <f t="shared" si="5"/>
        <v>65.505701585341171</v>
      </c>
      <c r="BD14" s="18">
        <f t="shared" si="5"/>
        <v>66.63088051609401</v>
      </c>
      <c r="BE14" s="18">
        <f t="shared" si="5"/>
        <v>67.750461541718721</v>
      </c>
      <c r="BF14" s="18">
        <f t="shared" si="5"/>
        <v>68.864472512489556</v>
      </c>
      <c r="BG14" s="18">
        <f t="shared" si="5"/>
        <v>69.972941140122259</v>
      </c>
      <c r="BH14" s="18">
        <f t="shared" si="5"/>
        <v>71.075894998463298</v>
      </c>
      <c r="BI14" s="18">
        <f t="shared" si="5"/>
        <v>72.173361524175704</v>
      </c>
      <c r="BJ14" s="18">
        <f t="shared" si="5"/>
        <v>73.265368017421878</v>
      </c>
      <c r="BK14" s="18">
        <f t="shared" si="5"/>
        <v>74.351941642542442</v>
      </c>
      <c r="BL14" s="18">
        <f t="shared" si="5"/>
        <v>75.433109428732081</v>
      </c>
      <c r="BM14" s="18">
        <f t="shared" si="5"/>
        <v>76.508898270711853</v>
      </c>
      <c r="BN14" s="18">
        <f t="shared" si="5"/>
        <v>77.579334929398129</v>
      </c>
      <c r="BO14" s="18">
        <f t="shared" si="5"/>
        <v>78.644446032568595</v>
      </c>
      <c r="BP14" s="18">
        <f t="shared" si="5"/>
        <v>79.70425807552428</v>
      </c>
      <c r="BQ14" s="18">
        <f t="shared" si="5"/>
        <v>80.758797421748852</v>
      </c>
      <c r="BR14" s="18">
        <f t="shared" si="5"/>
        <v>81.808090303564313</v>
      </c>
      <c r="BS14" s="18">
        <f t="shared" si="5"/>
        <v>82.852162822783754</v>
      </c>
      <c r="BT14" s="18">
        <f t="shared" si="5"/>
        <v>83.891040951360225</v>
      </c>
      <c r="BU14" s="18">
        <f t="shared" ref="BU14:BX14" si="6">BU10-BU12</f>
        <v>84.924750532033329</v>
      </c>
      <c r="BV14" s="18">
        <f t="shared" si="6"/>
        <v>85.953317278971781</v>
      </c>
      <c r="BW14" s="18">
        <f t="shared" si="6"/>
        <v>86.976766778413037</v>
      </c>
      <c r="BX14" s="18">
        <f t="shared" si="6"/>
        <v>87.995124489299826</v>
      </c>
    </row>
    <row r="15" spans="2:76" s="18" customFormat="1" x14ac:dyDescent="0.25"/>
    <row r="16" spans="2:76" s="18" customFormat="1" x14ac:dyDescent="0.25">
      <c r="G16" s="18">
        <f>SUM(12:12)</f>
        <v>17607.70252426606</v>
      </c>
      <c r="H16" s="18">
        <f>G17</f>
        <v>16732.70252426606</v>
      </c>
      <c r="I16" s="18">
        <f t="shared" ref="I16:BT16" si="7">H17</f>
        <v>16441.035857599392</v>
      </c>
      <c r="J16" s="18">
        <f t="shared" si="7"/>
        <v>16149.369190932726</v>
      </c>
      <c r="K16" s="18">
        <f t="shared" si="7"/>
        <v>15857.70252426606</v>
      </c>
      <c r="L16" s="18">
        <f t="shared" si="7"/>
        <v>15566.035857599394</v>
      </c>
      <c r="M16" s="18">
        <f t="shared" si="7"/>
        <v>15274.369190932728</v>
      </c>
      <c r="N16" s="18">
        <f t="shared" si="7"/>
        <v>14982.702524266062</v>
      </c>
      <c r="O16" s="18">
        <f t="shared" si="7"/>
        <v>14691.035857599396</v>
      </c>
      <c r="P16" s="18">
        <f t="shared" si="7"/>
        <v>14399.36919093273</v>
      </c>
      <c r="Q16" s="18">
        <f t="shared" si="7"/>
        <v>14107.702524266064</v>
      </c>
      <c r="R16" s="18">
        <f t="shared" si="7"/>
        <v>13816.035857599398</v>
      </c>
      <c r="S16" s="18">
        <f t="shared" si="7"/>
        <v>13524.369190932732</v>
      </c>
      <c r="T16" s="18">
        <f t="shared" si="7"/>
        <v>13232.702524266066</v>
      </c>
      <c r="U16" s="18">
        <f t="shared" si="7"/>
        <v>12941.0358575994</v>
      </c>
      <c r="V16" s="18">
        <f t="shared" si="7"/>
        <v>12649.369190932734</v>
      </c>
      <c r="W16" s="18">
        <f t="shared" si="7"/>
        <v>12357.702524266067</v>
      </c>
      <c r="X16" s="18">
        <f t="shared" si="7"/>
        <v>12066.035857599401</v>
      </c>
      <c r="Y16" s="18">
        <f t="shared" si="7"/>
        <v>11774.369190932735</v>
      </c>
      <c r="Z16" s="18">
        <f t="shared" si="7"/>
        <v>11482.702524266069</v>
      </c>
      <c r="AA16" s="18">
        <f t="shared" si="7"/>
        <v>11191.035857599403</v>
      </c>
      <c r="AB16" s="18">
        <f t="shared" si="7"/>
        <v>10899.369190932737</v>
      </c>
      <c r="AC16" s="18">
        <f t="shared" si="7"/>
        <v>10607.702524266071</v>
      </c>
      <c r="AD16" s="18">
        <f t="shared" si="7"/>
        <v>10316.035857599405</v>
      </c>
      <c r="AE16" s="18">
        <f t="shared" si="7"/>
        <v>10024.369190932739</v>
      </c>
      <c r="AF16" s="18">
        <f t="shared" si="7"/>
        <v>9732.7025242660729</v>
      </c>
      <c r="AG16" s="18">
        <f t="shared" si="7"/>
        <v>9441.0358575994069</v>
      </c>
      <c r="AH16" s="18">
        <f t="shared" si="7"/>
        <v>9149.3691909327408</v>
      </c>
      <c r="AI16" s="18">
        <f t="shared" si="7"/>
        <v>8857.7025242660748</v>
      </c>
      <c r="AJ16" s="18">
        <f t="shared" si="7"/>
        <v>8566.0358575994087</v>
      </c>
      <c r="AK16" s="18">
        <f t="shared" si="7"/>
        <v>8274.3691909327426</v>
      </c>
      <c r="AL16" s="18">
        <f t="shared" si="7"/>
        <v>7982.7025242660757</v>
      </c>
      <c r="AM16" s="18">
        <f t="shared" si="7"/>
        <v>7691.0358575994087</v>
      </c>
      <c r="AN16" s="18">
        <f t="shared" si="7"/>
        <v>7399.3691909327417</v>
      </c>
      <c r="AO16" s="18">
        <f t="shared" si="7"/>
        <v>7107.7025242660748</v>
      </c>
      <c r="AP16" s="18">
        <f t="shared" si="7"/>
        <v>6816.0358575994078</v>
      </c>
      <c r="AQ16" s="18">
        <f t="shared" si="7"/>
        <v>6524.3691909327408</v>
      </c>
      <c r="AR16" s="18">
        <f t="shared" si="7"/>
        <v>6232.7025242660739</v>
      </c>
      <c r="AS16" s="18">
        <f t="shared" si="7"/>
        <v>5941.0358575994069</v>
      </c>
      <c r="AT16" s="18">
        <f t="shared" si="7"/>
        <v>5649.3691909327399</v>
      </c>
      <c r="AU16" s="18">
        <f t="shared" si="7"/>
        <v>5357.7025242660729</v>
      </c>
      <c r="AV16" s="18">
        <f t="shared" si="7"/>
        <v>5066.035857599406</v>
      </c>
      <c r="AW16" s="18">
        <f t="shared" si="7"/>
        <v>4774.369190932739</v>
      </c>
      <c r="AX16" s="18">
        <f t="shared" si="7"/>
        <v>4482.702524266072</v>
      </c>
      <c r="AY16" s="18">
        <f t="shared" si="7"/>
        <v>4191.0358575994051</v>
      </c>
      <c r="AZ16" s="18">
        <f t="shared" si="7"/>
        <v>3899.3691909327385</v>
      </c>
      <c r="BA16" s="18">
        <f t="shared" si="7"/>
        <v>3607.702524266072</v>
      </c>
      <c r="BB16" s="18">
        <f t="shared" si="7"/>
        <v>3316.0358575994055</v>
      </c>
      <c r="BC16" s="18">
        <f t="shared" si="7"/>
        <v>3024.369190932739</v>
      </c>
      <c r="BD16" s="18">
        <f t="shared" si="7"/>
        <v>2732.7025242660725</v>
      </c>
      <c r="BE16" s="18">
        <f t="shared" si="7"/>
        <v>2441.035857599406</v>
      </c>
      <c r="BF16" s="18">
        <f t="shared" si="7"/>
        <v>2149.3691909327395</v>
      </c>
      <c r="BG16" s="18">
        <f t="shared" si="7"/>
        <v>1857.7025242660727</v>
      </c>
      <c r="BH16" s="18">
        <f t="shared" si="7"/>
        <v>1566.035857599406</v>
      </c>
      <c r="BI16" s="18">
        <f t="shared" si="7"/>
        <v>1274.3691909327392</v>
      </c>
      <c r="BJ16" s="18">
        <f t="shared" si="7"/>
        <v>982.70252426607249</v>
      </c>
      <c r="BK16" s="18">
        <f t="shared" si="7"/>
        <v>691.03585759940574</v>
      </c>
      <c r="BL16" s="18">
        <f t="shared" si="7"/>
        <v>399.36919093273906</v>
      </c>
      <c r="BM16" s="18">
        <f t="shared" si="7"/>
        <v>107.70252426607237</v>
      </c>
      <c r="BN16" s="18">
        <f t="shared" si="7"/>
        <v>-183.96414240059431</v>
      </c>
      <c r="BO16" s="18">
        <f t="shared" si="7"/>
        <v>-475.630809067261</v>
      </c>
      <c r="BP16" s="18">
        <f t="shared" si="7"/>
        <v>-767.29747573392774</v>
      </c>
      <c r="BQ16" s="18">
        <f t="shared" si="7"/>
        <v>-1058.9641424005945</v>
      </c>
      <c r="BR16" s="18">
        <f t="shared" si="7"/>
        <v>-1350.6308090672612</v>
      </c>
      <c r="BS16" s="18">
        <f t="shared" si="7"/>
        <v>-1642.297475733928</v>
      </c>
      <c r="BT16" s="18">
        <f t="shared" si="7"/>
        <v>-1933.9641424005947</v>
      </c>
      <c r="BU16" s="18">
        <f t="shared" ref="BU16:BX16" si="8">BT17</f>
        <v>-2225.6308090672615</v>
      </c>
      <c r="BV16" s="18">
        <f t="shared" si="8"/>
        <v>-2517.297475733928</v>
      </c>
      <c r="BW16" s="18">
        <f t="shared" si="8"/>
        <v>-2808.9641424005945</v>
      </c>
      <c r="BX16" s="18">
        <f t="shared" si="8"/>
        <v>-3100.630809067261</v>
      </c>
    </row>
    <row r="17" spans="3:76" s="18" customFormat="1" x14ac:dyDescent="0.25">
      <c r="G17" s="18">
        <f>G16-G12</f>
        <v>16732.70252426606</v>
      </c>
      <c r="H17" s="18">
        <f>H16-H10</f>
        <v>16441.035857599392</v>
      </c>
      <c r="I17" s="18">
        <f t="shared" ref="I17:BT17" si="9">I16-I10</f>
        <v>16149.369190932726</v>
      </c>
      <c r="J17" s="18">
        <f t="shared" si="9"/>
        <v>15857.70252426606</v>
      </c>
      <c r="K17" s="18">
        <f t="shared" si="9"/>
        <v>15566.035857599394</v>
      </c>
      <c r="L17" s="18">
        <f t="shared" si="9"/>
        <v>15274.369190932728</v>
      </c>
      <c r="M17" s="18">
        <f t="shared" si="9"/>
        <v>14982.702524266062</v>
      </c>
      <c r="N17" s="18">
        <f t="shared" si="9"/>
        <v>14691.035857599396</v>
      </c>
      <c r="O17" s="18">
        <f t="shared" si="9"/>
        <v>14399.36919093273</v>
      </c>
      <c r="P17" s="18">
        <f t="shared" si="9"/>
        <v>14107.702524266064</v>
      </c>
      <c r="Q17" s="18">
        <f t="shared" si="9"/>
        <v>13816.035857599398</v>
      </c>
      <c r="R17" s="18">
        <f t="shared" si="9"/>
        <v>13524.369190932732</v>
      </c>
      <c r="S17" s="18">
        <f t="shared" si="9"/>
        <v>13232.702524266066</v>
      </c>
      <c r="T17" s="18">
        <f t="shared" si="9"/>
        <v>12941.0358575994</v>
      </c>
      <c r="U17" s="18">
        <f t="shared" si="9"/>
        <v>12649.369190932734</v>
      </c>
      <c r="V17" s="18">
        <f t="shared" si="9"/>
        <v>12357.702524266067</v>
      </c>
      <c r="W17" s="18">
        <f t="shared" si="9"/>
        <v>12066.035857599401</v>
      </c>
      <c r="X17" s="18">
        <f t="shared" si="9"/>
        <v>11774.369190932735</v>
      </c>
      <c r="Y17" s="18">
        <f t="shared" si="9"/>
        <v>11482.702524266069</v>
      </c>
      <c r="Z17" s="18">
        <f t="shared" si="9"/>
        <v>11191.035857599403</v>
      </c>
      <c r="AA17" s="18">
        <f t="shared" si="9"/>
        <v>10899.369190932737</v>
      </c>
      <c r="AB17" s="18">
        <f t="shared" si="9"/>
        <v>10607.702524266071</v>
      </c>
      <c r="AC17" s="18">
        <f t="shared" si="9"/>
        <v>10316.035857599405</v>
      </c>
      <c r="AD17" s="18">
        <f t="shared" si="9"/>
        <v>10024.369190932739</v>
      </c>
      <c r="AE17" s="18">
        <f t="shared" si="9"/>
        <v>9732.7025242660729</v>
      </c>
      <c r="AF17" s="18">
        <f t="shared" si="9"/>
        <v>9441.0358575994069</v>
      </c>
      <c r="AG17" s="18">
        <f t="shared" si="9"/>
        <v>9149.3691909327408</v>
      </c>
      <c r="AH17" s="18">
        <f t="shared" si="9"/>
        <v>8857.7025242660748</v>
      </c>
      <c r="AI17" s="18">
        <f t="shared" si="9"/>
        <v>8566.0358575994087</v>
      </c>
      <c r="AJ17" s="18">
        <f t="shared" si="9"/>
        <v>8274.3691909327426</v>
      </c>
      <c r="AK17" s="18">
        <f t="shared" si="9"/>
        <v>7982.7025242660757</v>
      </c>
      <c r="AL17" s="18">
        <f t="shared" si="9"/>
        <v>7691.0358575994087</v>
      </c>
      <c r="AM17" s="18">
        <f t="shared" si="9"/>
        <v>7399.3691909327417</v>
      </c>
      <c r="AN17" s="18">
        <f t="shared" si="9"/>
        <v>7107.7025242660748</v>
      </c>
      <c r="AO17" s="18">
        <f t="shared" si="9"/>
        <v>6816.0358575994078</v>
      </c>
      <c r="AP17" s="18">
        <f t="shared" si="9"/>
        <v>6524.3691909327408</v>
      </c>
      <c r="AQ17" s="18">
        <f t="shared" si="9"/>
        <v>6232.7025242660739</v>
      </c>
      <c r="AR17" s="18">
        <f t="shared" si="9"/>
        <v>5941.0358575994069</v>
      </c>
      <c r="AS17" s="18">
        <f t="shared" si="9"/>
        <v>5649.3691909327399</v>
      </c>
      <c r="AT17" s="18">
        <f t="shared" si="9"/>
        <v>5357.7025242660729</v>
      </c>
      <c r="AU17" s="18">
        <f t="shared" si="9"/>
        <v>5066.035857599406</v>
      </c>
      <c r="AV17" s="18">
        <f t="shared" si="9"/>
        <v>4774.369190932739</v>
      </c>
      <c r="AW17" s="18">
        <f t="shared" si="9"/>
        <v>4482.702524266072</v>
      </c>
      <c r="AX17" s="18">
        <f t="shared" si="9"/>
        <v>4191.0358575994051</v>
      </c>
      <c r="AY17" s="18">
        <f t="shared" si="9"/>
        <v>3899.3691909327385</v>
      </c>
      <c r="AZ17" s="18">
        <f t="shared" si="9"/>
        <v>3607.702524266072</v>
      </c>
      <c r="BA17" s="18">
        <f t="shared" si="9"/>
        <v>3316.0358575994055</v>
      </c>
      <c r="BB17" s="18">
        <f t="shared" si="9"/>
        <v>3024.369190932739</v>
      </c>
      <c r="BC17" s="18">
        <f t="shared" si="9"/>
        <v>2732.7025242660725</v>
      </c>
      <c r="BD17" s="18">
        <f t="shared" si="9"/>
        <v>2441.035857599406</v>
      </c>
      <c r="BE17" s="18">
        <f t="shared" si="9"/>
        <v>2149.3691909327395</v>
      </c>
      <c r="BF17" s="18">
        <f t="shared" si="9"/>
        <v>1857.7025242660727</v>
      </c>
      <c r="BG17" s="18">
        <f t="shared" si="9"/>
        <v>1566.035857599406</v>
      </c>
      <c r="BH17" s="18">
        <f t="shared" si="9"/>
        <v>1274.3691909327392</v>
      </c>
      <c r="BI17" s="18">
        <f t="shared" si="9"/>
        <v>982.70252426607249</v>
      </c>
      <c r="BJ17" s="18">
        <f t="shared" si="9"/>
        <v>691.03585759940574</v>
      </c>
      <c r="BK17" s="18">
        <f t="shared" si="9"/>
        <v>399.36919093273906</v>
      </c>
      <c r="BL17" s="18">
        <f t="shared" si="9"/>
        <v>107.70252426607237</v>
      </c>
      <c r="BM17" s="18">
        <f t="shared" si="9"/>
        <v>-183.96414240059431</v>
      </c>
      <c r="BN17" s="18">
        <f t="shared" si="9"/>
        <v>-475.630809067261</v>
      </c>
      <c r="BO17" s="18">
        <f t="shared" si="9"/>
        <v>-767.29747573392774</v>
      </c>
      <c r="BP17" s="18">
        <f t="shared" si="9"/>
        <v>-1058.9641424005945</v>
      </c>
      <c r="BQ17" s="18">
        <f t="shared" si="9"/>
        <v>-1350.6308090672612</v>
      </c>
      <c r="BR17" s="18">
        <f t="shared" si="9"/>
        <v>-1642.297475733928</v>
      </c>
      <c r="BS17" s="18">
        <f t="shared" si="9"/>
        <v>-1933.9641424005947</v>
      </c>
      <c r="BT17" s="18">
        <f t="shared" si="9"/>
        <v>-2225.6308090672615</v>
      </c>
      <c r="BU17" s="18">
        <f t="shared" ref="BU17:BX17" si="10">BU16-BU10</f>
        <v>-2517.297475733928</v>
      </c>
      <c r="BV17" s="18">
        <f t="shared" si="10"/>
        <v>-2808.9641424005945</v>
      </c>
      <c r="BW17" s="18">
        <f t="shared" si="10"/>
        <v>-3100.630809067261</v>
      </c>
      <c r="BX17" s="18">
        <f t="shared" si="10"/>
        <v>-3392.2974757339275</v>
      </c>
    </row>
    <row r="18" spans="3:76" s="18" customFormat="1" x14ac:dyDescent="0.25">
      <c r="H18" s="18">
        <f>+G19*$E$5</f>
        <v>80.771134618062788</v>
      </c>
      <c r="I18" s="18">
        <f t="shared" ref="I18:BT18" si="11">+H19*$E$5</f>
        <v>79.744589951811278</v>
      </c>
      <c r="J18" s="18">
        <f t="shared" si="11"/>
        <v>78.713048527489221</v>
      </c>
      <c r="K18" s="18">
        <f t="shared" si="11"/>
        <v>77.676486023124014</v>
      </c>
      <c r="L18" s="18">
        <f t="shared" si="11"/>
        <v>76.634877998354682</v>
      </c>
      <c r="M18" s="18">
        <f t="shared" si="11"/>
        <v>75.588199893855517</v>
      </c>
      <c r="N18" s="18">
        <f t="shared" si="11"/>
        <v>74.536427030757054</v>
      </c>
      <c r="O18" s="18">
        <f t="shared" si="11"/>
        <v>73.479534610064206</v>
      </c>
      <c r="P18" s="18">
        <f t="shared" si="11"/>
        <v>72.417497712071523</v>
      </c>
      <c r="Q18" s="18">
        <f t="shared" si="11"/>
        <v>71.350291295775591</v>
      </c>
      <c r="R18" s="18">
        <f t="shared" si="11"/>
        <v>70.27789019828468</v>
      </c>
      <c r="S18" s="18">
        <f t="shared" si="11"/>
        <v>69.200269134225394</v>
      </c>
      <c r="T18" s="18">
        <f t="shared" si="11"/>
        <v>68.117402695146538</v>
      </c>
      <c r="U18" s="18">
        <f t="shared" si="11"/>
        <v>67.029265348919949</v>
      </c>
      <c r="V18" s="18">
        <f t="shared" si="11"/>
        <v>65.935831439138553</v>
      </c>
      <c r="W18" s="18">
        <f t="shared" si="11"/>
        <v>64.837075184511448</v>
      </c>
      <c r="X18" s="18">
        <f t="shared" si="11"/>
        <v>63.73297067825596</v>
      </c>
      <c r="Y18" s="18">
        <f t="shared" si="11"/>
        <v>62.623491887486843</v>
      </c>
      <c r="Z18" s="18">
        <f t="shared" si="11"/>
        <v>61.508612652602487</v>
      </c>
      <c r="AA18" s="18">
        <f t="shared" si="11"/>
        <v>60.388306686668074</v>
      </c>
      <c r="AB18" s="18">
        <f t="shared" si="11"/>
        <v>59.262547574795818</v>
      </c>
      <c r="AC18" s="18">
        <f t="shared" si="11"/>
        <v>58.131308773522129</v>
      </c>
      <c r="AD18" s="18">
        <f t="shared" si="11"/>
        <v>56.994563610181764</v>
      </c>
      <c r="AE18" s="18">
        <f t="shared" si="11"/>
        <v>55.852285282278935</v>
      </c>
      <c r="AF18" s="18">
        <f t="shared" si="11"/>
        <v>54.704446856855341</v>
      </c>
      <c r="AG18" s="18">
        <f t="shared" si="11"/>
        <v>53.551021269855148</v>
      </c>
      <c r="AH18" s="18">
        <f t="shared" si="11"/>
        <v>52.391981325486874</v>
      </c>
      <c r="AI18" s="18">
        <f t="shared" si="11"/>
        <v>51.22729969558214</v>
      </c>
      <c r="AJ18" s="18">
        <f t="shared" si="11"/>
        <v>50.056948918951313</v>
      </c>
      <c r="AK18" s="18">
        <f t="shared" si="11"/>
        <v>48.88090140073605</v>
      </c>
      <c r="AL18" s="18">
        <f t="shared" si="11"/>
        <v>47.699129411758626</v>
      </c>
      <c r="AM18" s="18">
        <f t="shared" si="11"/>
        <v>46.511605087868148</v>
      </c>
      <c r="AN18" s="18">
        <f t="shared" si="11"/>
        <v>45.318300429283561</v>
      </c>
      <c r="AO18" s="18">
        <f t="shared" si="11"/>
        <v>44.119187299933458</v>
      </c>
      <c r="AP18" s="18">
        <f t="shared" si="11"/>
        <v>42.914237426792667</v>
      </c>
      <c r="AQ18" s="18">
        <f t="shared" si="11"/>
        <v>41.703422399215668</v>
      </c>
      <c r="AR18" s="18">
        <f t="shared" si="11"/>
        <v>40.486713668266653</v>
      </c>
      <c r="AS18" s="18">
        <f t="shared" si="11"/>
        <v>39.264082546046453</v>
      </c>
      <c r="AT18" s="18">
        <f t="shared" si="11"/>
        <v>38.035500205016085</v>
      </c>
      <c r="AU18" s="18">
        <f t="shared" si="11"/>
        <v>36.800937677317059</v>
      </c>
      <c r="AV18" s="18">
        <f t="shared" si="11"/>
        <v>35.560365854088381</v>
      </c>
      <c r="AW18" s="18">
        <f t="shared" si="11"/>
        <v>34.313755484780195</v>
      </c>
      <c r="AX18" s="18">
        <f t="shared" si="11"/>
        <v>33.061077176464124</v>
      </c>
      <c r="AY18" s="18">
        <f t="shared" si="11"/>
        <v>31.802301393140212</v>
      </c>
      <c r="AZ18" s="18">
        <f t="shared" si="11"/>
        <v>30.537398455040549</v>
      </c>
      <c r="BA18" s="18">
        <f t="shared" si="11"/>
        <v>29.266338537929428</v>
      </c>
      <c r="BB18" s="18">
        <f t="shared" si="11"/>
        <v>27.989091672400189</v>
      </c>
      <c r="BC18" s="18">
        <f t="shared" si="11"/>
        <v>26.705627743168563</v>
      </c>
      <c r="BD18" s="18">
        <f t="shared" si="11"/>
        <v>25.415916488362605</v>
      </c>
      <c r="BE18" s="18">
        <f t="shared" si="11"/>
        <v>24.119927498809187</v>
      </c>
      <c r="BF18" s="18">
        <f t="shared" si="11"/>
        <v>22.817630217316992</v>
      </c>
      <c r="BG18" s="18">
        <f t="shared" si="11"/>
        <v>21.508993937956024</v>
      </c>
      <c r="BH18" s="18">
        <f t="shared" si="11"/>
        <v>20.193987805333624</v>
      </c>
      <c r="BI18" s="18">
        <f t="shared" si="11"/>
        <v>18.87258081386695</v>
      </c>
      <c r="BJ18" s="18">
        <f t="shared" si="11"/>
        <v>17.544741807051917</v>
      </c>
      <c r="BK18" s="18">
        <f t="shared" si="11"/>
        <v>16.210439476728578</v>
      </c>
      <c r="BL18" s="18">
        <f t="shared" si="11"/>
        <v>14.86964236234293</v>
      </c>
      <c r="BM18" s="18">
        <f t="shared" si="11"/>
        <v>13.522318850205146</v>
      </c>
      <c r="BN18" s="18">
        <f t="shared" si="11"/>
        <v>12.168437172744156</v>
      </c>
      <c r="BO18" s="18">
        <f t="shared" si="11"/>
        <v>10.807965407758633</v>
      </c>
      <c r="BP18" s="18">
        <f t="shared" si="11"/>
        <v>9.4408714776643201</v>
      </c>
      <c r="BQ18" s="18">
        <f t="shared" si="11"/>
        <v>8.0671231487377</v>
      </c>
      <c r="BR18" s="18">
        <f t="shared" si="11"/>
        <v>6.6866880303559739</v>
      </c>
      <c r="BS18" s="18">
        <f t="shared" si="11"/>
        <v>5.29953357423335</v>
      </c>
      <c r="BT18" s="18">
        <f t="shared" si="11"/>
        <v>3.9056270736536081</v>
      </c>
      <c r="BU18" s="18">
        <f t="shared" ref="BU18:BX18" si="12">+BT19*$E$5</f>
        <v>2.5049356626989341</v>
      </c>
      <c r="BV18" s="18">
        <f t="shared" si="12"/>
        <v>1.0974263154749961</v>
      </c>
      <c r="BW18" s="18">
        <f t="shared" si="12"/>
        <v>-0.31693415466774705</v>
      </c>
      <c r="BX18" s="18">
        <f t="shared" si="12"/>
        <v>-1.7381790959165326</v>
      </c>
    </row>
    <row r="19" spans="3:76" s="18" customFormat="1" x14ac:dyDescent="0.25">
      <c r="D19" s="18">
        <f>+Annuel!E26</f>
        <v>17468.794668134142</v>
      </c>
      <c r="E19" s="18">
        <f>+D19-E10+E18</f>
        <v>17177.128001467474</v>
      </c>
      <c r="F19" s="18">
        <f t="shared" ref="F19:BQ19" si="13">+E19-F10+F18</f>
        <v>16885.461334800806</v>
      </c>
      <c r="G19" s="18">
        <f t="shared" si="13"/>
        <v>16593.794668134138</v>
      </c>
      <c r="H19" s="18">
        <f t="shared" si="13"/>
        <v>16382.899136085534</v>
      </c>
      <c r="I19" s="18">
        <f t="shared" si="13"/>
        <v>16170.97705937068</v>
      </c>
      <c r="J19" s="18">
        <f t="shared" si="13"/>
        <v>15958.023441231502</v>
      </c>
      <c r="K19" s="18">
        <f t="shared" si="13"/>
        <v>15744.033260587959</v>
      </c>
      <c r="L19" s="18">
        <f t="shared" si="13"/>
        <v>15529.001471919648</v>
      </c>
      <c r="M19" s="18">
        <f t="shared" si="13"/>
        <v>15312.923005146837</v>
      </c>
      <c r="N19" s="18">
        <f t="shared" si="13"/>
        <v>15095.792765510927</v>
      </c>
      <c r="O19" s="18">
        <f t="shared" si="13"/>
        <v>14877.605633454325</v>
      </c>
      <c r="P19" s="18">
        <f t="shared" si="13"/>
        <v>14658.35646449973</v>
      </c>
      <c r="Q19" s="18">
        <f t="shared" si="13"/>
        <v>14438.040089128839</v>
      </c>
      <c r="R19" s="18">
        <f t="shared" si="13"/>
        <v>14216.651312660457</v>
      </c>
      <c r="S19" s="18">
        <f t="shared" si="13"/>
        <v>13994.184915128017</v>
      </c>
      <c r="T19" s="18">
        <f t="shared" si="13"/>
        <v>13770.635651156497</v>
      </c>
      <c r="U19" s="18">
        <f t="shared" si="13"/>
        <v>13545.998249838751</v>
      </c>
      <c r="V19" s="18">
        <f t="shared" si="13"/>
        <v>13320.267414611224</v>
      </c>
      <c r="W19" s="18">
        <f t="shared" si="13"/>
        <v>13093.43782312907</v>
      </c>
      <c r="X19" s="18">
        <f t="shared" si="13"/>
        <v>12865.504127140661</v>
      </c>
      <c r="Y19" s="18">
        <f t="shared" si="13"/>
        <v>12636.460952361482</v>
      </c>
      <c r="Z19" s="18">
        <f t="shared" si="13"/>
        <v>12406.302898347418</v>
      </c>
      <c r="AA19" s="18">
        <f t="shared" si="13"/>
        <v>12175.024538367419</v>
      </c>
      <c r="AB19" s="18">
        <f t="shared" si="13"/>
        <v>11942.620419275549</v>
      </c>
      <c r="AC19" s="18">
        <f t="shared" si="13"/>
        <v>11709.085061382404</v>
      </c>
      <c r="AD19" s="18">
        <f t="shared" si="13"/>
        <v>11474.41295832592</v>
      </c>
      <c r="AE19" s="18">
        <f t="shared" si="13"/>
        <v>11238.598576941533</v>
      </c>
      <c r="AF19" s="18">
        <f t="shared" si="13"/>
        <v>11001.636357131722</v>
      </c>
      <c r="AG19" s="18">
        <f t="shared" si="13"/>
        <v>10763.520711734911</v>
      </c>
      <c r="AH19" s="18">
        <f t="shared" si="13"/>
        <v>10524.246026393732</v>
      </c>
      <c r="AI19" s="18">
        <f t="shared" si="13"/>
        <v>10283.806659422647</v>
      </c>
      <c r="AJ19" s="18">
        <f t="shared" si="13"/>
        <v>10042.196941674933</v>
      </c>
      <c r="AK19" s="18">
        <f t="shared" si="13"/>
        <v>9799.411176409003</v>
      </c>
      <c r="AL19" s="18">
        <f t="shared" si="13"/>
        <v>9555.4436391540949</v>
      </c>
      <c r="AM19" s="18">
        <f t="shared" si="13"/>
        <v>9310.2885775752966</v>
      </c>
      <c r="AN19" s="18">
        <f t="shared" si="13"/>
        <v>9063.9402113379147</v>
      </c>
      <c r="AO19" s="18">
        <f t="shared" si="13"/>
        <v>8816.392731971182</v>
      </c>
      <c r="AP19" s="18">
        <f t="shared" si="13"/>
        <v>8567.6403027313081</v>
      </c>
      <c r="AQ19" s="18">
        <f t="shared" si="13"/>
        <v>8317.677058463858</v>
      </c>
      <c r="AR19" s="18">
        <f t="shared" si="13"/>
        <v>8066.4971054654579</v>
      </c>
      <c r="AS19" s="18">
        <f t="shared" si="13"/>
        <v>7814.0945213448376</v>
      </c>
      <c r="AT19" s="18">
        <f t="shared" si="13"/>
        <v>7560.4633548831871</v>
      </c>
      <c r="AU19" s="18">
        <f t="shared" si="13"/>
        <v>7305.5976258938372</v>
      </c>
      <c r="AV19" s="18">
        <f t="shared" si="13"/>
        <v>7049.4913250812588</v>
      </c>
      <c r="AW19" s="18">
        <f t="shared" si="13"/>
        <v>6792.1384138993717</v>
      </c>
      <c r="AX19" s="18">
        <f t="shared" si="13"/>
        <v>6533.5328244091688</v>
      </c>
      <c r="AY19" s="18">
        <f t="shared" si="13"/>
        <v>6273.6684591356425</v>
      </c>
      <c r="AZ19" s="18">
        <f t="shared" si="13"/>
        <v>6012.5391909240161</v>
      </c>
      <c r="BA19" s="18">
        <f t="shared" si="13"/>
        <v>5750.1388627952783</v>
      </c>
      <c r="BB19" s="18">
        <f t="shared" si="13"/>
        <v>5486.4612878010112</v>
      </c>
      <c r="BC19" s="18">
        <f t="shared" si="13"/>
        <v>5221.5002488775126</v>
      </c>
      <c r="BD19" s="18">
        <f t="shared" si="13"/>
        <v>4955.2494986992078</v>
      </c>
      <c r="BE19" s="18">
        <f t="shared" si="13"/>
        <v>4687.7027595313502</v>
      </c>
      <c r="BF19" s="18">
        <f t="shared" si="13"/>
        <v>4418.8537230820002</v>
      </c>
      <c r="BG19" s="18">
        <f t="shared" si="13"/>
        <v>4148.6960503532891</v>
      </c>
      <c r="BH19" s="18">
        <f t="shared" si="13"/>
        <v>3877.2233714919562</v>
      </c>
      <c r="BI19" s="18">
        <f t="shared" si="13"/>
        <v>3604.4292856391567</v>
      </c>
      <c r="BJ19" s="18">
        <f t="shared" si="13"/>
        <v>3330.3073607795423</v>
      </c>
      <c r="BK19" s="18">
        <f t="shared" si="13"/>
        <v>3054.8511335896042</v>
      </c>
      <c r="BL19" s="18">
        <f t="shared" si="13"/>
        <v>2778.0541092852804</v>
      </c>
      <c r="BM19" s="18">
        <f t="shared" si="13"/>
        <v>2499.9097614688189</v>
      </c>
      <c r="BN19" s="18">
        <f t="shared" si="13"/>
        <v>2220.4115319748967</v>
      </c>
      <c r="BO19" s="18">
        <f t="shared" si="13"/>
        <v>1939.5528307159886</v>
      </c>
      <c r="BP19" s="18">
        <f t="shared" si="13"/>
        <v>1657.3270355269863</v>
      </c>
      <c r="BQ19" s="18">
        <f t="shared" si="13"/>
        <v>1373.7274920090572</v>
      </c>
      <c r="BR19" s="18">
        <f t="shared" ref="BR19:BX19" si="14">+BQ19-BR10+BR18</f>
        <v>1088.7475133727464</v>
      </c>
      <c r="BS19" s="18">
        <f t="shared" si="14"/>
        <v>802.38038028031303</v>
      </c>
      <c r="BT19" s="18">
        <f t="shared" si="14"/>
        <v>514.6193406873</v>
      </c>
      <c r="BU19" s="18">
        <f t="shared" si="14"/>
        <v>225.45760968333224</v>
      </c>
      <c r="BV19" s="18">
        <f t="shared" si="14"/>
        <v>-65.111630667859458</v>
      </c>
      <c r="BW19" s="18">
        <f t="shared" si="14"/>
        <v>-357.09523148919391</v>
      </c>
      <c r="BX19" s="18">
        <f t="shared" si="14"/>
        <v>-650.50007725177704</v>
      </c>
    </row>
    <row r="20" spans="3:76" s="18" customFormat="1" x14ac:dyDescent="0.25">
      <c r="D20" s="22" t="s">
        <v>26</v>
      </c>
    </row>
    <row r="23" spans="3:76" x14ac:dyDescent="0.25">
      <c r="C23" s="14" t="s">
        <v>11</v>
      </c>
      <c r="D23" s="14" t="s">
        <v>12</v>
      </c>
      <c r="E23" s="15" t="s">
        <v>13</v>
      </c>
      <c r="F23" s="15" t="s">
        <v>14</v>
      </c>
      <c r="G23" s="29" t="s">
        <v>15</v>
      </c>
      <c r="H23" s="16" t="s">
        <v>16</v>
      </c>
      <c r="J23" s="18"/>
      <c r="K23" s="18"/>
      <c r="L23" s="18"/>
      <c r="M23" s="18"/>
      <c r="N23" s="18"/>
      <c r="O23" s="18"/>
    </row>
    <row r="24" spans="3:76" x14ac:dyDescent="0.25">
      <c r="C24">
        <v>2019</v>
      </c>
      <c r="D24">
        <v>3</v>
      </c>
      <c r="E24" s="17">
        <f>G12+SUM(H12:BX12)</f>
        <v>17607.702524266064</v>
      </c>
      <c r="F24" s="17">
        <f>SUM(E10:G10)</f>
        <v>875</v>
      </c>
      <c r="G24" s="30"/>
      <c r="H24" s="17">
        <f t="shared" ref="H24:H30" si="15">E24-F24+G24</f>
        <v>16732.702524266064</v>
      </c>
      <c r="I24" s="19"/>
      <c r="J24" s="18"/>
      <c r="K24" s="18"/>
      <c r="L24" s="18"/>
      <c r="M24" s="18"/>
      <c r="N24" s="18"/>
      <c r="O24" s="18"/>
    </row>
    <row r="25" spans="3:76" x14ac:dyDescent="0.25">
      <c r="C25">
        <v>2020</v>
      </c>
      <c r="D25">
        <v>12</v>
      </c>
      <c r="E25" s="17">
        <f>H24</f>
        <v>16732.702524266064</v>
      </c>
      <c r="F25" s="17">
        <f t="shared" ref="F25:F30" si="16">$D$3*D25</f>
        <v>3500</v>
      </c>
      <c r="G25" s="31">
        <f>E25*6%</f>
        <v>1003.9621514559637</v>
      </c>
      <c r="H25" s="17">
        <f t="shared" si="15"/>
        <v>14236.664675722028</v>
      </c>
      <c r="J25" s="18"/>
      <c r="K25" s="18"/>
      <c r="L25" s="18"/>
      <c r="M25" s="18"/>
      <c r="N25" s="18"/>
      <c r="O25" s="18"/>
    </row>
    <row r="26" spans="3:76" x14ac:dyDescent="0.25">
      <c r="C26">
        <v>2021</v>
      </c>
      <c r="D26">
        <v>12</v>
      </c>
      <c r="E26" s="17">
        <f t="shared" ref="E26:E30" si="17">H25</f>
        <v>14236.664675722028</v>
      </c>
      <c r="F26" s="17">
        <f t="shared" si="16"/>
        <v>3500</v>
      </c>
      <c r="G26" s="31">
        <f t="shared" ref="G26:G30" si="18">E26*6%</f>
        <v>854.19988054332168</v>
      </c>
      <c r="H26" s="17">
        <f t="shared" si="15"/>
        <v>11590.864556265349</v>
      </c>
      <c r="J26" s="18"/>
      <c r="K26" s="18"/>
      <c r="L26" s="18"/>
      <c r="M26" s="18"/>
      <c r="N26" s="18"/>
      <c r="O26" s="18"/>
    </row>
    <row r="27" spans="3:76" x14ac:dyDescent="0.25">
      <c r="C27">
        <v>2022</v>
      </c>
      <c r="D27">
        <v>12</v>
      </c>
      <c r="E27" s="17">
        <f t="shared" si="17"/>
        <v>11590.864556265349</v>
      </c>
      <c r="F27" s="17">
        <f t="shared" si="16"/>
        <v>3500</v>
      </c>
      <c r="G27" s="31">
        <f t="shared" si="18"/>
        <v>695.45187337592097</v>
      </c>
      <c r="H27" s="17">
        <f t="shared" si="15"/>
        <v>8786.3164296412706</v>
      </c>
      <c r="J27" s="18"/>
      <c r="K27" s="18"/>
      <c r="L27" s="18"/>
      <c r="M27" s="18"/>
      <c r="N27" s="18"/>
      <c r="O27" s="18"/>
    </row>
    <row r="28" spans="3:76" x14ac:dyDescent="0.25">
      <c r="C28">
        <v>2023</v>
      </c>
      <c r="D28">
        <v>12</v>
      </c>
      <c r="E28" s="17">
        <f t="shared" si="17"/>
        <v>8786.3164296412706</v>
      </c>
      <c r="F28" s="17">
        <f t="shared" si="16"/>
        <v>3500</v>
      </c>
      <c r="G28" s="31">
        <f t="shared" si="18"/>
        <v>527.1789857784762</v>
      </c>
      <c r="H28" s="17">
        <f t="shared" si="15"/>
        <v>5813.4954154197467</v>
      </c>
      <c r="J28" s="18"/>
      <c r="K28" s="18"/>
      <c r="L28" s="18"/>
      <c r="M28" s="18"/>
      <c r="N28" s="18"/>
      <c r="O28" s="18"/>
    </row>
    <row r="29" spans="3:76" x14ac:dyDescent="0.25">
      <c r="C29">
        <v>2024</v>
      </c>
      <c r="D29">
        <v>12</v>
      </c>
      <c r="E29" s="17">
        <f t="shared" si="17"/>
        <v>5813.4954154197467</v>
      </c>
      <c r="F29" s="17">
        <f t="shared" si="16"/>
        <v>3500</v>
      </c>
      <c r="G29" s="31">
        <f t="shared" si="18"/>
        <v>348.80972492518481</v>
      </c>
      <c r="H29" s="17">
        <f t="shared" si="15"/>
        <v>2662.3051403449317</v>
      </c>
      <c r="J29" s="18"/>
      <c r="K29" s="18"/>
      <c r="L29" s="18"/>
      <c r="M29" s="18"/>
      <c r="N29" s="18"/>
      <c r="O29" s="18"/>
    </row>
    <row r="30" spans="3:76" x14ac:dyDescent="0.25">
      <c r="C30">
        <v>2025</v>
      </c>
      <c r="D30">
        <v>9</v>
      </c>
      <c r="E30" s="17">
        <f t="shared" si="17"/>
        <v>2662.3051403449317</v>
      </c>
      <c r="F30" s="17">
        <f t="shared" si="16"/>
        <v>2625</v>
      </c>
      <c r="G30" s="31">
        <f t="shared" si="18"/>
        <v>159.73830842069589</v>
      </c>
      <c r="H30" s="17">
        <f t="shared" si="15"/>
        <v>197.0434487656276</v>
      </c>
      <c r="J30" s="18"/>
      <c r="K30" s="18"/>
      <c r="L30" s="18"/>
      <c r="M30" s="18"/>
      <c r="N30" s="18"/>
      <c r="O30" s="18"/>
    </row>
    <row r="31" spans="3:76" x14ac:dyDescent="0.25">
      <c r="F31" s="21">
        <f>SUM(F24:F30)</f>
        <v>21000</v>
      </c>
      <c r="G31" s="21">
        <f>SUM(G24:G30)</f>
        <v>3589.3409244995628</v>
      </c>
    </row>
    <row r="33" spans="6:7" x14ac:dyDescent="0.25">
      <c r="F33" s="32" t="s">
        <v>27</v>
      </c>
      <c r="G33" s="31">
        <f>G31-SUM(H14:BX14)</f>
        <v>201.37506063360115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4271D-9608-4FC9-A157-F20AD5677EE2}">
  <dimension ref="A1:R75"/>
  <sheetViews>
    <sheetView tabSelected="1" topLeftCell="A4" workbookViewId="0">
      <selection activeCell="F4" sqref="F4"/>
    </sheetView>
  </sheetViews>
  <sheetFormatPr defaultRowHeight="15" x14ac:dyDescent="0.25"/>
  <cols>
    <col min="2" max="2" width="9.140625" style="35"/>
    <col min="3" max="3" width="26" style="36" bestFit="1" customWidth="1"/>
    <col min="4" max="4" width="9.140625" style="36"/>
    <col min="5" max="5" width="10.42578125" style="36" bestFit="1" customWidth="1"/>
    <col min="7" max="7" width="11.42578125" bestFit="1" customWidth="1"/>
    <col min="8" max="8" width="13.28515625" bestFit="1" customWidth="1"/>
    <col min="16" max="16" width="9.42578125" bestFit="1" customWidth="1"/>
    <col min="17" max="17" width="10.85546875" bestFit="1" customWidth="1"/>
  </cols>
  <sheetData>
    <row r="1" spans="1:18" x14ac:dyDescent="0.25">
      <c r="A1" t="s">
        <v>29</v>
      </c>
      <c r="B1" s="35" t="s">
        <v>30</v>
      </c>
      <c r="C1" s="36" t="s">
        <v>37</v>
      </c>
      <c r="D1" s="36" t="s">
        <v>31</v>
      </c>
      <c r="E1" s="36" t="s">
        <v>16</v>
      </c>
      <c r="F1" t="s">
        <v>39</v>
      </c>
      <c r="G1" t="s">
        <v>34</v>
      </c>
      <c r="H1" t="s">
        <v>35</v>
      </c>
      <c r="I1" t="s">
        <v>36</v>
      </c>
      <c r="J1" t="s">
        <v>38</v>
      </c>
      <c r="K1" t="s">
        <v>32</v>
      </c>
      <c r="L1">
        <v>21000</v>
      </c>
      <c r="P1" s="43">
        <v>337.6195737381974</v>
      </c>
      <c r="Q1" s="43" t="s">
        <v>40</v>
      </c>
    </row>
    <row r="2" spans="1:18" x14ac:dyDescent="0.25">
      <c r="A2">
        <v>0</v>
      </c>
      <c r="B2" s="35">
        <f t="shared" ref="B2:B33" si="0">EDATE(DATE(2019,10,1),A2)</f>
        <v>43739</v>
      </c>
      <c r="C2" s="38">
        <f>IF(Tabel1[[#This Row],[mois]]&lt;2,0,IF(Tabel1[[#This Row],[mois]]&gt;2,-1,-3)*$P$1)</f>
        <v>0</v>
      </c>
      <c r="D2" s="39">
        <f>IF(Tabel1[[#This Row],[mois]]&gt;2,E1*$L$3,0)</f>
        <v>0</v>
      </c>
      <c r="E2" s="40">
        <f>SUM(IF(ROW()=2,$L$1,E1),Tabel1[[#This Row],[payment mensuel a la fin di mois]],Tabel1[[#This Row],[interst]])</f>
        <v>21000</v>
      </c>
      <c r="F2">
        <f>IF(OR(Tabel1[[#This Row],[mois]]=72,MONTH(Tabel1[[#This Row],[date]])=12),MIN(Tabel1[[#This Row],[mois]]+1,12,82-Tabel1[[#This Row],[mois]])*-$P$2,0)</f>
        <v>0</v>
      </c>
      <c r="G2" s="36">
        <f>IF(OR(Tabel1[[#This Row],[mois]]=72,AND(MONTH(Tabel1[[#This Row],[date]])=12,YEAR(Tabel1[[#This Row],[date]])&gt;2019)),H1*$L$2*MIN(Tabel1[[#This Row],[mois]],12,72-Tabel1[[#This Row],[mois]]+10)/12,0)</f>
        <v>0</v>
      </c>
      <c r="H2" s="40">
        <f>IF(ROW()=2,$L$1,SUM(Tabel1[[#This Row],[payment annual 31/12]],Tabel1[[#This Row],[interst2]],H1))</f>
        <v>21000</v>
      </c>
      <c r="I2" t="str">
        <f>IF(MONTH(Tabel1[[#This Row],[date]])=12,Tabel1[[#This Row],[remaining]]-Tabel1[[#This Row],[remaining2]],"-")</f>
        <v>-</v>
      </c>
      <c r="K2" t="s">
        <v>33</v>
      </c>
      <c r="L2" s="19">
        <v>0.06</v>
      </c>
      <c r="P2" s="43">
        <v>346.16272885907995</v>
      </c>
      <c r="Q2" s="43">
        <f>+P2*12</f>
        <v>4153.9527463089598</v>
      </c>
      <c r="R2" t="s">
        <v>41</v>
      </c>
    </row>
    <row r="3" spans="1:18" x14ac:dyDescent="0.25">
      <c r="A3">
        <v>1</v>
      </c>
      <c r="B3" s="35">
        <f t="shared" si="0"/>
        <v>43770</v>
      </c>
      <c r="C3" s="38">
        <f>IF(Tabel1[[#This Row],[mois]]&lt;2,0,IF(Tabel1[[#This Row],[mois]]&gt;2,-1,-3)*$P$1)</f>
        <v>0</v>
      </c>
      <c r="D3" s="39">
        <f>IF(Tabel1[[#This Row],[mois]]&gt;2,E2*$L$3,0)</f>
        <v>0</v>
      </c>
      <c r="E3" s="40">
        <f>SUM(IF(ROW()=2,$L$1,E2),Tabel1[[#This Row],[payment mensuel a la fin di mois]],Tabel1[[#This Row],[interst]])</f>
        <v>21000</v>
      </c>
      <c r="F3">
        <f>IF(OR(Tabel1[[#This Row],[mois]]=72,MONTH(Tabel1[[#This Row],[date]])=12),MIN(Tabel1[[#This Row],[mois]]+1,12,82-Tabel1[[#This Row],[mois]])*-$P$2,0)</f>
        <v>0</v>
      </c>
      <c r="G3" s="36">
        <f>IF(OR(Tabel1[[#This Row],[mois]]=72,AND(MONTH(Tabel1[[#This Row],[date]])=12,YEAR(Tabel1[[#This Row],[date]])&gt;2019)),H2*$L$2*MIN(Tabel1[[#This Row],[mois]],12,72-Tabel1[[#This Row],[mois]]+10)/12,0)</f>
        <v>0</v>
      </c>
      <c r="H3" s="36">
        <f>IF(ROW()=2,$L$1,SUM(Tabel1[[#This Row],[payment annual 31/12]],Tabel1[[#This Row],[interst2]],H2))</f>
        <v>21000</v>
      </c>
      <c r="I3" t="str">
        <f>IF(MONTH(Tabel1[[#This Row],[date]])=12,Tabel1[[#This Row],[remaining]]-Tabel1[[#This Row],[remaining2]],"-")</f>
        <v>-</v>
      </c>
      <c r="K3" t="s">
        <v>42</v>
      </c>
      <c r="L3" s="37">
        <f>+POWER(L2+1,1/12)-1</f>
        <v>4.8675505653430484E-3</v>
      </c>
      <c r="N3" s="41">
        <f>POWER(1+L3,12)-1</f>
        <v>6.0000000000000719E-2</v>
      </c>
    </row>
    <row r="4" spans="1:18" x14ac:dyDescent="0.25">
      <c r="A4">
        <v>2</v>
      </c>
      <c r="B4" s="35">
        <f t="shared" si="0"/>
        <v>43800</v>
      </c>
      <c r="C4" s="38">
        <f>IF(Tabel1[[#This Row],[mois]]&lt;2,0,IF(Tabel1[[#This Row],[mois]]&gt;2,-1,-3)*$P$1)</f>
        <v>-1012.8587212145922</v>
      </c>
      <c r="D4" s="39">
        <f>IF(Tabel1[[#This Row],[mois]]&gt;2,E3*$L$3,0)</f>
        <v>0</v>
      </c>
      <c r="E4" s="40">
        <f>SUM(IF(ROW()=2,$L$1,E3),Tabel1[[#This Row],[payment mensuel a la fin di mois]],Tabel1[[#This Row],[interst]])</f>
        <v>19987.141278785406</v>
      </c>
      <c r="F4">
        <f>IF(OR(Tabel1[[#This Row],[mois]]=72,MONTH(Tabel1[[#This Row],[date]])=12),MIN(Tabel1[[#This Row],[mois]]+1,12,82-Tabel1[[#This Row],[mois]])*-$P$2,0)</f>
        <v>-1038.48818657724</v>
      </c>
      <c r="G4" s="36">
        <f>IF(OR(Tabel1[[#This Row],[mois]]=72,AND(MONTH(Tabel1[[#This Row],[date]])=12,YEAR(Tabel1[[#This Row],[date]])&gt;2019)),H3*$L$2*MIN(Tabel1[[#This Row],[mois]],12,72-Tabel1[[#This Row],[mois]]+10)/12,0)</f>
        <v>0</v>
      </c>
      <c r="H4" s="36">
        <f>IF(ROW()=2,$L$1,SUM(Tabel1[[#This Row],[payment annual 31/12]],Tabel1[[#This Row],[interst2]],H3))</f>
        <v>19961.51181342276</v>
      </c>
      <c r="I4">
        <f>IF(MONTH(Tabel1[[#This Row],[date]])=12,Tabel1[[#This Row],[remaining]]-Tabel1[[#This Row],[remaining2]],"-")</f>
        <v>25.629465362646442</v>
      </c>
      <c r="Q4" s="42"/>
    </row>
    <row r="5" spans="1:18" x14ac:dyDescent="0.25">
      <c r="A5">
        <v>3</v>
      </c>
      <c r="B5" s="35">
        <f t="shared" si="0"/>
        <v>43831</v>
      </c>
      <c r="C5" s="38">
        <f>IF(Tabel1[[#This Row],[mois]]&lt;2,0,IF(Tabel1[[#This Row],[mois]]&gt;2,-1,-3)*$P$1)</f>
        <v>-337.6195737381974</v>
      </c>
      <c r="D5" s="39">
        <f>IF(Tabel1[[#This Row],[mois]]&gt;2,E4*$L$3,0)</f>
        <v>97.288420831143284</v>
      </c>
      <c r="E5" s="40">
        <f>SUM(IF(ROW()=2,$L$1,E4),Tabel1[[#This Row],[payment mensuel a la fin di mois]],Tabel1[[#This Row],[interst]])</f>
        <v>19746.810125878354</v>
      </c>
      <c r="F5">
        <f>IF(OR(Tabel1[[#This Row],[mois]]=72,MONTH(Tabel1[[#This Row],[date]])=12),MIN(Tabel1[[#This Row],[mois]]+1,12,82-Tabel1[[#This Row],[mois]])*-$P$2,0)</f>
        <v>0</v>
      </c>
      <c r="G5" s="36">
        <f>IF(OR(Tabel1[[#This Row],[mois]]=72,AND(MONTH(Tabel1[[#This Row],[date]])=12,YEAR(Tabel1[[#This Row],[date]])&gt;2019)),H4*$L$2*MIN(Tabel1[[#This Row],[mois]],12,72-Tabel1[[#This Row],[mois]]+10)/12,0)</f>
        <v>0</v>
      </c>
      <c r="H5" s="36">
        <f>IF(ROW()=2,$L$1,SUM(Tabel1[[#This Row],[payment annual 31/12]],Tabel1[[#This Row],[interst2]],H4))</f>
        <v>19961.51181342276</v>
      </c>
      <c r="I5" t="str">
        <f>IF(MONTH(Tabel1[[#This Row],[date]])=12,Tabel1[[#This Row],[remaining]]-Tabel1[[#This Row],[remaining2]],"-")</f>
        <v>-</v>
      </c>
    </row>
    <row r="6" spans="1:18" x14ac:dyDescent="0.25">
      <c r="A6">
        <v>4</v>
      </c>
      <c r="B6" s="35">
        <f t="shared" si="0"/>
        <v>43862</v>
      </c>
      <c r="C6" s="38">
        <f>IF(Tabel1[[#This Row],[mois]]&lt;2,0,IF(Tabel1[[#This Row],[mois]]&gt;2,-1,-3)*$P$1)</f>
        <v>-337.6195737381974</v>
      </c>
      <c r="D6" s="39">
        <f>IF(Tabel1[[#This Row],[mois]]&gt;2,E5*$L$3,0)</f>
        <v>96.118596791941016</v>
      </c>
      <c r="E6" s="40">
        <f>SUM(IF(ROW()=2,$L$1,E5),Tabel1[[#This Row],[payment mensuel a la fin di mois]],Tabel1[[#This Row],[interst]])</f>
        <v>19505.309148932098</v>
      </c>
      <c r="F6">
        <f>IF(OR(Tabel1[[#This Row],[mois]]=72,MONTH(Tabel1[[#This Row],[date]])=12),MIN(Tabel1[[#This Row],[mois]]+1,12,82-Tabel1[[#This Row],[mois]])*-$P$2,0)</f>
        <v>0</v>
      </c>
      <c r="G6" s="36">
        <f>IF(OR(Tabel1[[#This Row],[mois]]=72,AND(MONTH(Tabel1[[#This Row],[date]])=12,YEAR(Tabel1[[#This Row],[date]])&gt;2019)),H5*$L$2*MIN(Tabel1[[#This Row],[mois]],12,72-Tabel1[[#This Row],[mois]]+10)/12,0)</f>
        <v>0</v>
      </c>
      <c r="H6" s="36">
        <f>IF(ROW()=2,$L$1,SUM(Tabel1[[#This Row],[payment annual 31/12]],Tabel1[[#This Row],[interst2]],H5))</f>
        <v>19961.51181342276</v>
      </c>
      <c r="I6" t="str">
        <f>IF(MONTH(Tabel1[[#This Row],[date]])=12,Tabel1[[#This Row],[remaining]]-Tabel1[[#This Row],[remaining2]],"-")</f>
        <v>-</v>
      </c>
    </row>
    <row r="7" spans="1:18" x14ac:dyDescent="0.25">
      <c r="A7">
        <v>5</v>
      </c>
      <c r="B7" s="35">
        <f t="shared" si="0"/>
        <v>43891</v>
      </c>
      <c r="C7" s="38">
        <f>IF(Tabel1[[#This Row],[mois]]&lt;2,0,IF(Tabel1[[#This Row],[mois]]&gt;2,-1,-3)*$P$1)</f>
        <v>-337.6195737381974</v>
      </c>
      <c r="D7" s="39">
        <f>IF(Tabel1[[#This Row],[mois]]&gt;2,E6*$L$3,0)</f>
        <v>94.943078575075361</v>
      </c>
      <c r="E7" s="40">
        <f>SUM(IF(ROW()=2,$L$1,E6),Tabel1[[#This Row],[payment mensuel a la fin di mois]],Tabel1[[#This Row],[interst]])</f>
        <v>19262.632653768975</v>
      </c>
      <c r="F7">
        <f>IF(OR(Tabel1[[#This Row],[mois]]=72,MONTH(Tabel1[[#This Row],[date]])=12),MIN(Tabel1[[#This Row],[mois]]+1,12,82-Tabel1[[#This Row],[mois]])*-$P$2,0)</f>
        <v>0</v>
      </c>
      <c r="G7" s="36">
        <f>IF(OR(Tabel1[[#This Row],[mois]]=72,AND(MONTH(Tabel1[[#This Row],[date]])=12,YEAR(Tabel1[[#This Row],[date]])&gt;2019)),H6*$L$2*MIN(Tabel1[[#This Row],[mois]],12,72-Tabel1[[#This Row],[mois]]+10)/12,0)</f>
        <v>0</v>
      </c>
      <c r="H7" s="36">
        <f>IF(ROW()=2,$L$1,SUM(Tabel1[[#This Row],[payment annual 31/12]],Tabel1[[#This Row],[interst2]],H6))</f>
        <v>19961.51181342276</v>
      </c>
      <c r="I7" t="str">
        <f>IF(MONTH(Tabel1[[#This Row],[date]])=12,Tabel1[[#This Row],[remaining]]-Tabel1[[#This Row],[remaining2]],"-")</f>
        <v>-</v>
      </c>
    </row>
    <row r="8" spans="1:18" x14ac:dyDescent="0.25">
      <c r="A8">
        <v>6</v>
      </c>
      <c r="B8" s="35">
        <f t="shared" si="0"/>
        <v>43922</v>
      </c>
      <c r="C8" s="38">
        <f>IF(Tabel1[[#This Row],[mois]]&lt;2,0,IF(Tabel1[[#This Row],[mois]]&gt;2,-1,-3)*$P$1)</f>
        <v>-337.6195737381974</v>
      </c>
      <c r="D8" s="39">
        <f>IF(Tabel1[[#This Row],[mois]]&gt;2,E7*$L$3,0)</f>
        <v>93.761838463848633</v>
      </c>
      <c r="E8" s="40">
        <f>SUM(IF(ROW()=2,$L$1,E7),Tabel1[[#This Row],[payment mensuel a la fin di mois]],Tabel1[[#This Row],[interst]])</f>
        <v>19018.774918494626</v>
      </c>
      <c r="F8">
        <f>IF(OR(Tabel1[[#This Row],[mois]]=72,MONTH(Tabel1[[#This Row],[date]])=12),MIN(Tabel1[[#This Row],[mois]]+1,12,82-Tabel1[[#This Row],[mois]])*-$P$2,0)</f>
        <v>0</v>
      </c>
      <c r="G8" s="36">
        <f>IF(OR(Tabel1[[#This Row],[mois]]=72,AND(MONTH(Tabel1[[#This Row],[date]])=12,YEAR(Tabel1[[#This Row],[date]])&gt;2019)),H7*$L$2*MIN(Tabel1[[#This Row],[mois]],12,72-Tabel1[[#This Row],[mois]]+10)/12,0)</f>
        <v>0</v>
      </c>
      <c r="H8" s="36">
        <f>IF(ROW()=2,$L$1,SUM(Tabel1[[#This Row],[payment annual 31/12]],Tabel1[[#This Row],[interst2]],H7))</f>
        <v>19961.51181342276</v>
      </c>
      <c r="I8" t="str">
        <f>IF(MONTH(Tabel1[[#This Row],[date]])=12,Tabel1[[#This Row],[remaining]]-Tabel1[[#This Row],[remaining2]],"-")</f>
        <v>-</v>
      </c>
    </row>
    <row r="9" spans="1:18" x14ac:dyDescent="0.25">
      <c r="A9">
        <v>7</v>
      </c>
      <c r="B9" s="35">
        <f t="shared" si="0"/>
        <v>43952</v>
      </c>
      <c r="C9" s="38">
        <f>IF(Tabel1[[#This Row],[mois]]&lt;2,0,IF(Tabel1[[#This Row],[mois]]&gt;2,-1,-3)*$P$1)</f>
        <v>-337.6195737381974</v>
      </c>
      <c r="D9" s="39">
        <f>IF(Tabel1[[#This Row],[mois]]&gt;2,E8*$L$3,0)</f>
        <v>92.574848606650704</v>
      </c>
      <c r="E9" s="40">
        <f>SUM(IF(ROW()=2,$L$1,E8),Tabel1[[#This Row],[payment mensuel a la fin di mois]],Tabel1[[#This Row],[interst]])</f>
        <v>18773.730193363081</v>
      </c>
      <c r="F9">
        <f>IF(OR(Tabel1[[#This Row],[mois]]=72,MONTH(Tabel1[[#This Row],[date]])=12),MIN(Tabel1[[#This Row],[mois]]+1,12,82-Tabel1[[#This Row],[mois]])*-$P$2,0)</f>
        <v>0</v>
      </c>
      <c r="G9" s="36">
        <f>IF(OR(Tabel1[[#This Row],[mois]]=72,AND(MONTH(Tabel1[[#This Row],[date]])=12,YEAR(Tabel1[[#This Row],[date]])&gt;2019)),H8*$L$2*MIN(Tabel1[[#This Row],[mois]],12,72-Tabel1[[#This Row],[mois]]+10)/12,0)</f>
        <v>0</v>
      </c>
      <c r="H9" s="36">
        <f>IF(ROW()=2,$L$1,SUM(Tabel1[[#This Row],[payment annual 31/12]],Tabel1[[#This Row],[interst2]],H8))</f>
        <v>19961.51181342276</v>
      </c>
      <c r="I9" t="str">
        <f>IF(MONTH(Tabel1[[#This Row],[date]])=12,Tabel1[[#This Row],[remaining]]-Tabel1[[#This Row],[remaining2]],"-")</f>
        <v>-</v>
      </c>
    </row>
    <row r="10" spans="1:18" x14ac:dyDescent="0.25">
      <c r="A10">
        <v>8</v>
      </c>
      <c r="B10" s="35">
        <f t="shared" si="0"/>
        <v>43983</v>
      </c>
      <c r="C10" s="38">
        <f>IF(Tabel1[[#This Row],[mois]]&lt;2,0,IF(Tabel1[[#This Row],[mois]]&gt;2,-1,-3)*$P$1)</f>
        <v>-337.6195737381974</v>
      </c>
      <c r="D10" s="39">
        <f>IF(Tabel1[[#This Row],[mois]]&gt;2,E9*$L$3,0)</f>
        <v>91.382081016302322</v>
      </c>
      <c r="E10" s="40">
        <f>SUM(IF(ROW()=2,$L$1,E9),Tabel1[[#This Row],[payment mensuel a la fin di mois]],Tabel1[[#This Row],[interst]])</f>
        <v>18527.492700641185</v>
      </c>
      <c r="F10">
        <f>IF(OR(Tabel1[[#This Row],[mois]]=72,MONTH(Tabel1[[#This Row],[date]])=12),MIN(Tabel1[[#This Row],[mois]]+1,12,82-Tabel1[[#This Row],[mois]])*-$P$2,0)</f>
        <v>0</v>
      </c>
      <c r="G10" s="36">
        <f>IF(OR(Tabel1[[#This Row],[mois]]=72,AND(MONTH(Tabel1[[#This Row],[date]])=12,YEAR(Tabel1[[#This Row],[date]])&gt;2019)),H9*$L$2*MIN(Tabel1[[#This Row],[mois]],12,72-Tabel1[[#This Row],[mois]]+10)/12,0)</f>
        <v>0</v>
      </c>
      <c r="H10" s="36">
        <f>IF(ROW()=2,$L$1,SUM(Tabel1[[#This Row],[payment annual 31/12]],Tabel1[[#This Row],[interst2]],H9))</f>
        <v>19961.51181342276</v>
      </c>
      <c r="I10" t="str">
        <f>IF(MONTH(Tabel1[[#This Row],[date]])=12,Tabel1[[#This Row],[remaining]]-Tabel1[[#This Row],[remaining2]],"-")</f>
        <v>-</v>
      </c>
    </row>
    <row r="11" spans="1:18" x14ac:dyDescent="0.25">
      <c r="A11">
        <v>9</v>
      </c>
      <c r="B11" s="35">
        <f t="shared" si="0"/>
        <v>44013</v>
      </c>
      <c r="C11" s="38">
        <f>IF(Tabel1[[#This Row],[mois]]&lt;2,0,IF(Tabel1[[#This Row],[mois]]&gt;2,-1,-3)*$P$1)</f>
        <v>-337.6195737381974</v>
      </c>
      <c r="D11" s="39">
        <f>IF(Tabel1[[#This Row],[mois]]&gt;2,E10*$L$3,0)</f>
        <v>90.183507569395204</v>
      </c>
      <c r="E11" s="40">
        <f>SUM(IF(ROW()=2,$L$1,E10),Tabel1[[#This Row],[payment mensuel a la fin di mois]],Tabel1[[#This Row],[interst]])</f>
        <v>18280.056634472385</v>
      </c>
      <c r="F11">
        <f>IF(OR(Tabel1[[#This Row],[mois]]=72,MONTH(Tabel1[[#This Row],[date]])=12),MIN(Tabel1[[#This Row],[mois]]+1,12,82-Tabel1[[#This Row],[mois]])*-$P$2,0)</f>
        <v>0</v>
      </c>
      <c r="G11" s="36">
        <f>IF(OR(Tabel1[[#This Row],[mois]]=72,AND(MONTH(Tabel1[[#This Row],[date]])=12,YEAR(Tabel1[[#This Row],[date]])&gt;2019)),H10*$L$2*MIN(Tabel1[[#This Row],[mois]],12,72-Tabel1[[#This Row],[mois]]+10)/12,0)</f>
        <v>0</v>
      </c>
      <c r="H11" s="36">
        <f>IF(ROW()=2,$L$1,SUM(Tabel1[[#This Row],[payment annual 31/12]],Tabel1[[#This Row],[interst2]],H10))</f>
        <v>19961.51181342276</v>
      </c>
      <c r="I11" t="str">
        <f>IF(MONTH(Tabel1[[#This Row],[date]])=12,Tabel1[[#This Row],[remaining]]-Tabel1[[#This Row],[remaining2]],"-")</f>
        <v>-</v>
      </c>
    </row>
    <row r="12" spans="1:18" x14ac:dyDescent="0.25">
      <c r="A12">
        <v>10</v>
      </c>
      <c r="B12" s="35">
        <f t="shared" si="0"/>
        <v>44044</v>
      </c>
      <c r="C12" s="38">
        <f>IF(Tabel1[[#This Row],[mois]]&lt;2,0,IF(Tabel1[[#This Row],[mois]]&gt;2,-1,-3)*$P$1)</f>
        <v>-337.6195737381974</v>
      </c>
      <c r="D12" s="39">
        <f>IF(Tabel1[[#This Row],[mois]]&gt;2,E11*$L$3,0)</f>
        <v>88.979100005628993</v>
      </c>
      <c r="E12" s="40">
        <f>SUM(IF(ROW()=2,$L$1,E11),Tabel1[[#This Row],[payment mensuel a la fin di mois]],Tabel1[[#This Row],[interst]])</f>
        <v>18031.416160739816</v>
      </c>
      <c r="F12">
        <f>IF(OR(Tabel1[[#This Row],[mois]]=72,MONTH(Tabel1[[#This Row],[date]])=12),MIN(Tabel1[[#This Row],[mois]]+1,12,82-Tabel1[[#This Row],[mois]])*-$P$2,0)</f>
        <v>0</v>
      </c>
      <c r="G12" s="36">
        <f>IF(OR(Tabel1[[#This Row],[mois]]=72,AND(MONTH(Tabel1[[#This Row],[date]])=12,YEAR(Tabel1[[#This Row],[date]])&gt;2019)),H11*$L$2*MIN(Tabel1[[#This Row],[mois]],12,72-Tabel1[[#This Row],[mois]]+10)/12,0)</f>
        <v>0</v>
      </c>
      <c r="H12" s="36">
        <f>IF(ROW()=2,$L$1,SUM(Tabel1[[#This Row],[payment annual 31/12]],Tabel1[[#This Row],[interst2]],H11))</f>
        <v>19961.51181342276</v>
      </c>
      <c r="I12" t="str">
        <f>IF(MONTH(Tabel1[[#This Row],[date]])=12,Tabel1[[#This Row],[remaining]]-Tabel1[[#This Row],[remaining2]],"-")</f>
        <v>-</v>
      </c>
    </row>
    <row r="13" spans="1:18" x14ac:dyDescent="0.25">
      <c r="A13">
        <v>11</v>
      </c>
      <c r="B13" s="35">
        <f t="shared" si="0"/>
        <v>44075</v>
      </c>
      <c r="C13" s="38">
        <f>IF(Tabel1[[#This Row],[mois]]&lt;2,0,IF(Tabel1[[#This Row],[mois]]&gt;2,-1,-3)*$P$1)</f>
        <v>-337.6195737381974</v>
      </c>
      <c r="D13" s="39">
        <f>IF(Tabel1[[#This Row],[mois]]&gt;2,E12*$L$3,0)</f>
        <v>87.768829927144878</v>
      </c>
      <c r="E13" s="40">
        <f>SUM(IF(ROW()=2,$L$1,E12),Tabel1[[#This Row],[payment mensuel a la fin di mois]],Tabel1[[#This Row],[interst]])</f>
        <v>17781.565416928763</v>
      </c>
      <c r="F13">
        <f>IF(OR(Tabel1[[#This Row],[mois]]=72,MONTH(Tabel1[[#This Row],[date]])=12),MIN(Tabel1[[#This Row],[mois]]+1,12,82-Tabel1[[#This Row],[mois]])*-$P$2,0)</f>
        <v>0</v>
      </c>
      <c r="G13" s="36">
        <f>IF(OR(Tabel1[[#This Row],[mois]]=72,AND(MONTH(Tabel1[[#This Row],[date]])=12,YEAR(Tabel1[[#This Row],[date]])&gt;2019)),H12*$L$2*MIN(Tabel1[[#This Row],[mois]],12,72-Tabel1[[#This Row],[mois]]+10)/12,0)</f>
        <v>0</v>
      </c>
      <c r="H13" s="36">
        <f>IF(ROW()=2,$L$1,SUM(Tabel1[[#This Row],[payment annual 31/12]],Tabel1[[#This Row],[interst2]],H12))</f>
        <v>19961.51181342276</v>
      </c>
      <c r="I13" t="str">
        <f>IF(MONTH(Tabel1[[#This Row],[date]])=12,Tabel1[[#This Row],[remaining]]-Tabel1[[#This Row],[remaining2]],"-")</f>
        <v>-</v>
      </c>
    </row>
    <row r="14" spans="1:18" x14ac:dyDescent="0.25">
      <c r="A14">
        <v>12</v>
      </c>
      <c r="B14" s="35">
        <f t="shared" si="0"/>
        <v>44105</v>
      </c>
      <c r="C14" s="38">
        <f>IF(Tabel1[[#This Row],[mois]]&lt;2,0,IF(Tabel1[[#This Row],[mois]]&gt;2,-1,-3)*$P$1)</f>
        <v>-337.6195737381974</v>
      </c>
      <c r="D14" s="39">
        <f>IF(Tabel1[[#This Row],[mois]]&gt;2,E13*$L$3,0)</f>
        <v>86.552668797856001</v>
      </c>
      <c r="E14" s="40">
        <f>SUM(IF(ROW()=2,$L$1,E13),Tabel1[[#This Row],[payment mensuel a la fin di mois]],Tabel1[[#This Row],[interst]])</f>
        <v>17530.498511988422</v>
      </c>
      <c r="F14">
        <f>IF(OR(Tabel1[[#This Row],[mois]]=72,MONTH(Tabel1[[#This Row],[date]])=12),MIN(Tabel1[[#This Row],[mois]]+1,12,82-Tabel1[[#This Row],[mois]])*-$P$2,0)</f>
        <v>0</v>
      </c>
      <c r="G14" s="36">
        <f>IF(OR(Tabel1[[#This Row],[mois]]=72,AND(MONTH(Tabel1[[#This Row],[date]])=12,YEAR(Tabel1[[#This Row],[date]])&gt;2019)),H13*$L$2*MIN(Tabel1[[#This Row],[mois]],12,72-Tabel1[[#This Row],[mois]]+10)/12,0)</f>
        <v>0</v>
      </c>
      <c r="H14" s="36">
        <f>IF(ROW()=2,$L$1,SUM(Tabel1[[#This Row],[payment annual 31/12]],Tabel1[[#This Row],[interst2]],H13))</f>
        <v>19961.51181342276</v>
      </c>
      <c r="I14" t="str">
        <f>IF(MONTH(Tabel1[[#This Row],[date]])=12,Tabel1[[#This Row],[remaining]]-Tabel1[[#This Row],[remaining2]],"-")</f>
        <v>-</v>
      </c>
    </row>
    <row r="15" spans="1:18" x14ac:dyDescent="0.25">
      <c r="A15">
        <v>13</v>
      </c>
      <c r="B15" s="35">
        <f t="shared" si="0"/>
        <v>44136</v>
      </c>
      <c r="C15" s="38">
        <f>IF(Tabel1[[#This Row],[mois]]&lt;2,0,IF(Tabel1[[#This Row],[mois]]&gt;2,-1,-3)*$P$1)</f>
        <v>-337.6195737381974</v>
      </c>
      <c r="D15" s="39">
        <f>IF(Tabel1[[#This Row],[mois]]&gt;2,E14*$L$3,0)</f>
        <v>85.330587942774713</v>
      </c>
      <c r="E15" s="40">
        <f>SUM(IF(ROW()=2,$L$1,E14),Tabel1[[#This Row],[payment mensuel a la fin di mois]],Tabel1[[#This Row],[interst]])</f>
        <v>17278.209526193001</v>
      </c>
      <c r="F15">
        <f>IF(OR(Tabel1[[#This Row],[mois]]=72,MONTH(Tabel1[[#This Row],[date]])=12),MIN(Tabel1[[#This Row],[mois]]+1,12,82-Tabel1[[#This Row],[mois]])*-$P$2,0)</f>
        <v>0</v>
      </c>
      <c r="G15" s="36">
        <f>IF(OR(Tabel1[[#This Row],[mois]]=72,AND(MONTH(Tabel1[[#This Row],[date]])=12,YEAR(Tabel1[[#This Row],[date]])&gt;2019)),H14*$L$2*MIN(Tabel1[[#This Row],[mois]],12,72-Tabel1[[#This Row],[mois]]+10)/12,0)</f>
        <v>0</v>
      </c>
      <c r="H15" s="36">
        <f>IF(ROW()=2,$L$1,SUM(Tabel1[[#This Row],[payment annual 31/12]],Tabel1[[#This Row],[interst2]],H14))</f>
        <v>19961.51181342276</v>
      </c>
      <c r="I15" t="str">
        <f>IF(MONTH(Tabel1[[#This Row],[date]])=12,Tabel1[[#This Row],[remaining]]-Tabel1[[#This Row],[remaining2]],"-")</f>
        <v>-</v>
      </c>
    </row>
    <row r="16" spans="1:18" x14ac:dyDescent="0.25">
      <c r="A16">
        <v>14</v>
      </c>
      <c r="B16" s="35">
        <f t="shared" si="0"/>
        <v>44166</v>
      </c>
      <c r="C16" s="38">
        <f>IF(Tabel1[[#This Row],[mois]]&lt;2,0,IF(Tabel1[[#This Row],[mois]]&gt;2,-1,-3)*$P$1)</f>
        <v>-337.6195737381974</v>
      </c>
      <c r="D16" s="39">
        <f>IF(Tabel1[[#This Row],[mois]]&gt;2,E15*$L$3,0)</f>
        <v>84.102558547336386</v>
      </c>
      <c r="E16" s="40">
        <f>SUM(IF(ROW()=2,$L$1,E15),Tabel1[[#This Row],[payment mensuel a la fin di mois]],Tabel1[[#This Row],[interst]])</f>
        <v>17024.69251100214</v>
      </c>
      <c r="F16">
        <f>IF(OR(Tabel1[[#This Row],[mois]]=72,MONTH(Tabel1[[#This Row],[date]])=12),MIN(Tabel1[[#This Row],[mois]]+1,12,82-Tabel1[[#This Row],[mois]])*-$P$2,0)</f>
        <v>-4153.9527463089598</v>
      </c>
      <c r="G16" s="36">
        <f>IF(OR(Tabel1[[#This Row],[mois]]=72,AND(MONTH(Tabel1[[#This Row],[date]])=12,YEAR(Tabel1[[#This Row],[date]])&gt;2019)),H15*$L$2*MIN(Tabel1[[#This Row],[mois]],12,72-Tabel1[[#This Row],[mois]]+10)/12,0)</f>
        <v>1197.6907088053656</v>
      </c>
      <c r="H16" s="36">
        <f>IF(ROW()=2,$L$1,SUM(Tabel1[[#This Row],[payment annual 31/12]],Tabel1[[#This Row],[interst2]],H15))</f>
        <v>17005.249775919165</v>
      </c>
      <c r="I16">
        <f>IF(MONTH(Tabel1[[#This Row],[date]])=12,Tabel1[[#This Row],[remaining]]-Tabel1[[#This Row],[remaining2]],"-")</f>
        <v>19.44273508297556</v>
      </c>
    </row>
    <row r="17" spans="1:9" x14ac:dyDescent="0.25">
      <c r="A17">
        <v>15</v>
      </c>
      <c r="B17" s="35">
        <f t="shared" si="0"/>
        <v>44197</v>
      </c>
      <c r="C17" s="38">
        <f>IF(Tabel1[[#This Row],[mois]]&lt;2,0,IF(Tabel1[[#This Row],[mois]]&gt;2,-1,-3)*$P$1)</f>
        <v>-337.6195737381974</v>
      </c>
      <c r="D17" s="39">
        <f>IF(Tabel1[[#This Row],[mois]]&gt;2,E16*$L$3,0)</f>
        <v>82.86855165672003</v>
      </c>
      <c r="E17" s="40">
        <f>SUM(IF(ROW()=2,$L$1,E16),Tabel1[[#This Row],[payment mensuel a la fin di mois]],Tabel1[[#This Row],[interst]])</f>
        <v>16769.941488920664</v>
      </c>
      <c r="F17">
        <f>IF(OR(Tabel1[[#This Row],[mois]]=72,MONTH(Tabel1[[#This Row],[date]])=12),MIN(Tabel1[[#This Row],[mois]]+1,12,82-Tabel1[[#This Row],[mois]])*-$P$2,0)</f>
        <v>0</v>
      </c>
      <c r="G17" s="36">
        <f>IF(OR(Tabel1[[#This Row],[mois]]=72,AND(MONTH(Tabel1[[#This Row],[date]])=12,YEAR(Tabel1[[#This Row],[date]])&gt;2019)),H16*$L$2*MIN(Tabel1[[#This Row],[mois]],12,72-Tabel1[[#This Row],[mois]]+10)/12,0)</f>
        <v>0</v>
      </c>
      <c r="H17" s="36">
        <f>IF(ROW()=2,$L$1,SUM(Tabel1[[#This Row],[payment annual 31/12]],Tabel1[[#This Row],[interst2]],H16))</f>
        <v>17005.249775919165</v>
      </c>
      <c r="I17" t="str">
        <f>IF(MONTH(Tabel1[[#This Row],[date]])=12,Tabel1[[#This Row],[remaining]]-Tabel1[[#This Row],[remaining2]],"-")</f>
        <v>-</v>
      </c>
    </row>
    <row r="18" spans="1:9" x14ac:dyDescent="0.25">
      <c r="A18">
        <v>16</v>
      </c>
      <c r="B18" s="35">
        <f t="shared" si="0"/>
        <v>44228</v>
      </c>
      <c r="C18" s="38">
        <f>IF(Tabel1[[#This Row],[mois]]&lt;2,0,IF(Tabel1[[#This Row],[mois]]&gt;2,-1,-3)*$P$1)</f>
        <v>-337.6195737381974</v>
      </c>
      <c r="D18" s="39">
        <f>IF(Tabel1[[#This Row],[mois]]&gt;2,E17*$L$3,0)</f>
        <v>81.628538175165616</v>
      </c>
      <c r="E18" s="40">
        <f>SUM(IF(ROW()=2,$L$1,E17),Tabel1[[#This Row],[payment mensuel a la fin di mois]],Tabel1[[#This Row],[interst]])</f>
        <v>16513.950453357633</v>
      </c>
      <c r="F18">
        <f>IF(OR(Tabel1[[#This Row],[mois]]=72,MONTH(Tabel1[[#This Row],[date]])=12),MIN(Tabel1[[#This Row],[mois]]+1,12,82-Tabel1[[#This Row],[mois]])*-$P$2,0)</f>
        <v>0</v>
      </c>
      <c r="G18" s="36">
        <f>IF(OR(Tabel1[[#This Row],[mois]]=72,AND(MONTH(Tabel1[[#This Row],[date]])=12,YEAR(Tabel1[[#This Row],[date]])&gt;2019)),H17*$L$2*MIN(Tabel1[[#This Row],[mois]],12,72-Tabel1[[#This Row],[mois]]+10)/12,0)</f>
        <v>0</v>
      </c>
      <c r="H18" s="36">
        <f>IF(ROW()=2,$L$1,SUM(Tabel1[[#This Row],[payment annual 31/12]],Tabel1[[#This Row],[interst2]],H17))</f>
        <v>17005.249775919165</v>
      </c>
      <c r="I18" t="str">
        <f>IF(MONTH(Tabel1[[#This Row],[date]])=12,Tabel1[[#This Row],[remaining]]-Tabel1[[#This Row],[remaining2]],"-")</f>
        <v>-</v>
      </c>
    </row>
    <row r="19" spans="1:9" x14ac:dyDescent="0.25">
      <c r="A19">
        <v>17</v>
      </c>
      <c r="B19" s="35">
        <f t="shared" si="0"/>
        <v>44256</v>
      </c>
      <c r="C19" s="38">
        <f>IF(Tabel1[[#This Row],[mois]]&lt;2,0,IF(Tabel1[[#This Row],[mois]]&gt;2,-1,-3)*$P$1)</f>
        <v>-337.6195737381974</v>
      </c>
      <c r="D19" s="39">
        <f>IF(Tabel1[[#This Row],[mois]]&gt;2,E18*$L$3,0)</f>
        <v>80.382488865288039</v>
      </c>
      <c r="E19" s="40">
        <f>SUM(IF(ROW()=2,$L$1,E18),Tabel1[[#This Row],[payment mensuel a la fin di mois]],Tabel1[[#This Row],[interst]])</f>
        <v>16256.713368484725</v>
      </c>
      <c r="F19">
        <f>IF(OR(Tabel1[[#This Row],[mois]]=72,MONTH(Tabel1[[#This Row],[date]])=12),MIN(Tabel1[[#This Row],[mois]]+1,12,82-Tabel1[[#This Row],[mois]])*-$P$2,0)</f>
        <v>0</v>
      </c>
      <c r="G19" s="36">
        <f>IF(OR(Tabel1[[#This Row],[mois]]=72,AND(MONTH(Tabel1[[#This Row],[date]])=12,YEAR(Tabel1[[#This Row],[date]])&gt;2019)),H18*$L$2*MIN(Tabel1[[#This Row],[mois]],12,72-Tabel1[[#This Row],[mois]]+10)/12,0)</f>
        <v>0</v>
      </c>
      <c r="H19" s="36">
        <f>IF(ROW()=2,$L$1,SUM(Tabel1[[#This Row],[payment annual 31/12]],Tabel1[[#This Row],[interst2]],H18))</f>
        <v>17005.249775919165</v>
      </c>
      <c r="I19" t="str">
        <f>IF(MONTH(Tabel1[[#This Row],[date]])=12,Tabel1[[#This Row],[remaining]]-Tabel1[[#This Row],[remaining2]],"-")</f>
        <v>-</v>
      </c>
    </row>
    <row r="20" spans="1:9" x14ac:dyDescent="0.25">
      <c r="A20">
        <v>18</v>
      </c>
      <c r="B20" s="35">
        <f t="shared" si="0"/>
        <v>44287</v>
      </c>
      <c r="C20" s="38">
        <f>IF(Tabel1[[#This Row],[mois]]&lt;2,0,IF(Tabel1[[#This Row],[mois]]&gt;2,-1,-3)*$P$1)</f>
        <v>-337.6195737381974</v>
      </c>
      <c r="D20" s="39">
        <f>IF(Tabel1[[#This Row],[mois]]&gt;2,E19*$L$3,0)</f>
        <v>79.130374347387715</v>
      </c>
      <c r="E20" s="40">
        <f>SUM(IF(ROW()=2,$L$1,E19),Tabel1[[#This Row],[payment mensuel a la fin di mois]],Tabel1[[#This Row],[interst]])</f>
        <v>15998.224169093915</v>
      </c>
      <c r="F20">
        <f>IF(OR(Tabel1[[#This Row],[mois]]=72,MONTH(Tabel1[[#This Row],[date]])=12),MIN(Tabel1[[#This Row],[mois]]+1,12,82-Tabel1[[#This Row],[mois]])*-$P$2,0)</f>
        <v>0</v>
      </c>
      <c r="G20" s="36">
        <f>IF(OR(Tabel1[[#This Row],[mois]]=72,AND(MONTH(Tabel1[[#This Row],[date]])=12,YEAR(Tabel1[[#This Row],[date]])&gt;2019)),H19*$L$2*MIN(Tabel1[[#This Row],[mois]],12,72-Tabel1[[#This Row],[mois]]+10)/12,0)</f>
        <v>0</v>
      </c>
      <c r="H20" s="36">
        <f>IF(ROW()=2,$L$1,SUM(Tabel1[[#This Row],[payment annual 31/12]],Tabel1[[#This Row],[interst2]],H19))</f>
        <v>17005.249775919165</v>
      </c>
      <c r="I20" t="str">
        <f>IF(MONTH(Tabel1[[#This Row],[date]])=12,Tabel1[[#This Row],[remaining]]-Tabel1[[#This Row],[remaining2]],"-")</f>
        <v>-</v>
      </c>
    </row>
    <row r="21" spans="1:9" x14ac:dyDescent="0.25">
      <c r="A21">
        <v>19</v>
      </c>
      <c r="B21" s="35">
        <f t="shared" si="0"/>
        <v>44317</v>
      </c>
      <c r="C21" s="38">
        <f>IF(Tabel1[[#This Row],[mois]]&lt;2,0,IF(Tabel1[[#This Row],[mois]]&gt;2,-1,-3)*$P$1)</f>
        <v>-337.6195737381974</v>
      </c>
      <c r="D21" s="39">
        <f>IF(Tabel1[[#This Row],[mois]]&gt;2,E20*$L$3,0)</f>
        <v>77.872165098757904</v>
      </c>
      <c r="E21" s="40">
        <f>SUM(IF(ROW()=2,$L$1,E20),Tabel1[[#This Row],[payment mensuel a la fin di mois]],Tabel1[[#This Row],[interst]])</f>
        <v>15738.476760454476</v>
      </c>
      <c r="F21">
        <f>IF(OR(Tabel1[[#This Row],[mois]]=72,MONTH(Tabel1[[#This Row],[date]])=12),MIN(Tabel1[[#This Row],[mois]]+1,12,82-Tabel1[[#This Row],[mois]])*-$P$2,0)</f>
        <v>0</v>
      </c>
      <c r="G21" s="36">
        <f>IF(OR(Tabel1[[#This Row],[mois]]=72,AND(MONTH(Tabel1[[#This Row],[date]])=12,YEAR(Tabel1[[#This Row],[date]])&gt;2019)),H20*$L$2*MIN(Tabel1[[#This Row],[mois]],12,72-Tabel1[[#This Row],[mois]]+10)/12,0)</f>
        <v>0</v>
      </c>
      <c r="H21" s="36">
        <f>IF(ROW()=2,$L$1,SUM(Tabel1[[#This Row],[payment annual 31/12]],Tabel1[[#This Row],[interst2]],H20))</f>
        <v>17005.249775919165</v>
      </c>
      <c r="I21" t="str">
        <f>IF(MONTH(Tabel1[[#This Row],[date]])=12,Tabel1[[#This Row],[remaining]]-Tabel1[[#This Row],[remaining2]],"-")</f>
        <v>-</v>
      </c>
    </row>
    <row r="22" spans="1:9" x14ac:dyDescent="0.25">
      <c r="A22">
        <v>20</v>
      </c>
      <c r="B22" s="35">
        <f t="shared" si="0"/>
        <v>44348</v>
      </c>
      <c r="C22" s="38">
        <f>IF(Tabel1[[#This Row],[mois]]&lt;2,0,IF(Tabel1[[#This Row],[mois]]&gt;2,-1,-3)*$P$1)</f>
        <v>-337.6195737381974</v>
      </c>
      <c r="D22" s="39">
        <f>IF(Tabel1[[#This Row],[mois]]&gt;2,E21*$L$3,0)</f>
        <v>76.60783145298862</v>
      </c>
      <c r="E22" s="40">
        <f>SUM(IF(ROW()=2,$L$1,E21),Tabel1[[#This Row],[payment mensuel a la fin di mois]],Tabel1[[#This Row],[interst]])</f>
        <v>15477.465018169267</v>
      </c>
      <c r="F22">
        <f>IF(OR(Tabel1[[#This Row],[mois]]=72,MONTH(Tabel1[[#This Row],[date]])=12),MIN(Tabel1[[#This Row],[mois]]+1,12,82-Tabel1[[#This Row],[mois]])*-$P$2,0)</f>
        <v>0</v>
      </c>
      <c r="G22" s="36">
        <f>IF(OR(Tabel1[[#This Row],[mois]]=72,AND(MONTH(Tabel1[[#This Row],[date]])=12,YEAR(Tabel1[[#This Row],[date]])&gt;2019)),H21*$L$2*MIN(Tabel1[[#This Row],[mois]],12,72-Tabel1[[#This Row],[mois]]+10)/12,0)</f>
        <v>0</v>
      </c>
      <c r="H22" s="36">
        <f>IF(ROW()=2,$L$1,SUM(Tabel1[[#This Row],[payment annual 31/12]],Tabel1[[#This Row],[interst2]],H21))</f>
        <v>17005.249775919165</v>
      </c>
      <c r="I22" t="str">
        <f>IF(MONTH(Tabel1[[#This Row],[date]])=12,Tabel1[[#This Row],[remaining]]-Tabel1[[#This Row],[remaining2]],"-")</f>
        <v>-</v>
      </c>
    </row>
    <row r="23" spans="1:9" x14ac:dyDescent="0.25">
      <c r="A23">
        <v>21</v>
      </c>
      <c r="B23" s="35">
        <f t="shared" si="0"/>
        <v>44378</v>
      </c>
      <c r="C23" s="38">
        <f>IF(Tabel1[[#This Row],[mois]]&lt;2,0,IF(Tabel1[[#This Row],[mois]]&gt;2,-1,-3)*$P$1)</f>
        <v>-337.6195737381974</v>
      </c>
      <c r="D23" s="39">
        <f>IF(Tabel1[[#This Row],[mois]]&gt;2,E22*$L$3,0)</f>
        <v>75.337343599267072</v>
      </c>
      <c r="E23" s="40">
        <f>SUM(IF(ROW()=2,$L$1,E22),Tabel1[[#This Row],[payment mensuel a la fin di mois]],Tabel1[[#This Row],[interst]])</f>
        <v>15215.182788030337</v>
      </c>
      <c r="F23">
        <f>IF(OR(Tabel1[[#This Row],[mois]]=72,MONTH(Tabel1[[#This Row],[date]])=12),MIN(Tabel1[[#This Row],[mois]]+1,12,82-Tabel1[[#This Row],[mois]])*-$P$2,0)</f>
        <v>0</v>
      </c>
      <c r="G23" s="36">
        <f>IF(OR(Tabel1[[#This Row],[mois]]=72,AND(MONTH(Tabel1[[#This Row],[date]])=12,YEAR(Tabel1[[#This Row],[date]])&gt;2019)),H22*$L$2*MIN(Tabel1[[#This Row],[mois]],12,72-Tabel1[[#This Row],[mois]]+10)/12,0)</f>
        <v>0</v>
      </c>
      <c r="H23" s="36">
        <f>IF(ROW()=2,$L$1,SUM(Tabel1[[#This Row],[payment annual 31/12]],Tabel1[[#This Row],[interst2]],H22))</f>
        <v>17005.249775919165</v>
      </c>
      <c r="I23" t="str">
        <f>IF(MONTH(Tabel1[[#This Row],[date]])=12,Tabel1[[#This Row],[remaining]]-Tabel1[[#This Row],[remaining2]],"-")</f>
        <v>-</v>
      </c>
    </row>
    <row r="24" spans="1:9" x14ac:dyDescent="0.25">
      <c r="A24">
        <v>22</v>
      </c>
      <c r="B24" s="35">
        <f t="shared" si="0"/>
        <v>44409</v>
      </c>
      <c r="C24" s="38">
        <f>IF(Tabel1[[#This Row],[mois]]&lt;2,0,IF(Tabel1[[#This Row],[mois]]&gt;2,-1,-3)*$P$1)</f>
        <v>-337.6195737381974</v>
      </c>
      <c r="D24" s="39">
        <f>IF(Tabel1[[#This Row],[mois]]&gt;2,E23*$L$3,0)</f>
        <v>74.060671581674882</v>
      </c>
      <c r="E24" s="40">
        <f>SUM(IF(ROW()=2,$L$1,E23),Tabel1[[#This Row],[payment mensuel a la fin di mois]],Tabel1[[#This Row],[interst]])</f>
        <v>14951.623885873816</v>
      </c>
      <c r="F24">
        <f>IF(OR(Tabel1[[#This Row],[mois]]=72,MONTH(Tabel1[[#This Row],[date]])=12),MIN(Tabel1[[#This Row],[mois]]+1,12,82-Tabel1[[#This Row],[mois]])*-$P$2,0)</f>
        <v>0</v>
      </c>
      <c r="G24" s="36">
        <f>IF(OR(Tabel1[[#This Row],[mois]]=72,AND(MONTH(Tabel1[[#This Row],[date]])=12,YEAR(Tabel1[[#This Row],[date]])&gt;2019)),H23*$L$2*MIN(Tabel1[[#This Row],[mois]],12,72-Tabel1[[#This Row],[mois]]+10)/12,0)</f>
        <v>0</v>
      </c>
      <c r="H24" s="36">
        <f>IF(ROW()=2,$L$1,SUM(Tabel1[[#This Row],[payment annual 31/12]],Tabel1[[#This Row],[interst2]],H23))</f>
        <v>17005.249775919165</v>
      </c>
      <c r="I24" t="str">
        <f>IF(MONTH(Tabel1[[#This Row],[date]])=12,Tabel1[[#This Row],[remaining]]-Tabel1[[#This Row],[remaining2]],"-")</f>
        <v>-</v>
      </c>
    </row>
    <row r="25" spans="1:9" x14ac:dyDescent="0.25">
      <c r="A25">
        <v>23</v>
      </c>
      <c r="B25" s="35">
        <f t="shared" si="0"/>
        <v>44440</v>
      </c>
      <c r="C25" s="38">
        <f>IF(Tabel1[[#This Row],[mois]]&lt;2,0,IF(Tabel1[[#This Row],[mois]]&gt;2,-1,-3)*$P$1)</f>
        <v>-337.6195737381974</v>
      </c>
      <c r="D25" s="39">
        <f>IF(Tabel1[[#This Row],[mois]]&gt;2,E24*$L$3,0)</f>
        <v>72.777785298481717</v>
      </c>
      <c r="E25" s="40">
        <f>SUM(IF(ROW()=2,$L$1,E24),Tabel1[[#This Row],[payment mensuel a la fin di mois]],Tabel1[[#This Row],[interst]])</f>
        <v>14686.782097434101</v>
      </c>
      <c r="F25">
        <f>IF(OR(Tabel1[[#This Row],[mois]]=72,MONTH(Tabel1[[#This Row],[date]])=12),MIN(Tabel1[[#This Row],[mois]]+1,12,82-Tabel1[[#This Row],[mois]])*-$P$2,0)</f>
        <v>0</v>
      </c>
      <c r="G25" s="36">
        <f>IF(OR(Tabel1[[#This Row],[mois]]=72,AND(MONTH(Tabel1[[#This Row],[date]])=12,YEAR(Tabel1[[#This Row],[date]])&gt;2019)),H24*$L$2*MIN(Tabel1[[#This Row],[mois]],12,72-Tabel1[[#This Row],[mois]]+10)/12,0)</f>
        <v>0</v>
      </c>
      <c r="H25" s="36">
        <f>IF(ROW()=2,$L$1,SUM(Tabel1[[#This Row],[payment annual 31/12]],Tabel1[[#This Row],[interst2]],H24))</f>
        <v>17005.249775919165</v>
      </c>
      <c r="I25" t="str">
        <f>IF(MONTH(Tabel1[[#This Row],[date]])=12,Tabel1[[#This Row],[remaining]]-Tabel1[[#This Row],[remaining2]],"-")</f>
        <v>-</v>
      </c>
    </row>
    <row r="26" spans="1:9" x14ac:dyDescent="0.25">
      <c r="A26">
        <v>24</v>
      </c>
      <c r="B26" s="35">
        <f t="shared" si="0"/>
        <v>44470</v>
      </c>
      <c r="C26" s="38">
        <f>IF(Tabel1[[#This Row],[mois]]&lt;2,0,IF(Tabel1[[#This Row],[mois]]&gt;2,-1,-3)*$P$1)</f>
        <v>-337.6195737381974</v>
      </c>
      <c r="D26" s="39">
        <f>IF(Tabel1[[#This Row],[mois]]&gt;2,E25*$L$3,0)</f>
        <v>71.488654501435519</v>
      </c>
      <c r="E26" s="40">
        <f>SUM(IF(ROW()=2,$L$1,E25),Tabel1[[#This Row],[payment mensuel a la fin di mois]],Tabel1[[#This Row],[interst]])</f>
        <v>14420.65117819734</v>
      </c>
      <c r="F26">
        <f>IF(OR(Tabel1[[#This Row],[mois]]=72,MONTH(Tabel1[[#This Row],[date]])=12),MIN(Tabel1[[#This Row],[mois]]+1,12,82-Tabel1[[#This Row],[mois]])*-$P$2,0)</f>
        <v>0</v>
      </c>
      <c r="G26" s="36">
        <f>IF(OR(Tabel1[[#This Row],[mois]]=72,AND(MONTH(Tabel1[[#This Row],[date]])=12,YEAR(Tabel1[[#This Row],[date]])&gt;2019)),H25*$L$2*MIN(Tabel1[[#This Row],[mois]],12,72-Tabel1[[#This Row],[mois]]+10)/12,0)</f>
        <v>0</v>
      </c>
      <c r="H26" s="36">
        <f>IF(ROW()=2,$L$1,SUM(Tabel1[[#This Row],[payment annual 31/12]],Tabel1[[#This Row],[interst2]],H25))</f>
        <v>17005.249775919165</v>
      </c>
      <c r="I26" t="str">
        <f>IF(MONTH(Tabel1[[#This Row],[date]])=12,Tabel1[[#This Row],[remaining]]-Tabel1[[#This Row],[remaining2]],"-")</f>
        <v>-</v>
      </c>
    </row>
    <row r="27" spans="1:9" x14ac:dyDescent="0.25">
      <c r="A27">
        <v>25</v>
      </c>
      <c r="B27" s="35">
        <f t="shared" si="0"/>
        <v>44501</v>
      </c>
      <c r="C27" s="38">
        <f>IF(Tabel1[[#This Row],[mois]]&lt;2,0,IF(Tabel1[[#This Row],[mois]]&gt;2,-1,-3)*$P$1)</f>
        <v>-337.6195737381974</v>
      </c>
      <c r="D27" s="39">
        <f>IF(Tabel1[[#This Row],[mois]]&gt;2,E26*$L$3,0)</f>
        <v>70.193248795049357</v>
      </c>
      <c r="E27" s="40">
        <f>SUM(IF(ROW()=2,$L$1,E26),Tabel1[[#This Row],[payment mensuel a la fin di mois]],Tabel1[[#This Row],[interst]])</f>
        <v>14153.224853254193</v>
      </c>
      <c r="F27">
        <f>IF(OR(Tabel1[[#This Row],[mois]]=72,MONTH(Tabel1[[#This Row],[date]])=12),MIN(Tabel1[[#This Row],[mois]]+1,12,82-Tabel1[[#This Row],[mois]])*-$P$2,0)</f>
        <v>0</v>
      </c>
      <c r="G27" s="36">
        <f>IF(OR(Tabel1[[#This Row],[mois]]=72,AND(MONTH(Tabel1[[#This Row],[date]])=12,YEAR(Tabel1[[#This Row],[date]])&gt;2019)),H26*$L$2*MIN(Tabel1[[#This Row],[mois]],12,72-Tabel1[[#This Row],[mois]]+10)/12,0)</f>
        <v>0</v>
      </c>
      <c r="H27" s="36">
        <f>IF(ROW()=2,$L$1,SUM(Tabel1[[#This Row],[payment annual 31/12]],Tabel1[[#This Row],[interst2]],H26))</f>
        <v>17005.249775919165</v>
      </c>
      <c r="I27" t="str">
        <f>IF(MONTH(Tabel1[[#This Row],[date]])=12,Tabel1[[#This Row],[remaining]]-Tabel1[[#This Row],[remaining2]],"-")</f>
        <v>-</v>
      </c>
    </row>
    <row r="28" spans="1:9" x14ac:dyDescent="0.25">
      <c r="A28">
        <v>26</v>
      </c>
      <c r="B28" s="35">
        <f t="shared" si="0"/>
        <v>44531</v>
      </c>
      <c r="C28" s="38">
        <f>IF(Tabel1[[#This Row],[mois]]&lt;2,0,IF(Tabel1[[#This Row],[mois]]&gt;2,-1,-3)*$P$1)</f>
        <v>-337.6195737381974</v>
      </c>
      <c r="D28" s="39">
        <f>IF(Tabel1[[#This Row],[mois]]&gt;2,E27*$L$3,0)</f>
        <v>68.891537635884731</v>
      </c>
      <c r="E28" s="40">
        <f>SUM(IF(ROW()=2,$L$1,E27),Tabel1[[#This Row],[payment mensuel a la fin di mois]],Tabel1[[#This Row],[interst]])</f>
        <v>13884.496817151881</v>
      </c>
      <c r="F28">
        <f>IF(OR(Tabel1[[#This Row],[mois]]=72,MONTH(Tabel1[[#This Row],[date]])=12),MIN(Tabel1[[#This Row],[mois]]+1,12,82-Tabel1[[#This Row],[mois]])*-$P$2,0)</f>
        <v>-4153.9527463089598</v>
      </c>
      <c r="G28" s="36">
        <f>IF(OR(Tabel1[[#This Row],[mois]]=72,AND(MONTH(Tabel1[[#This Row],[date]])=12,YEAR(Tabel1[[#This Row],[date]])&gt;2019)),H27*$L$2*MIN(Tabel1[[#This Row],[mois]],12,72-Tabel1[[#This Row],[mois]]+10)/12,0)</f>
        <v>1020.3149865551499</v>
      </c>
      <c r="H28" s="36">
        <f>IF(ROW()=2,$L$1,SUM(Tabel1[[#This Row],[payment annual 31/12]],Tabel1[[#This Row],[interst2]],H27))</f>
        <v>13871.612016165354</v>
      </c>
      <c r="I28">
        <f>IF(MONTH(Tabel1[[#This Row],[date]])=12,Tabel1[[#This Row],[remaining]]-Tabel1[[#This Row],[remaining2]],"-")</f>
        <v>12.884800986526898</v>
      </c>
    </row>
    <row r="29" spans="1:9" x14ac:dyDescent="0.25">
      <c r="A29">
        <v>27</v>
      </c>
      <c r="B29" s="35">
        <f t="shared" si="0"/>
        <v>44562</v>
      </c>
      <c r="C29" s="38">
        <f>IF(Tabel1[[#This Row],[mois]]&lt;2,0,IF(Tabel1[[#This Row],[mois]]&gt;2,-1,-3)*$P$1)</f>
        <v>-337.6195737381974</v>
      </c>
      <c r="D29" s="39">
        <f>IF(Tabel1[[#This Row],[mois]]&gt;2,E28*$L$3,0)</f>
        <v>67.583490331831399</v>
      </c>
      <c r="E29" s="40">
        <f>SUM(IF(ROW()=2,$L$1,E28),Tabel1[[#This Row],[payment mensuel a la fin di mois]],Tabel1[[#This Row],[interst]])</f>
        <v>13614.460733745516</v>
      </c>
      <c r="F29">
        <f>IF(OR(Tabel1[[#This Row],[mois]]=72,MONTH(Tabel1[[#This Row],[date]])=12),MIN(Tabel1[[#This Row],[mois]]+1,12,82-Tabel1[[#This Row],[mois]])*-$P$2,0)</f>
        <v>0</v>
      </c>
      <c r="G29" s="36">
        <f>IF(OR(Tabel1[[#This Row],[mois]]=72,AND(MONTH(Tabel1[[#This Row],[date]])=12,YEAR(Tabel1[[#This Row],[date]])&gt;2019)),H28*$L$2*MIN(Tabel1[[#This Row],[mois]],12,72-Tabel1[[#This Row],[mois]]+10)/12,0)</f>
        <v>0</v>
      </c>
      <c r="H29" s="36">
        <f>IF(ROW()=2,$L$1,SUM(Tabel1[[#This Row],[payment annual 31/12]],Tabel1[[#This Row],[interst2]],H28))</f>
        <v>13871.612016165354</v>
      </c>
      <c r="I29" t="str">
        <f>IF(MONTH(Tabel1[[#This Row],[date]])=12,Tabel1[[#This Row],[remaining]]-Tabel1[[#This Row],[remaining2]],"-")</f>
        <v>-</v>
      </c>
    </row>
    <row r="30" spans="1:9" x14ac:dyDescent="0.25">
      <c r="A30">
        <v>28</v>
      </c>
      <c r="B30" s="35">
        <f t="shared" si="0"/>
        <v>44593</v>
      </c>
      <c r="C30" s="38">
        <f>IF(Tabel1[[#This Row],[mois]]&lt;2,0,IF(Tabel1[[#This Row],[mois]]&gt;2,-1,-3)*$P$1)</f>
        <v>-337.6195737381974</v>
      </c>
      <c r="D30" s="39">
        <f>IF(Tabel1[[#This Row],[mois]]&gt;2,E29*$L$3,0)</f>
        <v>66.269076041383727</v>
      </c>
      <c r="E30" s="40">
        <f>SUM(IF(ROW()=2,$L$1,E29),Tabel1[[#This Row],[payment mensuel a la fin di mois]],Tabel1[[#This Row],[interst]])</f>
        <v>13343.110236048704</v>
      </c>
      <c r="F30">
        <f>IF(OR(Tabel1[[#This Row],[mois]]=72,MONTH(Tabel1[[#This Row],[date]])=12),MIN(Tabel1[[#This Row],[mois]]+1,12,82-Tabel1[[#This Row],[mois]])*-$P$2,0)</f>
        <v>0</v>
      </c>
      <c r="G30" s="36">
        <f>IF(OR(Tabel1[[#This Row],[mois]]=72,AND(MONTH(Tabel1[[#This Row],[date]])=12,YEAR(Tabel1[[#This Row],[date]])&gt;2019)),H29*$L$2*MIN(Tabel1[[#This Row],[mois]],12,72-Tabel1[[#This Row],[mois]]+10)/12,0)</f>
        <v>0</v>
      </c>
      <c r="H30" s="36">
        <f>IF(ROW()=2,$L$1,SUM(Tabel1[[#This Row],[payment annual 31/12]],Tabel1[[#This Row],[interst2]],H29))</f>
        <v>13871.612016165354</v>
      </c>
      <c r="I30" t="str">
        <f>IF(MONTH(Tabel1[[#This Row],[date]])=12,Tabel1[[#This Row],[remaining]]-Tabel1[[#This Row],[remaining2]],"-")</f>
        <v>-</v>
      </c>
    </row>
    <row r="31" spans="1:9" x14ac:dyDescent="0.25">
      <c r="A31">
        <v>29</v>
      </c>
      <c r="B31" s="35">
        <f t="shared" si="0"/>
        <v>44621</v>
      </c>
      <c r="C31" s="38">
        <f>IF(Tabel1[[#This Row],[mois]]&lt;2,0,IF(Tabel1[[#This Row],[mois]]&gt;2,-1,-3)*$P$1)</f>
        <v>-337.6195737381974</v>
      </c>
      <c r="D31" s="39">
        <f>IF(Tabel1[[#This Row],[mois]]&gt;2,E30*$L$3,0)</f>
        <v>64.948263772913478</v>
      </c>
      <c r="E31" s="40">
        <f>SUM(IF(ROW()=2,$L$1,E30),Tabel1[[#This Row],[payment mensuel a la fin di mois]],Tabel1[[#This Row],[interst]])</f>
        <v>13070.438926083421</v>
      </c>
      <c r="F31">
        <f>IF(OR(Tabel1[[#This Row],[mois]]=72,MONTH(Tabel1[[#This Row],[date]])=12),MIN(Tabel1[[#This Row],[mois]]+1,12,82-Tabel1[[#This Row],[mois]])*-$P$2,0)</f>
        <v>0</v>
      </c>
      <c r="G31" s="36">
        <f>IF(OR(Tabel1[[#This Row],[mois]]=72,AND(MONTH(Tabel1[[#This Row],[date]])=12,YEAR(Tabel1[[#This Row],[date]])&gt;2019)),H30*$L$2*MIN(Tabel1[[#This Row],[mois]],12,72-Tabel1[[#This Row],[mois]]+10)/12,0)</f>
        <v>0</v>
      </c>
      <c r="H31" s="36">
        <f>IF(ROW()=2,$L$1,SUM(Tabel1[[#This Row],[payment annual 31/12]],Tabel1[[#This Row],[interst2]],H30))</f>
        <v>13871.612016165354</v>
      </c>
      <c r="I31" t="str">
        <f>IF(MONTH(Tabel1[[#This Row],[date]])=12,Tabel1[[#This Row],[remaining]]-Tabel1[[#This Row],[remaining2]],"-")</f>
        <v>-</v>
      </c>
    </row>
    <row r="32" spans="1:9" x14ac:dyDescent="0.25">
      <c r="A32">
        <v>30</v>
      </c>
      <c r="B32" s="35">
        <f t="shared" si="0"/>
        <v>44652</v>
      </c>
      <c r="C32" s="38">
        <f>IF(Tabel1[[#This Row],[mois]]&lt;2,0,IF(Tabel1[[#This Row],[mois]]&gt;2,-1,-3)*$P$1)</f>
        <v>-337.6195737381974</v>
      </c>
      <c r="D32" s="39">
        <f>IF(Tabel1[[#This Row],[mois]]&gt;2,E31*$L$3,0)</f>
        <v>63.621022383939142</v>
      </c>
      <c r="E32" s="40">
        <f>SUM(IF(ROW()=2,$L$1,E31),Tabel1[[#This Row],[payment mensuel a la fin di mois]],Tabel1[[#This Row],[interst]])</f>
        <v>12796.440374729164</v>
      </c>
      <c r="F32">
        <f>IF(OR(Tabel1[[#This Row],[mois]]=72,MONTH(Tabel1[[#This Row],[date]])=12),MIN(Tabel1[[#This Row],[mois]]+1,12,82-Tabel1[[#This Row],[mois]])*-$P$2,0)</f>
        <v>0</v>
      </c>
      <c r="G32" s="36">
        <f>IF(OR(Tabel1[[#This Row],[mois]]=72,AND(MONTH(Tabel1[[#This Row],[date]])=12,YEAR(Tabel1[[#This Row],[date]])&gt;2019)),H31*$L$2*MIN(Tabel1[[#This Row],[mois]],12,72-Tabel1[[#This Row],[mois]]+10)/12,0)</f>
        <v>0</v>
      </c>
      <c r="H32" s="36">
        <f>IF(ROW()=2,$L$1,SUM(Tabel1[[#This Row],[payment annual 31/12]],Tabel1[[#This Row],[interst2]],H31))</f>
        <v>13871.612016165354</v>
      </c>
      <c r="I32" t="str">
        <f>IF(MONTH(Tabel1[[#This Row],[date]])=12,Tabel1[[#This Row],[remaining]]-Tabel1[[#This Row],[remaining2]],"-")</f>
        <v>-</v>
      </c>
    </row>
    <row r="33" spans="1:9" x14ac:dyDescent="0.25">
      <c r="A33">
        <v>31</v>
      </c>
      <c r="B33" s="35">
        <f t="shared" si="0"/>
        <v>44682</v>
      </c>
      <c r="C33" s="38">
        <f>IF(Tabel1[[#This Row],[mois]]&lt;2,0,IF(Tabel1[[#This Row],[mois]]&gt;2,-1,-3)*$P$1)</f>
        <v>-337.6195737381974</v>
      </c>
      <c r="D33" s="39">
        <f>IF(Tabel1[[#This Row],[mois]]&gt;2,E32*$L$3,0)</f>
        <v>62.287320580391551</v>
      </c>
      <c r="E33" s="40">
        <f>SUM(IF(ROW()=2,$L$1,E32),Tabel1[[#This Row],[payment mensuel a la fin di mois]],Tabel1[[#This Row],[interst]])</f>
        <v>12521.108121571358</v>
      </c>
      <c r="F33">
        <f>IF(OR(Tabel1[[#This Row],[mois]]=72,MONTH(Tabel1[[#This Row],[date]])=12),MIN(Tabel1[[#This Row],[mois]]+1,12,82-Tabel1[[#This Row],[mois]])*-$P$2,0)</f>
        <v>0</v>
      </c>
      <c r="G33" s="36">
        <f>IF(OR(Tabel1[[#This Row],[mois]]=72,AND(MONTH(Tabel1[[#This Row],[date]])=12,YEAR(Tabel1[[#This Row],[date]])&gt;2019)),H32*$L$2*MIN(Tabel1[[#This Row],[mois]],12,72-Tabel1[[#This Row],[mois]]+10)/12,0)</f>
        <v>0</v>
      </c>
      <c r="H33" s="36">
        <f>IF(ROW()=2,$L$1,SUM(Tabel1[[#This Row],[payment annual 31/12]],Tabel1[[#This Row],[interst2]],H32))</f>
        <v>13871.612016165354</v>
      </c>
      <c r="I33" t="str">
        <f>IF(MONTH(Tabel1[[#This Row],[date]])=12,Tabel1[[#This Row],[remaining]]-Tabel1[[#This Row],[remaining2]],"-")</f>
        <v>-</v>
      </c>
    </row>
    <row r="34" spans="1:9" x14ac:dyDescent="0.25">
      <c r="A34">
        <v>32</v>
      </c>
      <c r="B34" s="35">
        <f t="shared" ref="B34:B65" si="1">EDATE(DATE(2019,10,1),A34)</f>
        <v>44713</v>
      </c>
      <c r="C34" s="38">
        <f>IF(Tabel1[[#This Row],[mois]]&lt;2,0,IF(Tabel1[[#This Row],[mois]]&gt;2,-1,-3)*$P$1)</f>
        <v>-337.6195737381974</v>
      </c>
      <c r="D34" s="39">
        <f>IF(Tabel1[[#This Row],[mois]]&gt;2,E33*$L$3,0)</f>
        <v>60.947126915876098</v>
      </c>
      <c r="E34" s="40">
        <f>SUM(IF(ROW()=2,$L$1,E33),Tabel1[[#This Row],[payment mensuel a la fin di mois]],Tabel1[[#This Row],[interst]])</f>
        <v>12244.435674749038</v>
      </c>
      <c r="F34">
        <f>IF(OR(Tabel1[[#This Row],[mois]]=72,MONTH(Tabel1[[#This Row],[date]])=12),MIN(Tabel1[[#This Row],[mois]]+1,12,82-Tabel1[[#This Row],[mois]])*-$P$2,0)</f>
        <v>0</v>
      </c>
      <c r="G34" s="36">
        <f>IF(OR(Tabel1[[#This Row],[mois]]=72,AND(MONTH(Tabel1[[#This Row],[date]])=12,YEAR(Tabel1[[#This Row],[date]])&gt;2019)),H33*$L$2*MIN(Tabel1[[#This Row],[mois]],12,72-Tabel1[[#This Row],[mois]]+10)/12,0)</f>
        <v>0</v>
      </c>
      <c r="H34" s="36">
        <f>IF(ROW()=2,$L$1,SUM(Tabel1[[#This Row],[payment annual 31/12]],Tabel1[[#This Row],[interst2]],H33))</f>
        <v>13871.612016165354</v>
      </c>
      <c r="I34" t="str">
        <f>IF(MONTH(Tabel1[[#This Row],[date]])=12,Tabel1[[#This Row],[remaining]]-Tabel1[[#This Row],[remaining2]],"-")</f>
        <v>-</v>
      </c>
    </row>
    <row r="35" spans="1:9" x14ac:dyDescent="0.25">
      <c r="A35">
        <v>33</v>
      </c>
      <c r="B35" s="35">
        <f t="shared" si="1"/>
        <v>44743</v>
      </c>
      <c r="C35" s="38">
        <f>IF(Tabel1[[#This Row],[mois]]&lt;2,0,IF(Tabel1[[#This Row],[mois]]&gt;2,-1,-3)*$P$1)</f>
        <v>-337.6195737381974</v>
      </c>
      <c r="D35" s="39">
        <f>IF(Tabel1[[#This Row],[mois]]&gt;2,E34*$L$3,0)</f>
        <v>59.600409790931273</v>
      </c>
      <c r="E35" s="40">
        <f>SUM(IF(ROW()=2,$L$1,E34),Tabel1[[#This Row],[payment mensuel a la fin di mois]],Tabel1[[#This Row],[interst]])</f>
        <v>11966.416510801773</v>
      </c>
      <c r="F35">
        <f>IF(OR(Tabel1[[#This Row],[mois]]=72,MONTH(Tabel1[[#This Row],[date]])=12),MIN(Tabel1[[#This Row],[mois]]+1,12,82-Tabel1[[#This Row],[mois]])*-$P$2,0)</f>
        <v>0</v>
      </c>
      <c r="G35" s="36">
        <f>IF(OR(Tabel1[[#This Row],[mois]]=72,AND(MONTH(Tabel1[[#This Row],[date]])=12,YEAR(Tabel1[[#This Row],[date]])&gt;2019)),H34*$L$2*MIN(Tabel1[[#This Row],[mois]],12,72-Tabel1[[#This Row],[mois]]+10)/12,0)</f>
        <v>0</v>
      </c>
      <c r="H35" s="36">
        <f>IF(ROW()=2,$L$1,SUM(Tabel1[[#This Row],[payment annual 31/12]],Tabel1[[#This Row],[interst2]],H34))</f>
        <v>13871.612016165354</v>
      </c>
      <c r="I35" t="str">
        <f>IF(MONTH(Tabel1[[#This Row],[date]])=12,Tabel1[[#This Row],[remaining]]-Tabel1[[#This Row],[remaining2]],"-")</f>
        <v>-</v>
      </c>
    </row>
    <row r="36" spans="1:9" x14ac:dyDescent="0.25">
      <c r="A36">
        <v>34</v>
      </c>
      <c r="B36" s="35">
        <f t="shared" si="1"/>
        <v>44774</v>
      </c>
      <c r="C36" s="38">
        <f>IF(Tabel1[[#This Row],[mois]]&lt;2,0,IF(Tabel1[[#This Row],[mois]]&gt;2,-1,-3)*$P$1)</f>
        <v>-337.6195737381974</v>
      </c>
      <c r="D36" s="39">
        <f>IF(Tabel1[[#This Row],[mois]]&gt;2,E35*$L$3,0)</f>
        <v>58.24713745228356</v>
      </c>
      <c r="E36" s="40">
        <f>SUM(IF(ROW()=2,$L$1,E35),Tabel1[[#This Row],[payment mensuel a la fin di mois]],Tabel1[[#This Row],[interst]])</f>
        <v>11687.044074515859</v>
      </c>
      <c r="F36">
        <f>IF(OR(Tabel1[[#This Row],[mois]]=72,MONTH(Tabel1[[#This Row],[date]])=12),MIN(Tabel1[[#This Row],[mois]]+1,12,82-Tabel1[[#This Row],[mois]])*-$P$2,0)</f>
        <v>0</v>
      </c>
      <c r="G36" s="36">
        <f>IF(OR(Tabel1[[#This Row],[mois]]=72,AND(MONTH(Tabel1[[#This Row],[date]])=12,YEAR(Tabel1[[#This Row],[date]])&gt;2019)),H35*$L$2*MIN(Tabel1[[#This Row],[mois]],12,72-Tabel1[[#This Row],[mois]]+10)/12,0)</f>
        <v>0</v>
      </c>
      <c r="H36" s="36">
        <f>IF(ROW()=2,$L$1,SUM(Tabel1[[#This Row],[payment annual 31/12]],Tabel1[[#This Row],[interst2]],H35))</f>
        <v>13871.612016165354</v>
      </c>
      <c r="I36" t="str">
        <f>IF(MONTH(Tabel1[[#This Row],[date]])=12,Tabel1[[#This Row],[remaining]]-Tabel1[[#This Row],[remaining2]],"-")</f>
        <v>-</v>
      </c>
    </row>
    <row r="37" spans="1:9" x14ac:dyDescent="0.25">
      <c r="A37">
        <v>35</v>
      </c>
      <c r="B37" s="35">
        <f t="shared" si="1"/>
        <v>44805</v>
      </c>
      <c r="C37" s="38">
        <f>IF(Tabel1[[#This Row],[mois]]&lt;2,0,IF(Tabel1[[#This Row],[mois]]&gt;2,-1,-3)*$P$1)</f>
        <v>-337.6195737381974</v>
      </c>
      <c r="D37" s="39">
        <f>IF(Tabel1[[#This Row],[mois]]&gt;2,E36*$L$3,0)</f>
        <v>56.887277992098795</v>
      </c>
      <c r="E37" s="40">
        <f>SUM(IF(ROW()=2,$L$1,E36),Tabel1[[#This Row],[payment mensuel a la fin di mois]],Tabel1[[#This Row],[interst]])</f>
        <v>11406.311778769761</v>
      </c>
      <c r="F37">
        <f>IF(OR(Tabel1[[#This Row],[mois]]=72,MONTH(Tabel1[[#This Row],[date]])=12),MIN(Tabel1[[#This Row],[mois]]+1,12,82-Tabel1[[#This Row],[mois]])*-$P$2,0)</f>
        <v>0</v>
      </c>
      <c r="G37" s="36">
        <f>IF(OR(Tabel1[[#This Row],[mois]]=72,AND(MONTH(Tabel1[[#This Row],[date]])=12,YEAR(Tabel1[[#This Row],[date]])&gt;2019)),H36*$L$2*MIN(Tabel1[[#This Row],[mois]],12,72-Tabel1[[#This Row],[mois]]+10)/12,0)</f>
        <v>0</v>
      </c>
      <c r="H37" s="36">
        <f>IF(ROW()=2,$L$1,SUM(Tabel1[[#This Row],[payment annual 31/12]],Tabel1[[#This Row],[interst2]],H36))</f>
        <v>13871.612016165354</v>
      </c>
      <c r="I37" t="str">
        <f>IF(MONTH(Tabel1[[#This Row],[date]])=12,Tabel1[[#This Row],[remaining]]-Tabel1[[#This Row],[remaining2]],"-")</f>
        <v>-</v>
      </c>
    </row>
    <row r="38" spans="1:9" x14ac:dyDescent="0.25">
      <c r="A38">
        <v>36</v>
      </c>
      <c r="B38" s="35">
        <f t="shared" si="1"/>
        <v>44835</v>
      </c>
      <c r="C38" s="38">
        <f>IF(Tabel1[[#This Row],[mois]]&lt;2,0,IF(Tabel1[[#This Row],[mois]]&gt;2,-1,-3)*$P$1)</f>
        <v>-337.6195737381974</v>
      </c>
      <c r="D38" s="39">
        <f>IF(Tabel1[[#This Row],[mois]]&gt;2,E37*$L$3,0)</f>
        <v>55.520799347229826</v>
      </c>
      <c r="E38" s="40">
        <f>SUM(IF(ROW()=2,$L$1,E37),Tabel1[[#This Row],[payment mensuel a la fin di mois]],Tabel1[[#This Row],[interst]])</f>
        <v>11124.213004378795</v>
      </c>
      <c r="F38">
        <f>IF(OR(Tabel1[[#This Row],[mois]]=72,MONTH(Tabel1[[#This Row],[date]])=12),MIN(Tabel1[[#This Row],[mois]]+1,12,82-Tabel1[[#This Row],[mois]])*-$P$2,0)</f>
        <v>0</v>
      </c>
      <c r="G38" s="36">
        <f>IF(OR(Tabel1[[#This Row],[mois]]=72,AND(MONTH(Tabel1[[#This Row],[date]])=12,YEAR(Tabel1[[#This Row],[date]])&gt;2019)),H37*$L$2*MIN(Tabel1[[#This Row],[mois]],12,72-Tabel1[[#This Row],[mois]]+10)/12,0)</f>
        <v>0</v>
      </c>
      <c r="H38" s="36">
        <f>IF(ROW()=2,$L$1,SUM(Tabel1[[#This Row],[payment annual 31/12]],Tabel1[[#This Row],[interst2]],H37))</f>
        <v>13871.612016165354</v>
      </c>
      <c r="I38" t="str">
        <f>IF(MONTH(Tabel1[[#This Row],[date]])=12,Tabel1[[#This Row],[remaining]]-Tabel1[[#This Row],[remaining2]],"-")</f>
        <v>-</v>
      </c>
    </row>
    <row r="39" spans="1:9" x14ac:dyDescent="0.25">
      <c r="A39">
        <v>37</v>
      </c>
      <c r="B39" s="35">
        <f t="shared" si="1"/>
        <v>44866</v>
      </c>
      <c r="C39" s="38">
        <f>IF(Tabel1[[#This Row],[mois]]&lt;2,0,IF(Tabel1[[#This Row],[mois]]&gt;2,-1,-3)*$P$1)</f>
        <v>-337.6195737381974</v>
      </c>
      <c r="D39" s="39">
        <f>IF(Tabel1[[#This Row],[mois]]&gt;2,E38*$L$3,0)</f>
        <v>54.147669298460492</v>
      </c>
      <c r="E39" s="40">
        <f>SUM(IF(ROW()=2,$L$1,E38),Tabel1[[#This Row],[payment mensuel a la fin di mois]],Tabel1[[#This Row],[interst]])</f>
        <v>10840.741099939058</v>
      </c>
      <c r="F39">
        <f>IF(OR(Tabel1[[#This Row],[mois]]=72,MONTH(Tabel1[[#This Row],[date]])=12),MIN(Tabel1[[#This Row],[mois]]+1,12,82-Tabel1[[#This Row],[mois]])*-$P$2,0)</f>
        <v>0</v>
      </c>
      <c r="G39" s="36">
        <f>IF(OR(Tabel1[[#This Row],[mois]]=72,AND(MONTH(Tabel1[[#This Row],[date]])=12,YEAR(Tabel1[[#This Row],[date]])&gt;2019)),H38*$L$2*MIN(Tabel1[[#This Row],[mois]],12,72-Tabel1[[#This Row],[mois]]+10)/12,0)</f>
        <v>0</v>
      </c>
      <c r="H39" s="36">
        <f>IF(ROW()=2,$L$1,SUM(Tabel1[[#This Row],[payment annual 31/12]],Tabel1[[#This Row],[interst2]],H38))</f>
        <v>13871.612016165354</v>
      </c>
      <c r="I39" t="str">
        <f>IF(MONTH(Tabel1[[#This Row],[date]])=12,Tabel1[[#This Row],[remaining]]-Tabel1[[#This Row],[remaining2]],"-")</f>
        <v>-</v>
      </c>
    </row>
    <row r="40" spans="1:9" x14ac:dyDescent="0.25">
      <c r="A40">
        <v>38</v>
      </c>
      <c r="B40" s="35">
        <f t="shared" si="1"/>
        <v>44896</v>
      </c>
      <c r="C40" s="38">
        <f>IF(Tabel1[[#This Row],[mois]]&lt;2,0,IF(Tabel1[[#This Row],[mois]]&gt;2,-1,-3)*$P$1)</f>
        <v>-337.6195737381974</v>
      </c>
      <c r="D40" s="39">
        <f>IF(Tabel1[[#This Row],[mois]]&gt;2,E39*$L$3,0)</f>
        <v>52.767855469745982</v>
      </c>
      <c r="E40" s="40">
        <f>SUM(IF(ROW()=2,$L$1,E39),Tabel1[[#This Row],[payment mensuel a la fin di mois]],Tabel1[[#This Row],[interst]])</f>
        <v>10555.889381670608</v>
      </c>
      <c r="F40">
        <f>IF(OR(Tabel1[[#This Row],[mois]]=72,MONTH(Tabel1[[#This Row],[date]])=12),MIN(Tabel1[[#This Row],[mois]]+1,12,82-Tabel1[[#This Row],[mois]])*-$P$2,0)</f>
        <v>-4153.9527463089598</v>
      </c>
      <c r="G40" s="36">
        <f>IF(OR(Tabel1[[#This Row],[mois]]=72,AND(MONTH(Tabel1[[#This Row],[date]])=12,YEAR(Tabel1[[#This Row],[date]])&gt;2019)),H39*$L$2*MIN(Tabel1[[#This Row],[mois]],12,72-Tabel1[[#This Row],[mois]]+10)/12,0)</f>
        <v>832.29672096992124</v>
      </c>
      <c r="H40" s="36">
        <f>IF(ROW()=2,$L$1,SUM(Tabel1[[#This Row],[payment annual 31/12]],Tabel1[[#This Row],[interst2]],H39))</f>
        <v>10549.955990826316</v>
      </c>
      <c r="I40">
        <f>IF(MONTH(Tabel1[[#This Row],[date]])=12,Tabel1[[#This Row],[remaining]]-Tabel1[[#This Row],[remaining2]],"-")</f>
        <v>5.9333908442913526</v>
      </c>
    </row>
    <row r="41" spans="1:9" x14ac:dyDescent="0.25">
      <c r="A41">
        <v>39</v>
      </c>
      <c r="B41" s="35">
        <f t="shared" si="1"/>
        <v>44927</v>
      </c>
      <c r="C41" s="38">
        <f>IF(Tabel1[[#This Row],[mois]]&lt;2,0,IF(Tabel1[[#This Row],[mois]]&gt;2,-1,-3)*$P$1)</f>
        <v>-337.6195737381974</v>
      </c>
      <c r="D41" s="39">
        <f>IF(Tabel1[[#This Row],[mois]]&gt;2,E40*$L$3,0)</f>
        <v>51.381325327449446</v>
      </c>
      <c r="E41" s="40">
        <f>SUM(IF(ROW()=2,$L$1,E40),Tabel1[[#This Row],[payment mensuel a la fin di mois]],Tabel1[[#This Row],[interst]])</f>
        <v>10269.65113325986</v>
      </c>
      <c r="F41">
        <f>IF(OR(Tabel1[[#This Row],[mois]]=72,MONTH(Tabel1[[#This Row],[date]])=12),MIN(Tabel1[[#This Row],[mois]]+1,12,82-Tabel1[[#This Row],[mois]])*-$P$2,0)</f>
        <v>0</v>
      </c>
      <c r="G41" s="36">
        <f>IF(OR(Tabel1[[#This Row],[mois]]=72,AND(MONTH(Tabel1[[#This Row],[date]])=12,YEAR(Tabel1[[#This Row],[date]])&gt;2019)),H40*$L$2*MIN(Tabel1[[#This Row],[mois]],12,72-Tabel1[[#This Row],[mois]]+10)/12,0)</f>
        <v>0</v>
      </c>
      <c r="H41" s="36">
        <f>IF(ROW()=2,$L$1,SUM(Tabel1[[#This Row],[payment annual 31/12]],Tabel1[[#This Row],[interst2]],H40))</f>
        <v>10549.955990826316</v>
      </c>
      <c r="I41" t="str">
        <f>IF(MONTH(Tabel1[[#This Row],[date]])=12,Tabel1[[#This Row],[remaining]]-Tabel1[[#This Row],[remaining2]],"-")</f>
        <v>-</v>
      </c>
    </row>
    <row r="42" spans="1:9" x14ac:dyDescent="0.25">
      <c r="A42">
        <v>40</v>
      </c>
      <c r="B42" s="35">
        <f t="shared" si="1"/>
        <v>44958</v>
      </c>
      <c r="C42" s="38">
        <f>IF(Tabel1[[#This Row],[mois]]&lt;2,0,IF(Tabel1[[#This Row],[mois]]&gt;2,-1,-3)*$P$1)</f>
        <v>-337.6195737381974</v>
      </c>
      <c r="D42" s="39">
        <f>IF(Tabel1[[#This Row],[mois]]&gt;2,E41*$L$3,0)</f>
        <v>49.988046179574908</v>
      </c>
      <c r="E42" s="40">
        <f>SUM(IF(ROW()=2,$L$1,E41),Tabel1[[#This Row],[payment mensuel a la fin di mois]],Tabel1[[#This Row],[interst]])</f>
        <v>9982.0196057012381</v>
      </c>
      <c r="F42">
        <f>IF(OR(Tabel1[[#This Row],[mois]]=72,MONTH(Tabel1[[#This Row],[date]])=12),MIN(Tabel1[[#This Row],[mois]]+1,12,82-Tabel1[[#This Row],[mois]])*-$P$2,0)</f>
        <v>0</v>
      </c>
      <c r="G42" s="36">
        <f>IF(OR(Tabel1[[#This Row],[mois]]=72,AND(MONTH(Tabel1[[#This Row],[date]])=12,YEAR(Tabel1[[#This Row],[date]])&gt;2019)),H41*$L$2*MIN(Tabel1[[#This Row],[mois]],12,72-Tabel1[[#This Row],[mois]]+10)/12,0)</f>
        <v>0</v>
      </c>
      <c r="H42" s="36">
        <f>IF(ROW()=2,$L$1,SUM(Tabel1[[#This Row],[payment annual 31/12]],Tabel1[[#This Row],[interst2]],H41))</f>
        <v>10549.955990826316</v>
      </c>
      <c r="I42" t="str">
        <f>IF(MONTH(Tabel1[[#This Row],[date]])=12,Tabel1[[#This Row],[remaining]]-Tabel1[[#This Row],[remaining2]],"-")</f>
        <v>-</v>
      </c>
    </row>
    <row r="43" spans="1:9" x14ac:dyDescent="0.25">
      <c r="A43">
        <v>41</v>
      </c>
      <c r="B43" s="35">
        <f t="shared" si="1"/>
        <v>44986</v>
      </c>
      <c r="C43" s="38">
        <f>IF(Tabel1[[#This Row],[mois]]&lt;2,0,IF(Tabel1[[#This Row],[mois]]&gt;2,-1,-3)*$P$1)</f>
        <v>-337.6195737381974</v>
      </c>
      <c r="D43" s="39">
        <f>IF(Tabel1[[#This Row],[mois]]&gt;2,E42*$L$3,0)</f>
        <v>48.587985174996454</v>
      </c>
      <c r="E43" s="40">
        <f>SUM(IF(ROW()=2,$L$1,E42),Tabel1[[#This Row],[payment mensuel a la fin di mois]],Tabel1[[#This Row],[interst]])</f>
        <v>9692.9880171380373</v>
      </c>
      <c r="F43">
        <f>IF(OR(Tabel1[[#This Row],[mois]]=72,MONTH(Tabel1[[#This Row],[date]])=12),MIN(Tabel1[[#This Row],[mois]]+1,12,82-Tabel1[[#This Row],[mois]])*-$P$2,0)</f>
        <v>0</v>
      </c>
      <c r="G43" s="36">
        <f>IF(OR(Tabel1[[#This Row],[mois]]=72,AND(MONTH(Tabel1[[#This Row],[date]])=12,YEAR(Tabel1[[#This Row],[date]])&gt;2019)),H42*$L$2*MIN(Tabel1[[#This Row],[mois]],12,72-Tabel1[[#This Row],[mois]]+10)/12,0)</f>
        <v>0</v>
      </c>
      <c r="H43" s="36">
        <f>IF(ROW()=2,$L$1,SUM(Tabel1[[#This Row],[payment annual 31/12]],Tabel1[[#This Row],[interst2]],H42))</f>
        <v>10549.955990826316</v>
      </c>
      <c r="I43" t="str">
        <f>IF(MONTH(Tabel1[[#This Row],[date]])=12,Tabel1[[#This Row],[remaining]]-Tabel1[[#This Row],[remaining2]],"-")</f>
        <v>-</v>
      </c>
    </row>
    <row r="44" spans="1:9" x14ac:dyDescent="0.25">
      <c r="A44">
        <v>42</v>
      </c>
      <c r="B44" s="35">
        <f t="shared" si="1"/>
        <v>45017</v>
      </c>
      <c r="C44" s="38">
        <f>IF(Tabel1[[#This Row],[mois]]&lt;2,0,IF(Tabel1[[#This Row],[mois]]&gt;2,-1,-3)*$P$1)</f>
        <v>-337.6195737381974</v>
      </c>
      <c r="D44" s="39">
        <f>IF(Tabel1[[#This Row],[mois]]&gt;2,E43*$L$3,0)</f>
        <v>47.181109302683645</v>
      </c>
      <c r="E44" s="40">
        <f>SUM(IF(ROW()=2,$L$1,E43),Tabel1[[#This Row],[payment mensuel a la fin di mois]],Tabel1[[#This Row],[interst]])</f>
        <v>9402.549552702525</v>
      </c>
      <c r="F44">
        <f>IF(OR(Tabel1[[#This Row],[mois]]=72,MONTH(Tabel1[[#This Row],[date]])=12),MIN(Tabel1[[#This Row],[mois]]+1,12,82-Tabel1[[#This Row],[mois]])*-$P$2,0)</f>
        <v>0</v>
      </c>
      <c r="G44" s="36">
        <f>IF(OR(Tabel1[[#This Row],[mois]]=72,AND(MONTH(Tabel1[[#This Row],[date]])=12,YEAR(Tabel1[[#This Row],[date]])&gt;2019)),H43*$L$2*MIN(Tabel1[[#This Row],[mois]],12,72-Tabel1[[#This Row],[mois]]+10)/12,0)</f>
        <v>0</v>
      </c>
      <c r="H44" s="36">
        <f>IF(ROW()=2,$L$1,SUM(Tabel1[[#This Row],[payment annual 31/12]],Tabel1[[#This Row],[interst2]],H43))</f>
        <v>10549.955990826316</v>
      </c>
      <c r="I44" t="str">
        <f>IF(MONTH(Tabel1[[#This Row],[date]])=12,Tabel1[[#This Row],[remaining]]-Tabel1[[#This Row],[remaining2]],"-")</f>
        <v>-</v>
      </c>
    </row>
    <row r="45" spans="1:9" x14ac:dyDescent="0.25">
      <c r="A45">
        <v>43</v>
      </c>
      <c r="B45" s="35">
        <f t="shared" si="1"/>
        <v>45047</v>
      </c>
      <c r="C45" s="38">
        <f>IF(Tabel1[[#This Row],[mois]]&lt;2,0,IF(Tabel1[[#This Row],[mois]]&gt;2,-1,-3)*$P$1)</f>
        <v>-337.6195737381974</v>
      </c>
      <c r="D45" s="39">
        <f>IF(Tabel1[[#This Row],[mois]]&gt;2,E44*$L$3,0)</f>
        <v>45.767385390923202</v>
      </c>
      <c r="E45" s="40">
        <f>SUM(IF(ROW()=2,$L$1,E44),Tabel1[[#This Row],[payment mensuel a la fin di mois]],Tabel1[[#This Row],[interst]])</f>
        <v>9110.6973643552519</v>
      </c>
      <c r="F45">
        <f>IF(OR(Tabel1[[#This Row],[mois]]=72,MONTH(Tabel1[[#This Row],[date]])=12),MIN(Tabel1[[#This Row],[mois]]+1,12,82-Tabel1[[#This Row],[mois]])*-$P$2,0)</f>
        <v>0</v>
      </c>
      <c r="G45" s="36">
        <f>IF(OR(Tabel1[[#This Row],[mois]]=72,AND(MONTH(Tabel1[[#This Row],[date]])=12,YEAR(Tabel1[[#This Row],[date]])&gt;2019)),H44*$L$2*MIN(Tabel1[[#This Row],[mois]],12,72-Tabel1[[#This Row],[mois]]+10)/12,0)</f>
        <v>0</v>
      </c>
      <c r="H45" s="36">
        <f>IF(ROW()=2,$L$1,SUM(Tabel1[[#This Row],[payment annual 31/12]],Tabel1[[#This Row],[interst2]],H44))</f>
        <v>10549.955990826316</v>
      </c>
      <c r="I45" t="str">
        <f>IF(MONTH(Tabel1[[#This Row],[date]])=12,Tabel1[[#This Row],[remaining]]-Tabel1[[#This Row],[remaining2]],"-")</f>
        <v>-</v>
      </c>
    </row>
    <row r="46" spans="1:9" x14ac:dyDescent="0.25">
      <c r="A46">
        <v>44</v>
      </c>
      <c r="B46" s="35">
        <f t="shared" si="1"/>
        <v>45078</v>
      </c>
      <c r="C46" s="38">
        <f>IF(Tabel1[[#This Row],[mois]]&lt;2,0,IF(Tabel1[[#This Row],[mois]]&gt;2,-1,-3)*$P$1)</f>
        <v>-337.6195737381974</v>
      </c>
      <c r="D46" s="39">
        <f>IF(Tabel1[[#This Row],[mois]]&gt;2,E45*$L$3,0)</f>
        <v>44.346780106536826</v>
      </c>
      <c r="E46" s="40">
        <f>SUM(IF(ROW()=2,$L$1,E45),Tabel1[[#This Row],[payment mensuel a la fin di mois]],Tabel1[[#This Row],[interst]])</f>
        <v>8817.4245707235914</v>
      </c>
      <c r="F46">
        <f>IF(OR(Tabel1[[#This Row],[mois]]=72,MONTH(Tabel1[[#This Row],[date]])=12),MIN(Tabel1[[#This Row],[mois]]+1,12,82-Tabel1[[#This Row],[mois]])*-$P$2,0)</f>
        <v>0</v>
      </c>
      <c r="G46" s="36">
        <f>IF(OR(Tabel1[[#This Row],[mois]]=72,AND(MONTH(Tabel1[[#This Row],[date]])=12,YEAR(Tabel1[[#This Row],[date]])&gt;2019)),H45*$L$2*MIN(Tabel1[[#This Row],[mois]],12,72-Tabel1[[#This Row],[mois]]+10)/12,0)</f>
        <v>0</v>
      </c>
      <c r="H46" s="36">
        <f>IF(ROW()=2,$L$1,SUM(Tabel1[[#This Row],[payment annual 31/12]],Tabel1[[#This Row],[interst2]],H45))</f>
        <v>10549.955990826316</v>
      </c>
      <c r="I46" t="str">
        <f>IF(MONTH(Tabel1[[#This Row],[date]])=12,Tabel1[[#This Row],[remaining]]-Tabel1[[#This Row],[remaining2]],"-")</f>
        <v>-</v>
      </c>
    </row>
    <row r="47" spans="1:9" x14ac:dyDescent="0.25">
      <c r="A47">
        <v>45</v>
      </c>
      <c r="B47" s="35">
        <f t="shared" si="1"/>
        <v>45108</v>
      </c>
      <c r="C47" s="38">
        <f>IF(Tabel1[[#This Row],[mois]]&lt;2,0,IF(Tabel1[[#This Row],[mois]]&gt;2,-1,-3)*$P$1)</f>
        <v>-337.6195737381974</v>
      </c>
      <c r="D47" s="39">
        <f>IF(Tabel1[[#This Row],[mois]]&gt;2,E46*$L$3,0)</f>
        <v>42.919259954095303</v>
      </c>
      <c r="E47" s="40">
        <f>SUM(IF(ROW()=2,$L$1,E46),Tabel1[[#This Row],[payment mensuel a la fin di mois]],Tabel1[[#This Row],[interst]])</f>
        <v>8522.7242569394894</v>
      </c>
      <c r="F47">
        <f>IF(OR(Tabel1[[#This Row],[mois]]=72,MONTH(Tabel1[[#This Row],[date]])=12),MIN(Tabel1[[#This Row],[mois]]+1,12,82-Tabel1[[#This Row],[mois]])*-$P$2,0)</f>
        <v>0</v>
      </c>
      <c r="G47" s="36">
        <f>IF(OR(Tabel1[[#This Row],[mois]]=72,AND(MONTH(Tabel1[[#This Row],[date]])=12,YEAR(Tabel1[[#This Row],[date]])&gt;2019)),H46*$L$2*MIN(Tabel1[[#This Row],[mois]],12,72-Tabel1[[#This Row],[mois]]+10)/12,0)</f>
        <v>0</v>
      </c>
      <c r="H47" s="36">
        <f>IF(ROW()=2,$L$1,SUM(Tabel1[[#This Row],[payment annual 31/12]],Tabel1[[#This Row],[interst2]],H46))</f>
        <v>10549.955990826316</v>
      </c>
      <c r="I47" t="str">
        <f>IF(MONTH(Tabel1[[#This Row],[date]])=12,Tabel1[[#This Row],[remaining]]-Tabel1[[#This Row],[remaining2]],"-")</f>
        <v>-</v>
      </c>
    </row>
    <row r="48" spans="1:9" x14ac:dyDescent="0.25">
      <c r="A48">
        <v>46</v>
      </c>
      <c r="B48" s="35">
        <f t="shared" si="1"/>
        <v>45139</v>
      </c>
      <c r="C48" s="38">
        <f>IF(Tabel1[[#This Row],[mois]]&lt;2,0,IF(Tabel1[[#This Row],[mois]]&gt;2,-1,-3)*$P$1)</f>
        <v>-337.6195737381974</v>
      </c>
      <c r="D48" s="39">
        <f>IF(Tabel1[[#This Row],[mois]]&gt;2,E47*$L$3,0)</f>
        <v>41.484791275128721</v>
      </c>
      <c r="E48" s="40">
        <f>SUM(IF(ROW()=2,$L$1,E47),Tabel1[[#This Row],[payment mensuel a la fin di mois]],Tabel1[[#This Row],[interst]])</f>
        <v>8226.5894744764209</v>
      </c>
      <c r="F48">
        <f>IF(OR(Tabel1[[#This Row],[mois]]=72,MONTH(Tabel1[[#This Row],[date]])=12),MIN(Tabel1[[#This Row],[mois]]+1,12,82-Tabel1[[#This Row],[mois]])*-$P$2,0)</f>
        <v>0</v>
      </c>
      <c r="G48" s="36">
        <f>IF(OR(Tabel1[[#This Row],[mois]]=72,AND(MONTH(Tabel1[[#This Row],[date]])=12,YEAR(Tabel1[[#This Row],[date]])&gt;2019)),H47*$L$2*MIN(Tabel1[[#This Row],[mois]],12,72-Tabel1[[#This Row],[mois]]+10)/12,0)</f>
        <v>0</v>
      </c>
      <c r="H48" s="36">
        <f>IF(ROW()=2,$L$1,SUM(Tabel1[[#This Row],[payment annual 31/12]],Tabel1[[#This Row],[interst2]],H47))</f>
        <v>10549.955990826316</v>
      </c>
      <c r="I48" t="str">
        <f>IF(MONTH(Tabel1[[#This Row],[date]])=12,Tabel1[[#This Row],[remaining]]-Tabel1[[#This Row],[remaining2]],"-")</f>
        <v>-</v>
      </c>
    </row>
    <row r="49" spans="1:9" x14ac:dyDescent="0.25">
      <c r="A49">
        <v>47</v>
      </c>
      <c r="B49" s="35">
        <f t="shared" si="1"/>
        <v>45170</v>
      </c>
      <c r="C49" s="38">
        <f>IF(Tabel1[[#This Row],[mois]]&lt;2,0,IF(Tabel1[[#This Row],[mois]]&gt;2,-1,-3)*$P$1)</f>
        <v>-337.6195737381974</v>
      </c>
      <c r="D49" s="39">
        <f>IF(Tabel1[[#This Row],[mois]]&gt;2,E48*$L$3,0)</f>
        <v>40.043340247332871</v>
      </c>
      <c r="E49" s="40">
        <f>SUM(IF(ROW()=2,$L$1,E48),Tabel1[[#This Row],[payment mensuel a la fin di mois]],Tabel1[[#This Row],[interst]])</f>
        <v>7929.013240985556</v>
      </c>
      <c r="F49">
        <f>IF(OR(Tabel1[[#This Row],[mois]]=72,MONTH(Tabel1[[#This Row],[date]])=12),MIN(Tabel1[[#This Row],[mois]]+1,12,82-Tabel1[[#This Row],[mois]])*-$P$2,0)</f>
        <v>0</v>
      </c>
      <c r="G49" s="36">
        <f>IF(OR(Tabel1[[#This Row],[mois]]=72,AND(MONTH(Tabel1[[#This Row],[date]])=12,YEAR(Tabel1[[#This Row],[date]])&gt;2019)),H48*$L$2*MIN(Tabel1[[#This Row],[mois]],12,72-Tabel1[[#This Row],[mois]]+10)/12,0)</f>
        <v>0</v>
      </c>
      <c r="H49" s="36">
        <f>IF(ROW()=2,$L$1,SUM(Tabel1[[#This Row],[payment annual 31/12]],Tabel1[[#This Row],[interst2]],H48))</f>
        <v>10549.955990826316</v>
      </c>
      <c r="I49" t="str">
        <f>IF(MONTH(Tabel1[[#This Row],[date]])=12,Tabel1[[#This Row],[remaining]]-Tabel1[[#This Row],[remaining2]],"-")</f>
        <v>-</v>
      </c>
    </row>
    <row r="50" spans="1:9" x14ac:dyDescent="0.25">
      <c r="A50">
        <v>48</v>
      </c>
      <c r="B50" s="35">
        <f t="shared" si="1"/>
        <v>45200</v>
      </c>
      <c r="C50" s="38">
        <f>IF(Tabel1[[#This Row],[mois]]&lt;2,0,IF(Tabel1[[#This Row],[mois]]&gt;2,-1,-3)*$P$1)</f>
        <v>-337.6195737381974</v>
      </c>
      <c r="D50" s="39">
        <f>IF(Tabel1[[#This Row],[mois]]&gt;2,E49*$L$3,0)</f>
        <v>38.594872883771757</v>
      </c>
      <c r="E50" s="40">
        <f>SUM(IF(ROW()=2,$L$1,E49),Tabel1[[#This Row],[payment mensuel a la fin di mois]],Tabel1[[#This Row],[interst]])</f>
        <v>7629.9885401311303</v>
      </c>
      <c r="F50">
        <f>IF(OR(Tabel1[[#This Row],[mois]]=72,MONTH(Tabel1[[#This Row],[date]])=12),MIN(Tabel1[[#This Row],[mois]]+1,12,82-Tabel1[[#This Row],[mois]])*-$P$2,0)</f>
        <v>0</v>
      </c>
      <c r="G50" s="36">
        <f>IF(OR(Tabel1[[#This Row],[mois]]=72,AND(MONTH(Tabel1[[#This Row],[date]])=12,YEAR(Tabel1[[#This Row],[date]])&gt;2019)),H49*$L$2*MIN(Tabel1[[#This Row],[mois]],12,72-Tabel1[[#This Row],[mois]]+10)/12,0)</f>
        <v>0</v>
      </c>
      <c r="H50" s="36">
        <f>IF(ROW()=2,$L$1,SUM(Tabel1[[#This Row],[payment annual 31/12]],Tabel1[[#This Row],[interst2]],H49))</f>
        <v>10549.955990826316</v>
      </c>
      <c r="I50" t="str">
        <f>IF(MONTH(Tabel1[[#This Row],[date]])=12,Tabel1[[#This Row],[remaining]]-Tabel1[[#This Row],[remaining2]],"-")</f>
        <v>-</v>
      </c>
    </row>
    <row r="51" spans="1:9" x14ac:dyDescent="0.25">
      <c r="A51">
        <v>49</v>
      </c>
      <c r="B51" s="35">
        <f t="shared" si="1"/>
        <v>45231</v>
      </c>
      <c r="C51" s="38">
        <f>IF(Tabel1[[#This Row],[mois]]&lt;2,0,IF(Tabel1[[#This Row],[mois]]&gt;2,-1,-3)*$P$1)</f>
        <v>-337.6195737381974</v>
      </c>
      <c r="D51" s="39">
        <f>IF(Tabel1[[#This Row],[mois]]&gt;2,E50*$L$3,0)</f>
        <v>37.139355032076267</v>
      </c>
      <c r="E51" s="40">
        <f>SUM(IF(ROW()=2,$L$1,E50),Tabel1[[#This Row],[payment mensuel a la fin di mois]],Tabel1[[#This Row],[interst]])</f>
        <v>7329.5083214250089</v>
      </c>
      <c r="F51">
        <f>IF(OR(Tabel1[[#This Row],[mois]]=72,MONTH(Tabel1[[#This Row],[date]])=12),MIN(Tabel1[[#This Row],[mois]]+1,12,82-Tabel1[[#This Row],[mois]])*-$P$2,0)</f>
        <v>0</v>
      </c>
      <c r="G51" s="36">
        <f>IF(OR(Tabel1[[#This Row],[mois]]=72,AND(MONTH(Tabel1[[#This Row],[date]])=12,YEAR(Tabel1[[#This Row],[date]])&gt;2019)),H50*$L$2*MIN(Tabel1[[#This Row],[mois]],12,72-Tabel1[[#This Row],[mois]]+10)/12,0)</f>
        <v>0</v>
      </c>
      <c r="H51" s="36">
        <f>IF(ROW()=2,$L$1,SUM(Tabel1[[#This Row],[payment annual 31/12]],Tabel1[[#This Row],[interst2]],H50))</f>
        <v>10549.955990826316</v>
      </c>
      <c r="I51" t="str">
        <f>IF(MONTH(Tabel1[[#This Row],[date]])=12,Tabel1[[#This Row],[remaining]]-Tabel1[[#This Row],[remaining2]],"-")</f>
        <v>-</v>
      </c>
    </row>
    <row r="52" spans="1:9" x14ac:dyDescent="0.25">
      <c r="A52">
        <v>50</v>
      </c>
      <c r="B52" s="35">
        <f t="shared" si="1"/>
        <v>45261</v>
      </c>
      <c r="C52" s="38">
        <f>IF(Tabel1[[#This Row],[mois]]&lt;2,0,IF(Tabel1[[#This Row],[mois]]&gt;2,-1,-3)*$P$1)</f>
        <v>-337.6195737381974</v>
      </c>
      <c r="D52" s="39">
        <f>IF(Tabel1[[#This Row],[mois]]&gt;2,E51*$L$3,0)</f>
        <v>35.676752373638877</v>
      </c>
      <c r="E52" s="40">
        <f>SUM(IF(ROW()=2,$L$1,E51),Tabel1[[#This Row],[payment mensuel a la fin di mois]],Tabel1[[#This Row],[interst]])</f>
        <v>7027.5655000604502</v>
      </c>
      <c r="F52">
        <f>IF(OR(Tabel1[[#This Row],[mois]]=72,MONTH(Tabel1[[#This Row],[date]])=12),MIN(Tabel1[[#This Row],[mois]]+1,12,82-Tabel1[[#This Row],[mois]])*-$P$2,0)</f>
        <v>-4153.9527463089598</v>
      </c>
      <c r="G52" s="36">
        <f>IF(OR(Tabel1[[#This Row],[mois]]=72,AND(MONTH(Tabel1[[#This Row],[date]])=12,YEAR(Tabel1[[#This Row],[date]])&gt;2019)),H51*$L$2*MIN(Tabel1[[#This Row],[mois]],12,72-Tabel1[[#This Row],[mois]]+10)/12,0)</f>
        <v>632.99735944957899</v>
      </c>
      <c r="H52" s="36">
        <f>IF(ROW()=2,$L$1,SUM(Tabel1[[#This Row],[payment annual 31/12]],Tabel1[[#This Row],[interst2]],H51))</f>
        <v>7029.0006039669352</v>
      </c>
      <c r="I52">
        <f>IF(MONTH(Tabel1[[#This Row],[date]])=12,Tabel1[[#This Row],[remaining]]-Tabel1[[#This Row],[remaining2]],"-")</f>
        <v>-1.4351039064849829</v>
      </c>
    </row>
    <row r="53" spans="1:9" x14ac:dyDescent="0.25">
      <c r="A53">
        <v>51</v>
      </c>
      <c r="B53" s="35">
        <f t="shared" si="1"/>
        <v>45292</v>
      </c>
      <c r="C53" s="38">
        <f>IF(Tabel1[[#This Row],[mois]]&lt;2,0,IF(Tabel1[[#This Row],[mois]]&gt;2,-1,-3)*$P$1)</f>
        <v>-337.6195737381974</v>
      </c>
      <c r="D53" s="39">
        <f>IF(Tabel1[[#This Row],[mois]]&gt;2,E52*$L$3,0)</f>
        <v>34.20703042280455</v>
      </c>
      <c r="E53" s="40">
        <f>SUM(IF(ROW()=2,$L$1,E52),Tabel1[[#This Row],[payment mensuel a la fin di mois]],Tabel1[[#This Row],[interst]])</f>
        <v>6724.1529567450571</v>
      </c>
      <c r="F53">
        <f>IF(OR(Tabel1[[#This Row],[mois]]=72,MONTH(Tabel1[[#This Row],[date]])=12),MIN(Tabel1[[#This Row],[mois]]+1,12,82-Tabel1[[#This Row],[mois]])*-$P$2,0)</f>
        <v>0</v>
      </c>
      <c r="G53" s="36">
        <f>IF(OR(Tabel1[[#This Row],[mois]]=72,AND(MONTH(Tabel1[[#This Row],[date]])=12,YEAR(Tabel1[[#This Row],[date]])&gt;2019)),H52*$L$2*MIN(Tabel1[[#This Row],[mois]],12,72-Tabel1[[#This Row],[mois]]+10)/12,0)</f>
        <v>0</v>
      </c>
      <c r="H53" s="36">
        <f>IF(ROW()=2,$L$1,SUM(Tabel1[[#This Row],[payment annual 31/12]],Tabel1[[#This Row],[interst2]],H52))</f>
        <v>7029.0006039669352</v>
      </c>
      <c r="I53" t="str">
        <f>IF(MONTH(Tabel1[[#This Row],[date]])=12,Tabel1[[#This Row],[remaining]]-Tabel1[[#This Row],[remaining2]],"-")</f>
        <v>-</v>
      </c>
    </row>
    <row r="54" spans="1:9" x14ac:dyDescent="0.25">
      <c r="A54">
        <v>52</v>
      </c>
      <c r="B54" s="35">
        <f t="shared" si="1"/>
        <v>45323</v>
      </c>
      <c r="C54" s="38">
        <f>IF(Tabel1[[#This Row],[mois]]&lt;2,0,IF(Tabel1[[#This Row],[mois]]&gt;2,-1,-3)*$P$1)</f>
        <v>-337.6195737381974</v>
      </c>
      <c r="D54" s="39">
        <f>IF(Tabel1[[#This Row],[mois]]&gt;2,E53*$L$3,0)</f>
        <v>32.730154526057532</v>
      </c>
      <c r="E54" s="40">
        <f>SUM(IF(ROW()=2,$L$1,E53),Tabel1[[#This Row],[payment mensuel a la fin di mois]],Tabel1[[#This Row],[interst]])</f>
        <v>6419.2635375329173</v>
      </c>
      <c r="F54">
        <f>IF(OR(Tabel1[[#This Row],[mois]]=72,MONTH(Tabel1[[#This Row],[date]])=12),MIN(Tabel1[[#This Row],[mois]]+1,12,82-Tabel1[[#This Row],[mois]])*-$P$2,0)</f>
        <v>0</v>
      </c>
      <c r="G54" s="36">
        <f>IF(OR(Tabel1[[#This Row],[mois]]=72,AND(MONTH(Tabel1[[#This Row],[date]])=12,YEAR(Tabel1[[#This Row],[date]])&gt;2019)),H53*$L$2*MIN(Tabel1[[#This Row],[mois]],12,72-Tabel1[[#This Row],[mois]]+10)/12,0)</f>
        <v>0</v>
      </c>
      <c r="H54" s="36">
        <f>IF(ROW()=2,$L$1,SUM(Tabel1[[#This Row],[payment annual 31/12]],Tabel1[[#This Row],[interst2]],H53))</f>
        <v>7029.0006039669352</v>
      </c>
      <c r="I54" t="str">
        <f>IF(MONTH(Tabel1[[#This Row],[date]])=12,Tabel1[[#This Row],[remaining]]-Tabel1[[#This Row],[remaining2]],"-")</f>
        <v>-</v>
      </c>
    </row>
    <row r="55" spans="1:9" x14ac:dyDescent="0.25">
      <c r="A55">
        <v>53</v>
      </c>
      <c r="B55" s="35">
        <f t="shared" si="1"/>
        <v>45352</v>
      </c>
      <c r="C55" s="38">
        <f>IF(Tabel1[[#This Row],[mois]]&lt;2,0,IF(Tabel1[[#This Row],[mois]]&gt;2,-1,-3)*$P$1)</f>
        <v>-337.6195737381974</v>
      </c>
      <c r="D55" s="39">
        <f>IF(Tabel1[[#This Row],[mois]]&gt;2,E54*$L$3,0)</f>
        <v>31.246089861204368</v>
      </c>
      <c r="E55" s="40">
        <f>SUM(IF(ROW()=2,$L$1,E54),Tabel1[[#This Row],[payment mensuel a la fin di mois]],Tabel1[[#This Row],[interst]])</f>
        <v>6112.890053655924</v>
      </c>
      <c r="F55">
        <f>IF(OR(Tabel1[[#This Row],[mois]]=72,MONTH(Tabel1[[#This Row],[date]])=12),MIN(Tabel1[[#This Row],[mois]]+1,12,82-Tabel1[[#This Row],[mois]])*-$P$2,0)</f>
        <v>0</v>
      </c>
      <c r="G55" s="36">
        <f>IF(OR(Tabel1[[#This Row],[mois]]=72,AND(MONTH(Tabel1[[#This Row],[date]])=12,YEAR(Tabel1[[#This Row],[date]])&gt;2019)),H54*$L$2*MIN(Tabel1[[#This Row],[mois]],12,72-Tabel1[[#This Row],[mois]]+10)/12,0)</f>
        <v>0</v>
      </c>
      <c r="H55" s="36">
        <f>IF(ROW()=2,$L$1,SUM(Tabel1[[#This Row],[payment annual 31/12]],Tabel1[[#This Row],[interst2]],H54))</f>
        <v>7029.0006039669352</v>
      </c>
      <c r="I55" t="str">
        <f>IF(MONTH(Tabel1[[#This Row],[date]])=12,Tabel1[[#This Row],[remaining]]-Tabel1[[#This Row],[remaining2]],"-")</f>
        <v>-</v>
      </c>
    </row>
    <row r="56" spans="1:9" x14ac:dyDescent="0.25">
      <c r="A56">
        <v>54</v>
      </c>
      <c r="B56" s="35">
        <f t="shared" si="1"/>
        <v>45383</v>
      </c>
      <c r="C56" s="38">
        <f>IF(Tabel1[[#This Row],[mois]]&lt;2,0,IF(Tabel1[[#This Row],[mois]]&gt;2,-1,-3)*$P$1)</f>
        <v>-337.6195737381974</v>
      </c>
      <c r="D56" s="39">
        <f>IF(Tabel1[[#This Row],[mois]]&gt;2,E55*$L$3,0)</f>
        <v>29.754801436552789</v>
      </c>
      <c r="E56" s="40">
        <f>SUM(IF(ROW()=2,$L$1,E55),Tabel1[[#This Row],[payment mensuel a la fin di mois]],Tabel1[[#This Row],[interst]])</f>
        <v>5805.0252813542793</v>
      </c>
      <c r="F56">
        <f>IF(OR(Tabel1[[#This Row],[mois]]=72,MONTH(Tabel1[[#This Row],[date]])=12),MIN(Tabel1[[#This Row],[mois]]+1,12,82-Tabel1[[#This Row],[mois]])*-$P$2,0)</f>
        <v>0</v>
      </c>
      <c r="G56" s="36">
        <f>IF(OR(Tabel1[[#This Row],[mois]]=72,AND(MONTH(Tabel1[[#This Row],[date]])=12,YEAR(Tabel1[[#This Row],[date]])&gt;2019)),H55*$L$2*MIN(Tabel1[[#This Row],[mois]],12,72-Tabel1[[#This Row],[mois]]+10)/12,0)</f>
        <v>0</v>
      </c>
      <c r="H56" s="36">
        <f>IF(ROW()=2,$L$1,SUM(Tabel1[[#This Row],[payment annual 31/12]],Tabel1[[#This Row],[interst2]],H55))</f>
        <v>7029.0006039669352</v>
      </c>
      <c r="I56" t="str">
        <f>IF(MONTH(Tabel1[[#This Row],[date]])=12,Tabel1[[#This Row],[remaining]]-Tabel1[[#This Row],[remaining2]],"-")</f>
        <v>-</v>
      </c>
    </row>
    <row r="57" spans="1:9" x14ac:dyDescent="0.25">
      <c r="A57">
        <v>55</v>
      </c>
      <c r="B57" s="35">
        <f t="shared" si="1"/>
        <v>45413</v>
      </c>
      <c r="C57" s="38">
        <f>IF(Tabel1[[#This Row],[mois]]&lt;2,0,IF(Tabel1[[#This Row],[mois]]&gt;2,-1,-3)*$P$1)</f>
        <v>-337.6195737381974</v>
      </c>
      <c r="D57" s="39">
        <f>IF(Tabel1[[#This Row],[mois]]&gt;2,E56*$L$3,0)</f>
        <v>28.25625409008671</v>
      </c>
      <c r="E57" s="40">
        <f>SUM(IF(ROW()=2,$L$1,E56),Tabel1[[#This Row],[payment mensuel a la fin di mois]],Tabel1[[#This Row],[interst]])</f>
        <v>5495.6619617061679</v>
      </c>
      <c r="F57">
        <f>IF(OR(Tabel1[[#This Row],[mois]]=72,MONTH(Tabel1[[#This Row],[date]])=12),MIN(Tabel1[[#This Row],[mois]]+1,12,82-Tabel1[[#This Row],[mois]])*-$P$2,0)</f>
        <v>0</v>
      </c>
      <c r="G57" s="36">
        <f>IF(OR(Tabel1[[#This Row],[mois]]=72,AND(MONTH(Tabel1[[#This Row],[date]])=12,YEAR(Tabel1[[#This Row],[date]])&gt;2019)),H56*$L$2*MIN(Tabel1[[#This Row],[mois]],12,72-Tabel1[[#This Row],[mois]]+10)/12,0)</f>
        <v>0</v>
      </c>
      <c r="H57" s="36">
        <f>IF(ROW()=2,$L$1,SUM(Tabel1[[#This Row],[payment annual 31/12]],Tabel1[[#This Row],[interst2]],H56))</f>
        <v>7029.0006039669352</v>
      </c>
      <c r="I57" t="str">
        <f>IF(MONTH(Tabel1[[#This Row],[date]])=12,Tabel1[[#This Row],[remaining]]-Tabel1[[#This Row],[remaining2]],"-")</f>
        <v>-</v>
      </c>
    </row>
    <row r="58" spans="1:9" x14ac:dyDescent="0.25">
      <c r="A58">
        <v>56</v>
      </c>
      <c r="B58" s="35">
        <f t="shared" si="1"/>
        <v>45444</v>
      </c>
      <c r="C58" s="38">
        <f>IF(Tabel1[[#This Row],[mois]]&lt;2,0,IF(Tabel1[[#This Row],[mois]]&gt;2,-1,-3)*$P$1)</f>
        <v>-337.6195737381974</v>
      </c>
      <c r="D58" s="39">
        <f>IF(Tabel1[[#This Row],[mois]]&gt;2,E57*$L$3,0)</f>
        <v>26.750412488637142</v>
      </c>
      <c r="E58" s="40">
        <f>SUM(IF(ROW()=2,$L$1,E57),Tabel1[[#This Row],[payment mensuel a la fin di mois]],Tabel1[[#This Row],[interst]])</f>
        <v>5184.7928004566074</v>
      </c>
      <c r="F58">
        <f>IF(OR(Tabel1[[#This Row],[mois]]=72,MONTH(Tabel1[[#This Row],[date]])=12),MIN(Tabel1[[#This Row],[mois]]+1,12,82-Tabel1[[#This Row],[mois]])*-$P$2,0)</f>
        <v>0</v>
      </c>
      <c r="G58" s="36">
        <f>IF(OR(Tabel1[[#This Row],[mois]]=72,AND(MONTH(Tabel1[[#This Row],[date]])=12,YEAR(Tabel1[[#This Row],[date]])&gt;2019)),H57*$L$2*MIN(Tabel1[[#This Row],[mois]],12,72-Tabel1[[#This Row],[mois]]+10)/12,0)</f>
        <v>0</v>
      </c>
      <c r="H58" s="36">
        <f>IF(ROW()=2,$L$1,SUM(Tabel1[[#This Row],[payment annual 31/12]],Tabel1[[#This Row],[interst2]],H57))</f>
        <v>7029.0006039669352</v>
      </c>
      <c r="I58" t="str">
        <f>IF(MONTH(Tabel1[[#This Row],[date]])=12,Tabel1[[#This Row],[remaining]]-Tabel1[[#This Row],[remaining2]],"-")</f>
        <v>-</v>
      </c>
    </row>
    <row r="59" spans="1:9" x14ac:dyDescent="0.25">
      <c r="A59">
        <v>57</v>
      </c>
      <c r="B59" s="35">
        <f t="shared" si="1"/>
        <v>45474</v>
      </c>
      <c r="C59" s="38">
        <f>IF(Tabel1[[#This Row],[mois]]&lt;2,0,IF(Tabel1[[#This Row],[mois]]&gt;2,-1,-3)*$P$1)</f>
        <v>-337.6195737381974</v>
      </c>
      <c r="D59" s="39">
        <f>IF(Tabel1[[#This Row],[mois]]&gt;2,E58*$L$3,0)</f>
        <v>25.237241127049128</v>
      </c>
      <c r="E59" s="40">
        <f>SUM(IF(ROW()=2,$L$1,E58),Tabel1[[#This Row],[payment mensuel a la fin di mois]],Tabel1[[#This Row],[interst]])</f>
        <v>4872.4104678454587</v>
      </c>
      <c r="F59">
        <f>IF(OR(Tabel1[[#This Row],[mois]]=72,MONTH(Tabel1[[#This Row],[date]])=12),MIN(Tabel1[[#This Row],[mois]]+1,12,82-Tabel1[[#This Row],[mois]])*-$P$2,0)</f>
        <v>0</v>
      </c>
      <c r="G59" s="36">
        <f>IF(OR(Tabel1[[#This Row],[mois]]=72,AND(MONTH(Tabel1[[#This Row],[date]])=12,YEAR(Tabel1[[#This Row],[date]])&gt;2019)),H58*$L$2*MIN(Tabel1[[#This Row],[mois]],12,72-Tabel1[[#This Row],[mois]]+10)/12,0)</f>
        <v>0</v>
      </c>
      <c r="H59" s="36">
        <f>IF(ROW()=2,$L$1,SUM(Tabel1[[#This Row],[payment annual 31/12]],Tabel1[[#This Row],[interst2]],H58))</f>
        <v>7029.0006039669352</v>
      </c>
      <c r="I59" t="str">
        <f>IF(MONTH(Tabel1[[#This Row],[date]])=12,Tabel1[[#This Row],[remaining]]-Tabel1[[#This Row],[remaining2]],"-")</f>
        <v>-</v>
      </c>
    </row>
    <row r="60" spans="1:9" x14ac:dyDescent="0.25">
      <c r="A60">
        <v>58</v>
      </c>
      <c r="B60" s="35">
        <f t="shared" si="1"/>
        <v>45505</v>
      </c>
      <c r="C60" s="38">
        <f>IF(Tabel1[[#This Row],[mois]]&lt;2,0,IF(Tabel1[[#This Row],[mois]]&gt;2,-1,-3)*$P$1)</f>
        <v>-337.6195737381974</v>
      </c>
      <c r="D60" s="39">
        <f>IF(Tabel1[[#This Row],[mois]]&gt;2,E59*$L$3,0)</f>
        <v>23.716704327344548</v>
      </c>
      <c r="E60" s="40">
        <f>SUM(IF(ROW()=2,$L$1,E59),Tabel1[[#This Row],[payment mensuel a la fin di mois]],Tabel1[[#This Row],[interst]])</f>
        <v>4558.5075984346058</v>
      </c>
      <c r="F60">
        <f>IF(OR(Tabel1[[#This Row],[mois]]=72,MONTH(Tabel1[[#This Row],[date]])=12),MIN(Tabel1[[#This Row],[mois]]+1,12,82-Tabel1[[#This Row],[mois]])*-$P$2,0)</f>
        <v>0</v>
      </c>
      <c r="G60" s="36">
        <f>IF(OR(Tabel1[[#This Row],[mois]]=72,AND(MONTH(Tabel1[[#This Row],[date]])=12,YEAR(Tabel1[[#This Row],[date]])&gt;2019)),H59*$L$2*MIN(Tabel1[[#This Row],[mois]],12,72-Tabel1[[#This Row],[mois]]+10)/12,0)</f>
        <v>0</v>
      </c>
      <c r="H60" s="36">
        <f>IF(ROW()=2,$L$1,SUM(Tabel1[[#This Row],[payment annual 31/12]],Tabel1[[#This Row],[interst2]],H59))</f>
        <v>7029.0006039669352</v>
      </c>
      <c r="I60" t="str">
        <f>IF(MONTH(Tabel1[[#This Row],[date]])=12,Tabel1[[#This Row],[remaining]]-Tabel1[[#This Row],[remaining2]],"-")</f>
        <v>-</v>
      </c>
    </row>
    <row r="61" spans="1:9" x14ac:dyDescent="0.25">
      <c r="A61">
        <v>59</v>
      </c>
      <c r="B61" s="35">
        <f t="shared" si="1"/>
        <v>45536</v>
      </c>
      <c r="C61" s="38">
        <f>IF(Tabel1[[#This Row],[mois]]&lt;2,0,IF(Tabel1[[#This Row],[mois]]&gt;2,-1,-3)*$P$1)</f>
        <v>-337.6195737381974</v>
      </c>
      <c r="D61" s="39">
        <f>IF(Tabel1[[#This Row],[mois]]&gt;2,E60*$L$3,0)</f>
        <v>22.188766237880948</v>
      </c>
      <c r="E61" s="40">
        <f>SUM(IF(ROW()=2,$L$1,E60),Tabel1[[#This Row],[payment mensuel a la fin di mois]],Tabel1[[#This Row],[interst]])</f>
        <v>4243.0767909342894</v>
      </c>
      <c r="F61">
        <f>IF(OR(Tabel1[[#This Row],[mois]]=72,MONTH(Tabel1[[#This Row],[date]])=12),MIN(Tabel1[[#This Row],[mois]]+1,12,82-Tabel1[[#This Row],[mois]])*-$P$2,0)</f>
        <v>0</v>
      </c>
      <c r="G61" s="36">
        <f>IF(OR(Tabel1[[#This Row],[mois]]=72,AND(MONTH(Tabel1[[#This Row],[date]])=12,YEAR(Tabel1[[#This Row],[date]])&gt;2019)),H60*$L$2*MIN(Tabel1[[#This Row],[mois]],12,72-Tabel1[[#This Row],[mois]]+10)/12,0)</f>
        <v>0</v>
      </c>
      <c r="H61" s="36">
        <f>IF(ROW()=2,$L$1,SUM(Tabel1[[#This Row],[payment annual 31/12]],Tabel1[[#This Row],[interst2]],H60))</f>
        <v>7029.0006039669352</v>
      </c>
      <c r="I61" t="str">
        <f>IF(MONTH(Tabel1[[#This Row],[date]])=12,Tabel1[[#This Row],[remaining]]-Tabel1[[#This Row],[remaining2]],"-")</f>
        <v>-</v>
      </c>
    </row>
    <row r="62" spans="1:9" x14ac:dyDescent="0.25">
      <c r="A62">
        <v>60</v>
      </c>
      <c r="B62" s="35">
        <f t="shared" si="1"/>
        <v>45566</v>
      </c>
      <c r="C62" s="38">
        <f>IF(Tabel1[[#This Row],[mois]]&lt;2,0,IF(Tabel1[[#This Row],[mois]]&gt;2,-1,-3)*$P$1)</f>
        <v>-337.6195737381974</v>
      </c>
      <c r="D62" s="39">
        <f>IF(Tabel1[[#This Row],[mois]]&gt;2,E61*$L$3,0)</f>
        <v>20.653390832506169</v>
      </c>
      <c r="E62" s="40">
        <f>SUM(IF(ROW()=2,$L$1,E61),Tabel1[[#This Row],[payment mensuel a la fin di mois]],Tabel1[[#This Row],[interst]])</f>
        <v>3926.1106080285986</v>
      </c>
      <c r="F62">
        <f>IF(OR(Tabel1[[#This Row],[mois]]=72,MONTH(Tabel1[[#This Row],[date]])=12),MIN(Tabel1[[#This Row],[mois]]+1,12,82-Tabel1[[#This Row],[mois]])*-$P$2,0)</f>
        <v>0</v>
      </c>
      <c r="G62" s="36">
        <f>IF(OR(Tabel1[[#This Row],[mois]]=72,AND(MONTH(Tabel1[[#This Row],[date]])=12,YEAR(Tabel1[[#This Row],[date]])&gt;2019)),H61*$L$2*MIN(Tabel1[[#This Row],[mois]],12,72-Tabel1[[#This Row],[mois]]+10)/12,0)</f>
        <v>0</v>
      </c>
      <c r="H62" s="36">
        <f>IF(ROW()=2,$L$1,SUM(Tabel1[[#This Row],[payment annual 31/12]],Tabel1[[#This Row],[interst2]],H61))</f>
        <v>7029.0006039669352</v>
      </c>
      <c r="I62" t="str">
        <f>IF(MONTH(Tabel1[[#This Row],[date]])=12,Tabel1[[#This Row],[remaining]]-Tabel1[[#This Row],[remaining2]],"-")</f>
        <v>-</v>
      </c>
    </row>
    <row r="63" spans="1:9" x14ac:dyDescent="0.25">
      <c r="A63">
        <v>61</v>
      </c>
      <c r="B63" s="35">
        <f t="shared" si="1"/>
        <v>45597</v>
      </c>
      <c r="C63" s="38">
        <f>IF(Tabel1[[#This Row],[mois]]&lt;2,0,IF(Tabel1[[#This Row],[mois]]&gt;2,-1,-3)*$P$1)</f>
        <v>-337.6195737381974</v>
      </c>
      <c r="D63" s="39">
        <f>IF(Tabel1[[#This Row],[mois]]&gt;2,E62*$L$3,0)</f>
        <v>19.110541909708946</v>
      </c>
      <c r="E63" s="40">
        <f>SUM(IF(ROW()=2,$L$1,E62),Tabel1[[#This Row],[payment mensuel a la fin di mois]],Tabel1[[#This Row],[interst]])</f>
        <v>3607.6015762001102</v>
      </c>
      <c r="F63">
        <f>IF(OR(Tabel1[[#This Row],[mois]]=72,MONTH(Tabel1[[#This Row],[date]])=12),MIN(Tabel1[[#This Row],[mois]]+1,12,82-Tabel1[[#This Row],[mois]])*-$P$2,0)</f>
        <v>0</v>
      </c>
      <c r="G63" s="36">
        <f>IF(OR(Tabel1[[#This Row],[mois]]=72,AND(MONTH(Tabel1[[#This Row],[date]])=12,YEAR(Tabel1[[#This Row],[date]])&gt;2019)),H62*$L$2*MIN(Tabel1[[#This Row],[mois]],12,72-Tabel1[[#This Row],[mois]]+10)/12,0)</f>
        <v>0</v>
      </c>
      <c r="H63" s="36">
        <f>IF(ROW()=2,$L$1,SUM(Tabel1[[#This Row],[payment annual 31/12]],Tabel1[[#This Row],[interst2]],H62))</f>
        <v>7029.0006039669352</v>
      </c>
      <c r="I63" t="str">
        <f>IF(MONTH(Tabel1[[#This Row],[date]])=12,Tabel1[[#This Row],[remaining]]-Tabel1[[#This Row],[remaining2]],"-")</f>
        <v>-</v>
      </c>
    </row>
    <row r="64" spans="1:9" x14ac:dyDescent="0.25">
      <c r="A64">
        <v>62</v>
      </c>
      <c r="B64" s="35">
        <f t="shared" si="1"/>
        <v>45627</v>
      </c>
      <c r="C64" s="38">
        <f>IF(Tabel1[[#This Row],[mois]]&lt;2,0,IF(Tabel1[[#This Row],[mois]]&gt;2,-1,-3)*$P$1)</f>
        <v>-337.6195737381974</v>
      </c>
      <c r="D64" s="39">
        <f>IF(Tabel1[[#This Row],[mois]]&gt;2,E63*$L$3,0)</f>
        <v>17.560183091765317</v>
      </c>
      <c r="E64" s="40">
        <f>SUM(IF(ROW()=2,$L$1,E63),Tabel1[[#This Row],[payment mensuel a la fin di mois]],Tabel1[[#This Row],[interst]])</f>
        <v>3287.5421855536783</v>
      </c>
      <c r="F64">
        <f>IF(OR(Tabel1[[#This Row],[mois]]=72,MONTH(Tabel1[[#This Row],[date]])=12),MIN(Tabel1[[#This Row],[mois]]+1,12,82-Tabel1[[#This Row],[mois]])*-$P$2,0)</f>
        <v>-4153.9527463089598</v>
      </c>
      <c r="G64" s="36">
        <f>IF(OR(Tabel1[[#This Row],[mois]]=72,AND(MONTH(Tabel1[[#This Row],[date]])=12,YEAR(Tabel1[[#This Row],[date]])&gt;2019)),H63*$L$2*MIN(Tabel1[[#This Row],[mois]],12,72-Tabel1[[#This Row],[mois]]+10)/12,0)</f>
        <v>421.7400362380161</v>
      </c>
      <c r="H64" s="36">
        <f>IF(ROW()=2,$L$1,SUM(Tabel1[[#This Row],[payment annual 31/12]],Tabel1[[#This Row],[interst2]],H63))</f>
        <v>3296.7878938959916</v>
      </c>
      <c r="I64">
        <f>IF(MONTH(Tabel1[[#This Row],[date]])=12,Tabel1[[#This Row],[remaining]]-Tabel1[[#This Row],[remaining2]],"-")</f>
        <v>-9.2457083423132644</v>
      </c>
    </row>
    <row r="65" spans="1:10" x14ac:dyDescent="0.25">
      <c r="A65">
        <v>63</v>
      </c>
      <c r="B65" s="35">
        <f t="shared" si="1"/>
        <v>45658</v>
      </c>
      <c r="C65" s="38">
        <f>IF(Tabel1[[#This Row],[mois]]&lt;2,0,IF(Tabel1[[#This Row],[mois]]&gt;2,-1,-3)*$P$1)</f>
        <v>-337.6195737381974</v>
      </c>
      <c r="D65" s="39">
        <f>IF(Tabel1[[#This Row],[mois]]&gt;2,E64*$L$3,0)</f>
        <v>16.002277823880927</v>
      </c>
      <c r="E65" s="40">
        <f>SUM(IF(ROW()=2,$L$1,E64),Tabel1[[#This Row],[payment mensuel a la fin di mois]],Tabel1[[#This Row],[interst]])</f>
        <v>2965.9248896393619</v>
      </c>
      <c r="F65">
        <f>IF(OR(Tabel1[[#This Row],[mois]]=72,MONTH(Tabel1[[#This Row],[date]])=12),MIN(Tabel1[[#This Row],[mois]]+1,12,82-Tabel1[[#This Row],[mois]])*-$P$2,0)</f>
        <v>0</v>
      </c>
      <c r="G65" s="36">
        <f>IF(OR(Tabel1[[#This Row],[mois]]=72,AND(MONTH(Tabel1[[#This Row],[date]])=12,YEAR(Tabel1[[#This Row],[date]])&gt;2019)),H64*$L$2*MIN(Tabel1[[#This Row],[mois]],12,72-Tabel1[[#This Row],[mois]]+10)/12,0)</f>
        <v>0</v>
      </c>
      <c r="H65" s="36">
        <f>IF(ROW()=2,$L$1,SUM(Tabel1[[#This Row],[payment annual 31/12]],Tabel1[[#This Row],[interst2]],H64))</f>
        <v>3296.7878938959916</v>
      </c>
      <c r="I65" t="str">
        <f>IF(MONTH(Tabel1[[#This Row],[date]])=12,Tabel1[[#This Row],[remaining]]-Tabel1[[#This Row],[remaining2]],"-")</f>
        <v>-</v>
      </c>
    </row>
    <row r="66" spans="1:10" x14ac:dyDescent="0.25">
      <c r="A66">
        <v>64</v>
      </c>
      <c r="B66" s="35">
        <f t="shared" ref="B66:B74" si="2">EDATE(DATE(2019,10,1),A66)</f>
        <v>45689</v>
      </c>
      <c r="C66" s="38">
        <f>IF(Tabel1[[#This Row],[mois]]&lt;2,0,IF(Tabel1[[#This Row],[mois]]&gt;2,-1,-3)*$P$1)</f>
        <v>-337.6195737381974</v>
      </c>
      <c r="D66" s="39">
        <f>IF(Tabel1[[#This Row],[mois]]&gt;2,E65*$L$3,0)</f>
        <v>14.436789373329095</v>
      </c>
      <c r="E66" s="40">
        <f>SUM(IF(ROW()=2,$L$1,E65),Tabel1[[#This Row],[payment mensuel a la fin di mois]],Tabel1[[#This Row],[interst]])</f>
        <v>2642.742105274494</v>
      </c>
      <c r="F66">
        <f>IF(OR(Tabel1[[#This Row],[mois]]=72,MONTH(Tabel1[[#This Row],[date]])=12),MIN(Tabel1[[#This Row],[mois]]+1,12,82-Tabel1[[#This Row],[mois]])*-$P$2,0)</f>
        <v>0</v>
      </c>
      <c r="G66" s="36">
        <f>IF(OR(Tabel1[[#This Row],[mois]]=72,AND(MONTH(Tabel1[[#This Row],[date]])=12,YEAR(Tabel1[[#This Row],[date]])&gt;2019)),H65*$L$2*MIN(Tabel1[[#This Row],[mois]],12,72-Tabel1[[#This Row],[mois]]+10)/12,0)</f>
        <v>0</v>
      </c>
      <c r="H66" s="36">
        <f>IF(ROW()=2,$L$1,SUM(Tabel1[[#This Row],[payment annual 31/12]],Tabel1[[#This Row],[interst2]],H65))</f>
        <v>3296.7878938959916</v>
      </c>
      <c r="I66" t="str">
        <f>IF(MONTH(Tabel1[[#This Row],[date]])=12,Tabel1[[#This Row],[remaining]]-Tabel1[[#This Row],[remaining2]],"-")</f>
        <v>-</v>
      </c>
    </row>
    <row r="67" spans="1:10" x14ac:dyDescent="0.25">
      <c r="A67">
        <v>65</v>
      </c>
      <c r="B67" s="35">
        <f t="shared" si="2"/>
        <v>45717</v>
      </c>
      <c r="C67" s="38">
        <f>IF(Tabel1[[#This Row],[mois]]&lt;2,0,IF(Tabel1[[#This Row],[mois]]&gt;2,-1,-3)*$P$1)</f>
        <v>-337.6195737381974</v>
      </c>
      <c r="D67" s="39">
        <f>IF(Tabel1[[#This Row],[mois]]&gt;2,E66*$L$3,0)</f>
        <v>12.863680828584741</v>
      </c>
      <c r="E67" s="40">
        <f>SUM(IF(ROW()=2,$L$1,E66),Tabel1[[#This Row],[payment mensuel a la fin di mois]],Tabel1[[#This Row],[interst]])</f>
        <v>2317.9862123648813</v>
      </c>
      <c r="F67">
        <f>IF(OR(Tabel1[[#This Row],[mois]]=72,MONTH(Tabel1[[#This Row],[date]])=12),MIN(Tabel1[[#This Row],[mois]]+1,12,82-Tabel1[[#This Row],[mois]])*-$P$2,0)</f>
        <v>0</v>
      </c>
      <c r="G67" s="36">
        <f>IF(OR(Tabel1[[#This Row],[mois]]=72,AND(MONTH(Tabel1[[#This Row],[date]])=12,YEAR(Tabel1[[#This Row],[date]])&gt;2019)),H66*$L$2*MIN(Tabel1[[#This Row],[mois]],12,72-Tabel1[[#This Row],[mois]]+10)/12,0)</f>
        <v>0</v>
      </c>
      <c r="H67" s="36">
        <f>IF(ROW()=2,$L$1,SUM(Tabel1[[#This Row],[payment annual 31/12]],Tabel1[[#This Row],[interst2]],H66))</f>
        <v>3296.7878938959916</v>
      </c>
      <c r="I67" t="str">
        <f>IF(MONTH(Tabel1[[#This Row],[date]])=12,Tabel1[[#This Row],[remaining]]-Tabel1[[#This Row],[remaining2]],"-")</f>
        <v>-</v>
      </c>
    </row>
    <row r="68" spans="1:10" x14ac:dyDescent="0.25">
      <c r="A68">
        <v>66</v>
      </c>
      <c r="B68" s="35">
        <f t="shared" si="2"/>
        <v>45748</v>
      </c>
      <c r="C68" s="38">
        <f>IF(Tabel1[[#This Row],[mois]]&lt;2,0,IF(Tabel1[[#This Row],[mois]]&gt;2,-1,-3)*$P$1)</f>
        <v>-337.6195737381974</v>
      </c>
      <c r="D68" s="39">
        <f>IF(Tabel1[[#This Row],[mois]]&gt;2,E67*$L$3,0)</f>
        <v>11.282915098454069</v>
      </c>
      <c r="E68" s="40">
        <f>SUM(IF(ROW()=2,$L$1,E67),Tabel1[[#This Row],[payment mensuel a la fin di mois]],Tabel1[[#This Row],[interst]])</f>
        <v>1991.649553725138</v>
      </c>
      <c r="F68">
        <f>IF(OR(Tabel1[[#This Row],[mois]]=72,MONTH(Tabel1[[#This Row],[date]])=12),MIN(Tabel1[[#This Row],[mois]]+1,12,82-Tabel1[[#This Row],[mois]])*-$P$2,0)</f>
        <v>0</v>
      </c>
      <c r="G68" s="36">
        <f>IF(OR(Tabel1[[#This Row],[mois]]=72,AND(MONTH(Tabel1[[#This Row],[date]])=12,YEAR(Tabel1[[#This Row],[date]])&gt;2019)),H67*$L$2*MIN(Tabel1[[#This Row],[mois]],12,72-Tabel1[[#This Row],[mois]]+10)/12,0)</f>
        <v>0</v>
      </c>
      <c r="H68" s="36">
        <f>IF(ROW()=2,$L$1,SUM(Tabel1[[#This Row],[payment annual 31/12]],Tabel1[[#This Row],[interst2]],H67))</f>
        <v>3296.7878938959916</v>
      </c>
      <c r="I68" t="str">
        <f>IF(MONTH(Tabel1[[#This Row],[date]])=12,Tabel1[[#This Row],[remaining]]-Tabel1[[#This Row],[remaining2]],"-")</f>
        <v>-</v>
      </c>
    </row>
    <row r="69" spans="1:10" x14ac:dyDescent="0.25">
      <c r="A69">
        <v>67</v>
      </c>
      <c r="B69" s="35">
        <f t="shared" si="2"/>
        <v>45778</v>
      </c>
      <c r="C69" s="38">
        <f>IF(Tabel1[[#This Row],[mois]]&lt;2,0,IF(Tabel1[[#This Row],[mois]]&gt;2,-1,-3)*$P$1)</f>
        <v>-337.6195737381974</v>
      </c>
      <c r="D69" s="39">
        <f>IF(Tabel1[[#This Row],[mois]]&gt;2,E68*$L$3,0)</f>
        <v>9.694454911200026</v>
      </c>
      <c r="E69" s="40">
        <f>SUM(IF(ROW()=2,$L$1,E68),Tabel1[[#This Row],[payment mensuel a la fin di mois]],Tabel1[[#This Row],[interst]])</f>
        <v>1663.7244348981405</v>
      </c>
      <c r="F69">
        <f>IF(OR(Tabel1[[#This Row],[mois]]=72,MONTH(Tabel1[[#This Row],[date]])=12),MIN(Tabel1[[#This Row],[mois]]+1,12,82-Tabel1[[#This Row],[mois]])*-$P$2,0)</f>
        <v>0</v>
      </c>
      <c r="G69" s="36">
        <f>IF(OR(Tabel1[[#This Row],[mois]]=72,AND(MONTH(Tabel1[[#This Row],[date]])=12,YEAR(Tabel1[[#This Row],[date]])&gt;2019)),H68*$L$2*MIN(Tabel1[[#This Row],[mois]],12,72-Tabel1[[#This Row],[mois]]+10)/12,0)</f>
        <v>0</v>
      </c>
      <c r="H69" s="36">
        <f>IF(ROW()=2,$L$1,SUM(Tabel1[[#This Row],[payment annual 31/12]],Tabel1[[#This Row],[interst2]],H68))</f>
        <v>3296.7878938959916</v>
      </c>
      <c r="I69" t="str">
        <f>IF(MONTH(Tabel1[[#This Row],[date]])=12,Tabel1[[#This Row],[remaining]]-Tabel1[[#This Row],[remaining2]],"-")</f>
        <v>-</v>
      </c>
    </row>
    <row r="70" spans="1:10" x14ac:dyDescent="0.25">
      <c r="A70">
        <v>68</v>
      </c>
      <c r="B70" s="35">
        <f t="shared" si="2"/>
        <v>45809</v>
      </c>
      <c r="C70" s="38">
        <f>IF(Tabel1[[#This Row],[mois]]&lt;2,0,IF(Tabel1[[#This Row],[mois]]&gt;2,-1,-3)*$P$1)</f>
        <v>-337.6195737381974</v>
      </c>
      <c r="D70" s="39">
        <f>IF(Tabel1[[#This Row],[mois]]&gt;2,E69*$L$3,0)</f>
        <v>8.0982628136634869</v>
      </c>
      <c r="E70" s="40">
        <f>SUM(IF(ROW()=2,$L$1,E69),Tabel1[[#This Row],[payment mensuel a la fin di mois]],Tabel1[[#This Row],[interst]])</f>
        <v>1334.2031239736066</v>
      </c>
      <c r="F70">
        <f>IF(OR(Tabel1[[#This Row],[mois]]=72,MONTH(Tabel1[[#This Row],[date]])=12),MIN(Tabel1[[#This Row],[mois]]+1,12,82-Tabel1[[#This Row],[mois]])*-$P$2,0)</f>
        <v>0</v>
      </c>
      <c r="G70" s="36">
        <f>IF(OR(Tabel1[[#This Row],[mois]]=72,AND(MONTH(Tabel1[[#This Row],[date]])=12,YEAR(Tabel1[[#This Row],[date]])&gt;2019)),H69*$L$2*MIN(Tabel1[[#This Row],[mois]],12,72-Tabel1[[#This Row],[mois]]+10)/12,0)</f>
        <v>0</v>
      </c>
      <c r="H70" s="36">
        <f>IF(ROW()=2,$L$1,SUM(Tabel1[[#This Row],[payment annual 31/12]],Tabel1[[#This Row],[interst2]],H69))</f>
        <v>3296.7878938959916</v>
      </c>
      <c r="I70" t="str">
        <f>IF(MONTH(Tabel1[[#This Row],[date]])=12,Tabel1[[#This Row],[remaining]]-Tabel1[[#This Row],[remaining2]],"-")</f>
        <v>-</v>
      </c>
    </row>
    <row r="71" spans="1:10" x14ac:dyDescent="0.25">
      <c r="A71">
        <v>69</v>
      </c>
      <c r="B71" s="35">
        <f t="shared" si="2"/>
        <v>45839</v>
      </c>
      <c r="C71" s="38">
        <f>IF(Tabel1[[#This Row],[mois]]&lt;2,0,IF(Tabel1[[#This Row],[mois]]&gt;2,-1,-3)*$P$1)</f>
        <v>-337.6195737381974</v>
      </c>
      <c r="D71" s="39">
        <f>IF(Tabel1[[#This Row],[mois]]&gt;2,E70*$L$3,0)</f>
        <v>6.4943011703801901</v>
      </c>
      <c r="E71" s="40">
        <f>SUM(IF(ROW()=2,$L$1,E70),Tabel1[[#This Row],[payment mensuel a la fin di mois]],Tabel1[[#This Row],[interst]])</f>
        <v>1003.0778514057893</v>
      </c>
      <c r="F71">
        <f>IF(OR(Tabel1[[#This Row],[mois]]=72,MONTH(Tabel1[[#This Row],[date]])=12),MIN(Tabel1[[#This Row],[mois]]+1,12,82-Tabel1[[#This Row],[mois]])*-$P$2,0)</f>
        <v>0</v>
      </c>
      <c r="G71" s="36">
        <f>IF(OR(Tabel1[[#This Row],[mois]]=72,AND(MONTH(Tabel1[[#This Row],[date]])=12,YEAR(Tabel1[[#This Row],[date]])&gt;2019)),H70*$L$2*MIN(Tabel1[[#This Row],[mois]],12,72-Tabel1[[#This Row],[mois]]+10)/12,0)</f>
        <v>0</v>
      </c>
      <c r="H71" s="36">
        <f>IF(ROW()=2,$L$1,SUM(Tabel1[[#This Row],[payment annual 31/12]],Tabel1[[#This Row],[interst2]],H70))</f>
        <v>3296.7878938959916</v>
      </c>
      <c r="I71" t="str">
        <f>IF(MONTH(Tabel1[[#This Row],[date]])=12,Tabel1[[#This Row],[remaining]]-Tabel1[[#This Row],[remaining2]],"-")</f>
        <v>-</v>
      </c>
    </row>
    <row r="72" spans="1:10" x14ac:dyDescent="0.25">
      <c r="A72">
        <v>70</v>
      </c>
      <c r="B72" s="35">
        <f t="shared" si="2"/>
        <v>45870</v>
      </c>
      <c r="C72" s="38">
        <f>IF(Tabel1[[#This Row],[mois]]&lt;2,0,IF(Tabel1[[#This Row],[mois]]&gt;2,-1,-3)*$P$1)</f>
        <v>-337.6195737381974</v>
      </c>
      <c r="D72" s="39">
        <f>IF(Tabel1[[#This Row],[mois]]&gt;2,E71*$L$3,0)</f>
        <v>4.88253216269334</v>
      </c>
      <c r="E72" s="40">
        <f>SUM(IF(ROW()=2,$L$1,E71),Tabel1[[#This Row],[payment mensuel a la fin di mois]],Tabel1[[#This Row],[interst]])</f>
        <v>670.34080983028514</v>
      </c>
      <c r="F72">
        <f>IF(OR(Tabel1[[#This Row],[mois]]=72,MONTH(Tabel1[[#This Row],[date]])=12),MIN(Tabel1[[#This Row],[mois]]+1,12,82-Tabel1[[#This Row],[mois]])*-$P$2,0)</f>
        <v>0</v>
      </c>
      <c r="G72" s="36">
        <f>IF(OR(Tabel1[[#This Row],[mois]]=72,AND(MONTH(Tabel1[[#This Row],[date]])=12,YEAR(Tabel1[[#This Row],[date]])&gt;2019)),H71*$L$2*MIN(Tabel1[[#This Row],[mois]],12,72-Tabel1[[#This Row],[mois]]+10)/12,0)</f>
        <v>0</v>
      </c>
      <c r="H72" s="36">
        <f>IF(ROW()=2,$L$1,SUM(Tabel1[[#This Row],[payment annual 31/12]],Tabel1[[#This Row],[interst2]],H71))</f>
        <v>3296.7878938959916</v>
      </c>
      <c r="I72" t="str">
        <f>IF(MONTH(Tabel1[[#This Row],[date]])=12,Tabel1[[#This Row],[remaining]]-Tabel1[[#This Row],[remaining2]],"-")</f>
        <v>-</v>
      </c>
    </row>
    <row r="73" spans="1:10" x14ac:dyDescent="0.25">
      <c r="A73">
        <v>71</v>
      </c>
      <c r="B73" s="35">
        <f t="shared" si="2"/>
        <v>45901</v>
      </c>
      <c r="C73" s="38">
        <f>IF(Tabel1[[#This Row],[mois]]&lt;2,0,IF(Tabel1[[#This Row],[mois]]&gt;2,-1,-3)*$P$1)</f>
        <v>-337.6195737381974</v>
      </c>
      <c r="D73" s="39">
        <f>IF(Tabel1[[#This Row],[mois]]&gt;2,E72*$L$3,0)</f>
        <v>3.2629177878619213</v>
      </c>
      <c r="E73" s="40">
        <f>SUM(IF(ROW()=2,$L$1,E72),Tabel1[[#This Row],[payment mensuel a la fin di mois]],Tabel1[[#This Row],[interst]])</f>
        <v>335.98415387994964</v>
      </c>
      <c r="F73">
        <f>IF(OR(Tabel1[[#This Row],[mois]]=72,MONTH(Tabel1[[#This Row],[date]])=12),MIN(Tabel1[[#This Row],[mois]]+1,12,82-Tabel1[[#This Row],[mois]])*-$P$2,0)</f>
        <v>0</v>
      </c>
      <c r="G73" s="36">
        <f>IF(OR(Tabel1[[#This Row],[mois]]=72,AND(MONTH(Tabel1[[#This Row],[date]])=12,YEAR(Tabel1[[#This Row],[date]])&gt;2019)),H72*$L$2*MIN(Tabel1[[#This Row],[mois]],12,72-Tabel1[[#This Row],[mois]]+10)/12,0)</f>
        <v>0</v>
      </c>
      <c r="H73" s="36">
        <f>IF(ROW()=2,$L$1,SUM(Tabel1[[#This Row],[payment annual 31/12]],Tabel1[[#This Row],[interst2]],H72))</f>
        <v>3296.7878938959916</v>
      </c>
      <c r="I73" t="str">
        <f>IF(MONTH(Tabel1[[#This Row],[date]])=12,Tabel1[[#This Row],[remaining]]-Tabel1[[#This Row],[remaining2]],"-")</f>
        <v>-</v>
      </c>
    </row>
    <row r="74" spans="1:10" x14ac:dyDescent="0.25">
      <c r="A74">
        <v>72</v>
      </c>
      <c r="B74" s="35">
        <f t="shared" si="2"/>
        <v>45931</v>
      </c>
      <c r="C74" s="38">
        <f>IF(Tabel1[[#This Row],[mois]]&lt;2,0,IF(Tabel1[[#This Row],[mois]]&gt;2,-1,-3)*$P$1)</f>
        <v>-337.6195737381974</v>
      </c>
      <c r="D74" s="39">
        <f>IF(Tabel1[[#This Row],[mois]]&gt;2,E73*$L$3,0)</f>
        <v>1.6354198581646546</v>
      </c>
      <c r="E74" s="40">
        <f>SUM(IF(ROW()=2,$L$1,E73),Tabel1[[#This Row],[payment mensuel a la fin di mois]],Tabel1[[#This Row],[interst]])</f>
        <v>-8.3103302017661917E-11</v>
      </c>
      <c r="F74">
        <f>IF(OR(Tabel1[[#This Row],[mois]]=72,MONTH(Tabel1[[#This Row],[date]])=12),MIN(Tabel1[[#This Row],[mois]]+1,12,82-Tabel1[[#This Row],[mois]])*-$P$2,0)</f>
        <v>-3461.6272885907993</v>
      </c>
      <c r="G74" s="36">
        <f>IF(OR(Tabel1[[#This Row],[mois]]=72,AND(MONTH(Tabel1[[#This Row],[date]])=12,YEAR(Tabel1[[#This Row],[date]])&gt;2019)),H73*$L$2*MIN(Tabel1[[#This Row],[mois]],12,72-Tabel1[[#This Row],[mois]]+10)/12,0)</f>
        <v>164.83939469479955</v>
      </c>
      <c r="H74" s="36">
        <f>IF(ROW()=2,$L$1,SUM(Tabel1[[#This Row],[payment annual 31/12]],Tabel1[[#This Row],[interst2]],H73))</f>
        <v>-8.1854523159563541E-12</v>
      </c>
      <c r="I74" t="str">
        <f>IF(MONTH(Tabel1[[#This Row],[date]])=12,Tabel1[[#This Row],[remaining]]-Tabel1[[#This Row],[remaining2]],"-")</f>
        <v>-</v>
      </c>
    </row>
    <row r="75" spans="1:10" x14ac:dyDescent="0.25">
      <c r="A75" t="s">
        <v>43</v>
      </c>
      <c r="B75"/>
      <c r="C75" s="38">
        <f>SUBTOTAL(109,Tabel1[payment mensuel a la fin di mois])</f>
        <v>-24646.228882888383</v>
      </c>
      <c r="D75"/>
      <c r="E75" s="44"/>
      <c r="F75">
        <f>SUBTOTAL(109,Tabel1[payment annual 31/12])</f>
        <v>-25269.879206712842</v>
      </c>
      <c r="J75">
        <f>SUBTOTAL(103,Tabel1[Kolom1])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0F179-2D40-444E-ABA3-8A0E4C949B64}">
  <dimension ref="B1:K35"/>
  <sheetViews>
    <sheetView topLeftCell="A20" workbookViewId="0">
      <selection activeCell="E26" sqref="E26"/>
    </sheetView>
  </sheetViews>
  <sheetFormatPr defaultColWidth="11.42578125" defaultRowHeight="15" x14ac:dyDescent="0.25"/>
  <cols>
    <col min="1" max="1" width="5.28515625" customWidth="1"/>
    <col min="3" max="3" width="19.85546875" customWidth="1"/>
    <col min="4" max="4" width="15.5703125" bestFit="1" customWidth="1"/>
    <col min="5" max="5" width="15.85546875" bestFit="1" customWidth="1"/>
    <col min="6" max="6" width="20.28515625" customWidth="1"/>
    <col min="7" max="7" width="20.140625" customWidth="1"/>
    <col min="8" max="8" width="16.42578125" customWidth="1"/>
    <col min="9" max="9" width="15.42578125" bestFit="1" customWidth="1"/>
    <col min="10" max="10" width="16.85546875" bestFit="1" customWidth="1"/>
    <col min="11" max="30" width="13.42578125" bestFit="1" customWidth="1"/>
    <col min="31" max="42" width="12.42578125" bestFit="1" customWidth="1"/>
    <col min="43" max="43" width="12.5703125" bestFit="1" customWidth="1"/>
    <col min="44" max="54" width="12.42578125" bestFit="1" customWidth="1"/>
    <col min="55" max="55" width="12.5703125" bestFit="1" customWidth="1"/>
    <col min="56" max="61" width="12.42578125" bestFit="1" customWidth="1"/>
    <col min="62" max="65" width="11" bestFit="1" customWidth="1"/>
    <col min="66" max="66" width="11.5703125" bestFit="1" customWidth="1"/>
    <col min="67" max="67" width="12.5703125" bestFit="1" customWidth="1"/>
    <col min="68" max="68" width="11.5703125" bestFit="1" customWidth="1"/>
    <col min="69" max="76" width="13.140625" bestFit="1" customWidth="1"/>
  </cols>
  <sheetData>
    <row r="1" spans="2:10" s="23" customFormat="1" ht="12.75" x14ac:dyDescent="0.2">
      <c r="B1" s="23" t="s">
        <v>21</v>
      </c>
      <c r="D1" s="33">
        <v>21000</v>
      </c>
      <c r="E1" s="28" t="s">
        <v>22</v>
      </c>
    </row>
    <row r="2" spans="2:10" s="23" customFormat="1" ht="12.75" x14ac:dyDescent="0.2">
      <c r="B2" s="23" t="s">
        <v>17</v>
      </c>
      <c r="D2" s="23">
        <v>72</v>
      </c>
    </row>
    <row r="3" spans="2:10" s="23" customFormat="1" ht="12.75" x14ac:dyDescent="0.2">
      <c r="B3" s="23" t="s">
        <v>18</v>
      </c>
      <c r="D3" s="33">
        <f>D1/D2</f>
        <v>291.66666666666669</v>
      </c>
      <c r="E3" s="28" t="s">
        <v>22</v>
      </c>
    </row>
    <row r="4" spans="2:10" s="23" customFormat="1" ht="12.75" x14ac:dyDescent="0.2">
      <c r="B4" s="23" t="s">
        <v>19</v>
      </c>
      <c r="D4" s="24">
        <v>43739</v>
      </c>
    </row>
    <row r="5" spans="2:10" s="23" customFormat="1" ht="12.75" x14ac:dyDescent="0.2">
      <c r="B5" s="23" t="s">
        <v>20</v>
      </c>
      <c r="D5" s="25">
        <v>0.06</v>
      </c>
      <c r="E5" s="25"/>
    </row>
    <row r="8" spans="2:10" x14ac:dyDescent="0.25">
      <c r="C8" s="22" t="s">
        <v>23</v>
      </c>
    </row>
    <row r="10" spans="2:10" x14ac:dyDescent="0.25">
      <c r="B10" s="1"/>
      <c r="C10" s="2">
        <v>2019</v>
      </c>
      <c r="D10" s="2">
        <v>2020</v>
      </c>
      <c r="E10" s="2">
        <v>2021</v>
      </c>
      <c r="F10" s="2">
        <v>2022</v>
      </c>
      <c r="G10" s="2">
        <v>2023</v>
      </c>
      <c r="H10" s="2">
        <v>2024</v>
      </c>
      <c r="I10" s="2">
        <v>2025</v>
      </c>
      <c r="J10" s="3" t="s">
        <v>0</v>
      </c>
    </row>
    <row r="11" spans="2:10" x14ac:dyDescent="0.25">
      <c r="C11" s="4"/>
      <c r="D11" s="4" t="s">
        <v>1</v>
      </c>
      <c r="E11" s="4" t="s">
        <v>2</v>
      </c>
      <c r="F11" s="4" t="s">
        <v>3</v>
      </c>
      <c r="G11" s="4" t="s">
        <v>4</v>
      </c>
      <c r="H11" s="4" t="s">
        <v>5</v>
      </c>
      <c r="I11" s="4" t="s">
        <v>6</v>
      </c>
      <c r="J11" s="4" t="s">
        <v>7</v>
      </c>
    </row>
    <row r="12" spans="2:10" x14ac:dyDescent="0.25">
      <c r="C12" s="5" t="s">
        <v>8</v>
      </c>
      <c r="D12" s="5" t="s">
        <v>8</v>
      </c>
      <c r="E12" s="5" t="s">
        <v>8</v>
      </c>
      <c r="F12" s="5" t="s">
        <v>8</v>
      </c>
      <c r="G12" s="5" t="s">
        <v>8</v>
      </c>
      <c r="H12" s="5" t="s">
        <v>8</v>
      </c>
      <c r="I12" s="5" t="s">
        <v>8</v>
      </c>
      <c r="J12" s="5" t="s">
        <v>8</v>
      </c>
    </row>
    <row r="13" spans="2:10" x14ac:dyDescent="0.25">
      <c r="C13" s="4"/>
      <c r="D13" s="4"/>
      <c r="E13" s="4"/>
      <c r="F13" s="4"/>
      <c r="G13" s="4"/>
      <c r="H13" s="4"/>
      <c r="I13" s="4"/>
    </row>
    <row r="14" spans="2:10" s="9" customFormat="1" ht="24" x14ac:dyDescent="0.25">
      <c r="B14" s="6" t="s">
        <v>9</v>
      </c>
      <c r="C14" s="7">
        <f>D3*3</f>
        <v>875</v>
      </c>
      <c r="D14" s="7">
        <f>$D$3*12</f>
        <v>3500</v>
      </c>
      <c r="E14" s="7">
        <f>$D$3*12</f>
        <v>3500</v>
      </c>
      <c r="F14" s="7">
        <f>$D$3*12</f>
        <v>3500</v>
      </c>
      <c r="G14" s="7">
        <f>$D$3*12</f>
        <v>3500</v>
      </c>
      <c r="H14" s="7">
        <f>$D$3*12</f>
        <v>3500</v>
      </c>
      <c r="I14" s="7">
        <f>D3*9</f>
        <v>2625</v>
      </c>
      <c r="J14" s="8">
        <f>SUM(C14:I14)</f>
        <v>21000</v>
      </c>
    </row>
    <row r="15" spans="2:10" x14ac:dyDescent="0.25">
      <c r="C15" s="10"/>
      <c r="D15" s="10"/>
      <c r="E15" s="10"/>
      <c r="F15" s="10"/>
      <c r="G15" s="10"/>
      <c r="H15" s="10"/>
      <c r="I15" s="10"/>
      <c r="J15" s="11"/>
    </row>
    <row r="16" spans="2:10" ht="24.75" x14ac:dyDescent="0.25">
      <c r="B16" s="12" t="s">
        <v>24</v>
      </c>
      <c r="C16" s="10">
        <f>C14</f>
        <v>875</v>
      </c>
      <c r="D16" s="10">
        <f>D14*(1+$D$5)^-1</f>
        <v>3301.8867924528299</v>
      </c>
      <c r="E16" s="10">
        <f>E14*(1+$D$5)^-2</f>
        <v>3114.9875400498395</v>
      </c>
      <c r="F16" s="10">
        <f>F14*(1+$D$5)^-3</f>
        <v>2938.6674906130556</v>
      </c>
      <c r="G16" s="10">
        <f>G14*(1+$D$5)^-4</f>
        <v>2772.3278213330714</v>
      </c>
      <c r="H16" s="10">
        <f>H14*(1+$D$5)^-5</f>
        <v>2615.4036050311993</v>
      </c>
      <c r="I16" s="10">
        <f>I14*(1+$D$5)^-6</f>
        <v>1850.5214186541502</v>
      </c>
      <c r="J16" s="13">
        <f>SUM(C16:I16)</f>
        <v>17468.794668134142</v>
      </c>
    </row>
    <row r="17" spans="2:11" x14ac:dyDescent="0.25">
      <c r="C17" s="10"/>
      <c r="D17" s="10"/>
      <c r="E17" s="10"/>
      <c r="F17" s="10"/>
      <c r="G17" s="10"/>
      <c r="H17" s="10"/>
      <c r="I17" s="10"/>
    </row>
    <row r="18" spans="2:11" x14ac:dyDescent="0.25">
      <c r="B18" s="12" t="s">
        <v>10</v>
      </c>
      <c r="C18" s="11">
        <f>C14-C16</f>
        <v>0</v>
      </c>
      <c r="D18" s="11">
        <f>D14-D16</f>
        <v>198.11320754717008</v>
      </c>
      <c r="E18" s="11">
        <f t="shared" ref="E18:I18" si="0">E14-E16</f>
        <v>385.01245995016052</v>
      </c>
      <c r="F18" s="11">
        <f t="shared" si="0"/>
        <v>561.33250938694437</v>
      </c>
      <c r="G18" s="11">
        <f t="shared" si="0"/>
        <v>727.67217866692863</v>
      </c>
      <c r="H18" s="11">
        <f t="shared" si="0"/>
        <v>884.59639496880072</v>
      </c>
      <c r="I18" s="11">
        <f t="shared" si="0"/>
        <v>774.47858134584976</v>
      </c>
      <c r="J18" s="13">
        <f>SUM(C18:I18)</f>
        <v>3531.2053318658541</v>
      </c>
    </row>
    <row r="23" spans="2:11" x14ac:dyDescent="0.25">
      <c r="C23" s="22" t="s">
        <v>26</v>
      </c>
    </row>
    <row r="25" spans="2:11" x14ac:dyDescent="0.25">
      <c r="C25" s="14" t="s">
        <v>11</v>
      </c>
      <c r="D25" s="14" t="s">
        <v>12</v>
      </c>
      <c r="E25" s="15" t="s">
        <v>13</v>
      </c>
      <c r="F25" s="15" t="s">
        <v>14</v>
      </c>
      <c r="G25" s="29" t="s">
        <v>15</v>
      </c>
      <c r="H25" s="16" t="s">
        <v>16</v>
      </c>
    </row>
    <row r="26" spans="2:11" x14ac:dyDescent="0.25">
      <c r="C26">
        <v>2019</v>
      </c>
      <c r="D26">
        <v>3</v>
      </c>
      <c r="E26" s="17">
        <f>J16</f>
        <v>17468.794668134142</v>
      </c>
      <c r="F26" s="17">
        <f>C14</f>
        <v>875</v>
      </c>
      <c r="G26" s="30"/>
      <c r="H26" s="17">
        <f t="shared" ref="H26:H32" si="1">E26-F26+G26</f>
        <v>16593.794668134142</v>
      </c>
    </row>
    <row r="27" spans="2:11" x14ac:dyDescent="0.25">
      <c r="C27">
        <v>2020</v>
      </c>
      <c r="D27">
        <v>12</v>
      </c>
      <c r="E27" s="17">
        <f>H26</f>
        <v>16593.794668134142</v>
      </c>
      <c r="F27" s="17">
        <f>D14</f>
        <v>3500</v>
      </c>
      <c r="G27" s="31">
        <f>E27*6%</f>
        <v>995.62768008804846</v>
      </c>
      <c r="H27" s="17">
        <f t="shared" si="1"/>
        <v>14089.42234822219</v>
      </c>
      <c r="J27" s="19"/>
    </row>
    <row r="28" spans="2:11" x14ac:dyDescent="0.25">
      <c r="C28">
        <v>2021</v>
      </c>
      <c r="D28">
        <v>12</v>
      </c>
      <c r="E28" s="17">
        <f t="shared" ref="E28:E32" si="2">H27</f>
        <v>14089.42234822219</v>
      </c>
      <c r="F28" s="17">
        <f>E14</f>
        <v>3500</v>
      </c>
      <c r="G28" s="31">
        <f t="shared" ref="G28:G32" si="3">E28*6%</f>
        <v>845.36534089333134</v>
      </c>
      <c r="H28" s="17">
        <f t="shared" si="1"/>
        <v>11434.787689115521</v>
      </c>
      <c r="K28" s="20"/>
    </row>
    <row r="29" spans="2:11" x14ac:dyDescent="0.25">
      <c r="C29">
        <v>2022</v>
      </c>
      <c r="D29">
        <v>12</v>
      </c>
      <c r="E29" s="17">
        <f t="shared" si="2"/>
        <v>11434.787689115521</v>
      </c>
      <c r="F29" s="17">
        <f>F14</f>
        <v>3500</v>
      </c>
      <c r="G29" s="31">
        <f t="shared" si="3"/>
        <v>686.0872613469312</v>
      </c>
      <c r="H29" s="17">
        <f t="shared" si="1"/>
        <v>8620.874950462452</v>
      </c>
    </row>
    <row r="30" spans="2:11" x14ac:dyDescent="0.25">
      <c r="C30">
        <v>2023</v>
      </c>
      <c r="D30">
        <v>12</v>
      </c>
      <c r="E30" s="17">
        <f t="shared" si="2"/>
        <v>8620.874950462452</v>
      </c>
      <c r="F30" s="17">
        <f>G14</f>
        <v>3500</v>
      </c>
      <c r="G30" s="31">
        <f t="shared" si="3"/>
        <v>517.25249702774715</v>
      </c>
      <c r="H30" s="17">
        <f t="shared" si="1"/>
        <v>5638.1274474901993</v>
      </c>
    </row>
    <row r="31" spans="2:11" x14ac:dyDescent="0.25">
      <c r="C31">
        <v>2024</v>
      </c>
      <c r="D31">
        <v>12</v>
      </c>
      <c r="E31" s="17">
        <f t="shared" si="2"/>
        <v>5638.1274474901993</v>
      </c>
      <c r="F31" s="17">
        <f>H14</f>
        <v>3500</v>
      </c>
      <c r="G31" s="31">
        <f t="shared" si="3"/>
        <v>338.28764684941194</v>
      </c>
      <c r="H31" s="17">
        <f t="shared" si="1"/>
        <v>2476.4150943396112</v>
      </c>
    </row>
    <row r="32" spans="2:11" x14ac:dyDescent="0.25">
      <c r="C32">
        <v>2025</v>
      </c>
      <c r="D32">
        <v>9</v>
      </c>
      <c r="E32" s="17">
        <f t="shared" si="2"/>
        <v>2476.4150943396112</v>
      </c>
      <c r="F32" s="17">
        <f>I14</f>
        <v>2625</v>
      </c>
      <c r="G32" s="31">
        <f t="shared" si="3"/>
        <v>148.58490566037668</v>
      </c>
      <c r="H32" s="17">
        <f t="shared" si="1"/>
        <v>-1.2136069926782511E-11</v>
      </c>
    </row>
    <row r="33" spans="6:7" x14ac:dyDescent="0.25">
      <c r="F33" s="21">
        <f>SUM(F26:F32)</f>
        <v>21000</v>
      </c>
      <c r="G33" s="21">
        <f>SUM(G26:G32)</f>
        <v>3531.2053318658468</v>
      </c>
    </row>
    <row r="35" spans="6:7" x14ac:dyDescent="0.25">
      <c r="F35" s="22" t="s">
        <v>27</v>
      </c>
      <c r="G35" s="21">
        <f>G33-J18</f>
        <v>-7.2759576141834259E-12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Mensuel</vt:lpstr>
      <vt:lpstr>Blad1</vt:lpstr>
      <vt:lpstr>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Manantsoa RAKOTONDRAFARA</dc:creator>
  <cp:lastModifiedBy>BSA</cp:lastModifiedBy>
  <dcterms:created xsi:type="dcterms:W3CDTF">2022-06-10T14:02:50Z</dcterms:created>
  <dcterms:modified xsi:type="dcterms:W3CDTF">2022-06-10T16:37:46Z</dcterms:modified>
</cp:coreProperties>
</file>