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11CEEA01-EFB2-4067-A4A2-8B3AB495A58D}" xr6:coauthVersionLast="47" xr6:coauthVersionMax="47" xr10:uidLastSave="{00000000-0000-0000-0000-000000000000}"/>
  <bookViews>
    <workbookView xWindow="1125" yWindow="1125" windowWidth="25200" windowHeight="13890" xr2:uid="{00000000-000D-0000-FFFF-FFFF00000000}"/>
  </bookViews>
  <sheets>
    <sheet name="Blad1" sheetId="2" r:id="rId1"/>
    <sheet name="Blad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2" l="1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G2" i="2"/>
  <c r="C15" i="3"/>
  <c r="D15" i="3"/>
  <c r="E15" i="3"/>
  <c r="F15" i="3"/>
  <c r="G15" i="3"/>
  <c r="H15" i="3"/>
  <c r="I15" i="3"/>
  <c r="J15" i="3"/>
  <c r="K15" i="3"/>
  <c r="L15" i="3"/>
  <c r="M15" i="3"/>
  <c r="N15" i="3"/>
  <c r="B15" i="3"/>
  <c r="AF4" i="2"/>
  <c r="AG4" i="2"/>
  <c r="AH4" i="2" s="1"/>
  <c r="P4" i="2"/>
  <c r="P3" i="2" s="1"/>
  <c r="F3" i="2"/>
  <c r="C10" i="2"/>
  <c r="C9" i="2"/>
  <c r="C7" i="2"/>
  <c r="C8" i="2"/>
  <c r="D1" i="3"/>
  <c r="E1" i="3" s="1"/>
  <c r="D4" i="3"/>
  <c r="D7" i="3"/>
  <c r="D12" i="3"/>
  <c r="D14" i="3"/>
  <c r="C13" i="3"/>
  <c r="C11" i="3"/>
  <c r="C7" i="3"/>
  <c r="C5" i="3"/>
  <c r="C3" i="3"/>
  <c r="C10" i="3" s="1"/>
  <c r="C1" i="3"/>
  <c r="C12" i="3" s="1"/>
  <c r="B14" i="3"/>
  <c r="B13" i="3"/>
  <c r="B12" i="3"/>
  <c r="B11" i="3"/>
  <c r="B7" i="3"/>
  <c r="B6" i="3"/>
  <c r="B4" i="3"/>
  <c r="B3" i="3"/>
  <c r="B8" i="3" s="1"/>
  <c r="H4" i="2"/>
  <c r="I4" i="2" s="1"/>
  <c r="J4" i="2" s="1"/>
  <c r="K4" i="2" s="1"/>
  <c r="L4" i="2" s="1"/>
  <c r="M4" i="2" s="1"/>
  <c r="N4" i="2" s="1"/>
  <c r="O4" i="2" s="1"/>
  <c r="G4" i="2"/>
  <c r="G3" i="2" s="1"/>
  <c r="B5" i="3" l="1"/>
  <c r="B9" i="3"/>
  <c r="B10" i="3"/>
  <c r="C4" i="3"/>
  <c r="C8" i="3"/>
  <c r="C14" i="3"/>
  <c r="D13" i="3"/>
  <c r="D6" i="3"/>
  <c r="C6" i="3"/>
  <c r="D16" i="3"/>
  <c r="D11" i="3"/>
  <c r="D3" i="3"/>
  <c r="D10" i="3" s="1"/>
  <c r="AI4" i="2"/>
  <c r="Q4" i="2"/>
  <c r="N3" i="2"/>
  <c r="J3" i="2"/>
  <c r="M3" i="2"/>
  <c r="I3" i="2"/>
  <c r="L3" i="2"/>
  <c r="H3" i="2"/>
  <c r="O3" i="2"/>
  <c r="K3" i="2"/>
  <c r="E3" i="3"/>
  <c r="E7" i="3"/>
  <c r="E11" i="3"/>
  <c r="E16" i="3"/>
  <c r="E4" i="3"/>
  <c r="E6" i="3"/>
  <c r="E14" i="3"/>
  <c r="F1" i="3"/>
  <c r="E13" i="3"/>
  <c r="E12" i="3"/>
  <c r="D8" i="3"/>
  <c r="C9" i="3"/>
  <c r="D5" i="3" l="1"/>
  <c r="D9" i="3"/>
  <c r="AJ4" i="2"/>
  <c r="Q3" i="2"/>
  <c r="R4" i="2"/>
  <c r="F4" i="3"/>
  <c r="F12" i="3"/>
  <c r="F14" i="3"/>
  <c r="G1" i="3"/>
  <c r="F13" i="3"/>
  <c r="F3" i="3"/>
  <c r="F7" i="3"/>
  <c r="F11" i="3"/>
  <c r="F16" i="3"/>
  <c r="F6" i="3"/>
  <c r="E10" i="3"/>
  <c r="E8" i="3"/>
  <c r="E5" i="3"/>
  <c r="E9" i="3"/>
  <c r="AK4" i="2" l="1"/>
  <c r="R3" i="2"/>
  <c r="S4" i="2"/>
  <c r="H1" i="3"/>
  <c r="G13" i="3"/>
  <c r="G16" i="3"/>
  <c r="G6" i="3"/>
  <c r="G4" i="3"/>
  <c r="G12" i="3"/>
  <c r="G3" i="3"/>
  <c r="G7" i="3"/>
  <c r="G11" i="3"/>
  <c r="G14" i="3"/>
  <c r="F8" i="3"/>
  <c r="F5" i="3"/>
  <c r="F10" i="3"/>
  <c r="F9" i="3"/>
  <c r="AL4" i="2" l="1"/>
  <c r="T4" i="2"/>
  <c r="S3" i="2"/>
  <c r="G5" i="3"/>
  <c r="G9" i="3"/>
  <c r="G8" i="3"/>
  <c r="G10" i="3"/>
  <c r="H6" i="3"/>
  <c r="H14" i="3"/>
  <c r="H3" i="3"/>
  <c r="H11" i="3"/>
  <c r="H16" i="3"/>
  <c r="I1" i="3"/>
  <c r="H13" i="3"/>
  <c r="H12" i="3"/>
  <c r="H7" i="3"/>
  <c r="H4" i="3"/>
  <c r="AM4" i="2" l="1"/>
  <c r="T3" i="2"/>
  <c r="U4" i="2"/>
  <c r="H10" i="3"/>
  <c r="H5" i="3"/>
  <c r="H9" i="3"/>
  <c r="H8" i="3"/>
  <c r="I3" i="3"/>
  <c r="I7" i="3"/>
  <c r="I11" i="3"/>
  <c r="I16" i="3"/>
  <c r="I4" i="3"/>
  <c r="I12" i="3"/>
  <c r="I6" i="3"/>
  <c r="I14" i="3"/>
  <c r="I13" i="3"/>
  <c r="J1" i="3"/>
  <c r="AN4" i="2" l="1"/>
  <c r="U3" i="2"/>
  <c r="V4" i="2"/>
  <c r="J4" i="3"/>
  <c r="J12" i="3"/>
  <c r="J3" i="3"/>
  <c r="J7" i="3"/>
  <c r="J11" i="3"/>
  <c r="J16" i="3"/>
  <c r="K1" i="3"/>
  <c r="J6" i="3"/>
  <c r="J14" i="3"/>
  <c r="J13" i="3"/>
  <c r="I10" i="3"/>
  <c r="I5" i="3"/>
  <c r="I9" i="3"/>
  <c r="I8" i="3"/>
  <c r="AO4" i="2" l="1"/>
  <c r="V3" i="2"/>
  <c r="W4" i="2"/>
  <c r="L1" i="3"/>
  <c r="K13" i="3"/>
  <c r="K14" i="3"/>
  <c r="K4" i="3"/>
  <c r="K12" i="3"/>
  <c r="K3" i="3"/>
  <c r="K7" i="3"/>
  <c r="K11" i="3"/>
  <c r="K16" i="3"/>
  <c r="K6" i="3"/>
  <c r="J8" i="3"/>
  <c r="J9" i="3"/>
  <c r="J5" i="3"/>
  <c r="J10" i="3"/>
  <c r="AP4" i="2" l="1"/>
  <c r="X4" i="2"/>
  <c r="W3" i="2"/>
  <c r="K5" i="3"/>
  <c r="K9" i="3"/>
  <c r="K10" i="3"/>
  <c r="K8" i="3"/>
  <c r="L6" i="3"/>
  <c r="L14" i="3"/>
  <c r="L12" i="3"/>
  <c r="L3" i="3"/>
  <c r="L16" i="3"/>
  <c r="M1" i="3"/>
  <c r="L13" i="3"/>
  <c r="L4" i="3"/>
  <c r="L7" i="3"/>
  <c r="L11" i="3"/>
  <c r="AQ4" i="2" l="1"/>
  <c r="X3" i="2"/>
  <c r="Y4" i="2"/>
  <c r="M3" i="3"/>
  <c r="M7" i="3"/>
  <c r="M11" i="3"/>
  <c r="M16" i="3"/>
  <c r="M6" i="3"/>
  <c r="M14" i="3"/>
  <c r="N1" i="3"/>
  <c r="M13" i="3"/>
  <c r="M4" i="3"/>
  <c r="M12" i="3"/>
  <c r="L10" i="3"/>
  <c r="L5" i="3"/>
  <c r="L9" i="3"/>
  <c r="L8" i="3"/>
  <c r="AR4" i="2" l="1"/>
  <c r="Y3" i="2"/>
  <c r="Z4" i="2"/>
  <c r="N4" i="3"/>
  <c r="N12" i="3"/>
  <c r="N13" i="3"/>
  <c r="N3" i="3"/>
  <c r="N7" i="3"/>
  <c r="N11" i="3"/>
  <c r="N16" i="3"/>
  <c r="N14" i="3"/>
  <c r="N6" i="3"/>
  <c r="M10" i="3"/>
  <c r="M8" i="3"/>
  <c r="M5" i="3"/>
  <c r="M9" i="3"/>
  <c r="AS4" i="2" l="1"/>
  <c r="Z3" i="2"/>
  <c r="AA4" i="2"/>
  <c r="N8" i="3"/>
  <c r="E8" i="2" s="1"/>
  <c r="N9" i="3"/>
  <c r="N10" i="3"/>
  <c r="N5" i="3"/>
  <c r="E7" i="2" s="1"/>
  <c r="O8" i="2" l="1"/>
  <c r="K8" i="2"/>
  <c r="G8" i="2"/>
  <c r="N8" i="2"/>
  <c r="J8" i="2"/>
  <c r="AF8" i="2"/>
  <c r="M8" i="2"/>
  <c r="I8" i="2"/>
  <c r="AG8" i="2"/>
  <c r="L8" i="2"/>
  <c r="H8" i="2"/>
  <c r="AH8" i="2"/>
  <c r="Q8" i="2"/>
  <c r="AI8" i="2"/>
  <c r="AJ8" i="2"/>
  <c r="R8" i="2"/>
  <c r="AK8" i="2"/>
  <c r="S8" i="2"/>
  <c r="T8" i="2"/>
  <c r="AL8" i="2"/>
  <c r="AM8" i="2"/>
  <c r="U8" i="2"/>
  <c r="V8" i="2"/>
  <c r="AN8" i="2"/>
  <c r="AO8" i="2"/>
  <c r="W8" i="2"/>
  <c r="X8" i="2"/>
  <c r="AP8" i="2"/>
  <c r="AQ8" i="2"/>
  <c r="Y8" i="2"/>
  <c r="AR8" i="2"/>
  <c r="Z8" i="2"/>
  <c r="K7" i="2"/>
  <c r="G7" i="2"/>
  <c r="N7" i="2"/>
  <c r="J7" i="2"/>
  <c r="AF7" i="2"/>
  <c r="AH7" i="2"/>
  <c r="M7" i="2"/>
  <c r="I7" i="2"/>
  <c r="AG7" i="2"/>
  <c r="L7" i="2"/>
  <c r="H7" i="2"/>
  <c r="AI7" i="2"/>
  <c r="AJ7" i="2"/>
  <c r="AK7" i="2"/>
  <c r="T7" i="2"/>
  <c r="AL7" i="2"/>
  <c r="U7" i="2"/>
  <c r="AM7" i="2"/>
  <c r="V7" i="2"/>
  <c r="AN7" i="2"/>
  <c r="AO7" i="2"/>
  <c r="W7" i="2"/>
  <c r="AP7" i="2"/>
  <c r="X7" i="2"/>
  <c r="AQ7" i="2"/>
  <c r="Y7" i="2"/>
  <c r="AR7" i="2"/>
  <c r="Z7" i="2"/>
  <c r="E10" i="2"/>
  <c r="AS10" i="2" s="1"/>
  <c r="E9" i="2"/>
  <c r="AA9" i="2" s="1"/>
  <c r="AS7" i="2"/>
  <c r="AT4" i="2"/>
  <c r="AS8" i="2"/>
  <c r="AB4" i="2"/>
  <c r="AA3" i="2"/>
  <c r="AA7" i="2"/>
  <c r="AA8" i="2"/>
  <c r="AS9" i="2" l="1"/>
  <c r="AA10" i="2"/>
  <c r="O7" i="2"/>
  <c r="P7" i="2" s="1"/>
  <c r="P8" i="2"/>
  <c r="L9" i="2"/>
  <c r="O9" i="2"/>
  <c r="K9" i="2"/>
  <c r="G9" i="2"/>
  <c r="AH9" i="2"/>
  <c r="N9" i="2"/>
  <c r="J9" i="2"/>
  <c r="AG9" i="2"/>
  <c r="M9" i="2"/>
  <c r="I9" i="2"/>
  <c r="AF9" i="2"/>
  <c r="H9" i="2"/>
  <c r="AI9" i="2"/>
  <c r="AJ9" i="2"/>
  <c r="AK9" i="2"/>
  <c r="AL9" i="2"/>
  <c r="T9" i="2"/>
  <c r="U9" i="2"/>
  <c r="AM9" i="2"/>
  <c r="AN9" i="2"/>
  <c r="AO9" i="2"/>
  <c r="AP9" i="2"/>
  <c r="AQ9" i="2"/>
  <c r="AR9" i="2"/>
  <c r="P10" i="2"/>
  <c r="M10" i="2"/>
  <c r="I10" i="2"/>
  <c r="AG10" i="2"/>
  <c r="L10" i="2"/>
  <c r="H10" i="2"/>
  <c r="O10" i="2"/>
  <c r="K10" i="2"/>
  <c r="G10" i="2"/>
  <c r="AH10" i="2"/>
  <c r="AF10" i="2"/>
  <c r="N10" i="2"/>
  <c r="J10" i="2"/>
  <c r="AI10" i="2"/>
  <c r="Q10" i="2"/>
  <c r="AJ10" i="2"/>
  <c r="R10" i="2"/>
  <c r="AK10" i="2"/>
  <c r="S10" i="2"/>
  <c r="AL10" i="2"/>
  <c r="T10" i="2"/>
  <c r="AM10" i="2"/>
  <c r="U10" i="2"/>
  <c r="AN10" i="2"/>
  <c r="V10" i="2"/>
  <c r="AO10" i="2"/>
  <c r="AP10" i="2"/>
  <c r="AQ10" i="2"/>
  <c r="AR10" i="2"/>
  <c r="AT8" i="2"/>
  <c r="AT9" i="2"/>
  <c r="AT7" i="2"/>
  <c r="AT10" i="2"/>
  <c r="AB3" i="2"/>
  <c r="AB7" i="2"/>
  <c r="AB8" i="2"/>
  <c r="AC4" i="2"/>
  <c r="AB9" i="2"/>
  <c r="AB10" i="2"/>
  <c r="W10" i="2" l="1"/>
  <c r="X10" i="2" s="1"/>
  <c r="P9" i="2"/>
  <c r="Q9" i="2"/>
  <c r="Q7" i="2"/>
  <c r="R7" i="2" s="1"/>
  <c r="AC3" i="2"/>
  <c r="AC7" i="2"/>
  <c r="AC8" i="2"/>
  <c r="AD4" i="2"/>
  <c r="Z10" i="2" l="1"/>
  <c r="Y10" i="2"/>
  <c r="AC10" i="2" s="1"/>
  <c r="S7" i="2"/>
  <c r="R9" i="2"/>
  <c r="AD3" i="2"/>
  <c r="AD7" i="2"/>
  <c r="AD8" i="2"/>
  <c r="AD10" i="2"/>
  <c r="AE4" i="2"/>
  <c r="S9" i="2" l="1"/>
  <c r="V9" i="2" s="1"/>
  <c r="AE7" i="2"/>
  <c r="AE8" i="2"/>
  <c r="AE3" i="2"/>
  <c r="AE9" i="2"/>
  <c r="AE10" i="2"/>
  <c r="W9" i="2" l="1"/>
  <c r="X9" i="2" s="1"/>
  <c r="Y9" i="2" l="1"/>
  <c r="Z9" i="2" s="1"/>
  <c r="AC9" i="2" l="1"/>
  <c r="AD9" i="2" s="1"/>
</calcChain>
</file>

<file path=xl/sharedStrings.xml><?xml version="1.0" encoding="utf-8"?>
<sst xmlns="http://schemas.openxmlformats.org/spreadsheetml/2006/main" count="67" uniqueCount="67">
  <si>
    <t>task</t>
  </si>
  <si>
    <t>estimated</t>
  </si>
  <si>
    <t>d</t>
  </si>
  <si>
    <t>startdate</t>
  </si>
  <si>
    <t>end date</t>
  </si>
  <si>
    <t>task1</t>
  </si>
  <si>
    <t>Jour férié</t>
  </si>
  <si>
    <t>Formule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</si>
  <si>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</si>
  <si>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</si>
  <si>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</si>
  <si>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</si>
  <si>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</si>
  <si>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</si>
  <si>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</si>
  <si>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</si>
  <si>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</si>
  <si>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</si>
  <si>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</si>
  <si>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</si>
  <si>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</si>
  <si>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task2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</si>
  <si>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</si>
  <si>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</si>
  <si>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</si>
  <si>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</si>
  <si>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</si>
  <si>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</si>
  <si>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</si>
  <si>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</si>
  <si>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</si>
  <si>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</si>
  <si>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</si>
  <si>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</si>
  <si>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</si>
  <si>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</si>
  <si>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</si>
  <si>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</si>
  <si>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</si>
  <si>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</si>
  <si>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task3</t>
  </si>
  <si>
    <t>task4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</si>
  <si>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</si>
  <si>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</si>
  <si>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</si>
  <si>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</si>
  <si>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</si>
  <si>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</si>
  <si>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</si>
  <si>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</si>
  <si>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</si>
  <si>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</si>
  <si>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</si>
  <si>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</si>
  <si>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</si>
  <si>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</si>
  <si>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</si>
  <si>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</si>
  <si>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</si>
  <si>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</si>
  <si>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</si>
  <si>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</si>
  <si>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</si>
  <si>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</si>
  <si>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</si>
  <si>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special</t>
  </si>
  <si>
    <t>workload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</si>
</sst>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9" formatCode="[$-F800]dddd\,\ mmmm\ dd\,\ yyyy"/>
    <numFmt numFmtId="171" formatCode="ddd\ dd\-mm"/>
    <numFmt numFmtId="172" formatCode="ddd\ dd\-mm\-yy"/>
  </numFmts>
  <fonts count="4" x14ac:knownFonts="1">
    <font>
      <sz val="11"/>
      <color theme="1"/>
      <name val="Calibri"/>
      <family val="2"/>
      <scheme val="minor"/>
    </font>
    <font>
      <sz val="11"/>
      <color rgb="FF1A1A1A"/>
      <name val="Open Sans"/>
      <family val="2"/>
    </font>
    <font>
      <b/>
      <sz val="11"/>
      <color rgb="FF1A1A1A"/>
      <name val="Open Sans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 applyAlignment="1">
      <alignment vertical="center" wrapText="1"/>
    </xf>
    <xf numFmtId="0" fontId="0" fillId="0" borderId="0" xfId="0" applyAlignment="1"/>
    <xf numFmtId="0" fontId="2" fillId="2" borderId="0" xfId="0" applyFont="1" applyFill="1" applyAlignment="1">
      <alignment vertical="center"/>
    </xf>
    <xf numFmtId="169" fontId="1" fillId="2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4" borderId="0" xfId="0" applyFont="1" applyFill="1" applyAlignment="1">
      <alignment vertical="center"/>
    </xf>
    <xf numFmtId="169" fontId="1" fillId="4" borderId="0" xfId="0" applyNumberFormat="1" applyFont="1" applyFill="1" applyAlignment="1">
      <alignment vertical="center" wrapText="1"/>
    </xf>
    <xf numFmtId="172" fontId="0" fillId="0" borderId="0" xfId="0" applyNumberFormat="1" applyAlignment="1">
      <alignment horizontal="center"/>
    </xf>
    <xf numFmtId="0" fontId="0" fillId="5" borderId="0" xfId="0" applyFill="1" applyAlignment="1">
      <alignment horizontal="center"/>
    </xf>
    <xf numFmtId="172" fontId="0" fillId="5" borderId="0" xfId="0" applyNumberFormat="1" applyFill="1" applyAlignment="1">
      <alignment horizontal="center"/>
    </xf>
    <xf numFmtId="171" fontId="0" fillId="0" borderId="0" xfId="0" applyNumberFormat="1" applyAlignment="1">
      <alignment horizontal="center" textRotation="90" shrinkToFit="1"/>
    </xf>
    <xf numFmtId="172" fontId="0" fillId="0" borderId="0" xfId="0" applyNumberFormat="1" applyAlignment="1">
      <alignment horizontal="center" textRotation="90" shrinkToFit="1"/>
    </xf>
  </cellXfs>
  <cellStyles count="1">
    <cellStyle name="Standaard" xfId="0" builtinId="0"/>
  </cellStyles>
  <dxfs count="56">
    <dxf>
      <fill>
        <patternFill>
          <bgColor rgb="FFB889DB"/>
        </patternFill>
      </fill>
    </dxf>
    <dxf>
      <fill>
        <patternFill>
          <bgColor theme="0" tint="-0.14996795556505021"/>
        </patternFill>
      </fill>
    </dxf>
    <dxf>
      <fill>
        <patternFill>
          <bgColor rgb="FFB889DB"/>
        </patternFill>
      </fill>
    </dxf>
    <dxf>
      <fill>
        <patternFill>
          <bgColor theme="0" tint="-0.14996795556505021"/>
        </patternFill>
      </fill>
    </dxf>
    <dxf>
      <fill>
        <patternFill>
          <bgColor rgb="FFB889DB"/>
        </patternFill>
      </fill>
    </dxf>
    <dxf>
      <fill>
        <patternFill>
          <bgColor theme="0" tint="-0.14996795556505021"/>
        </patternFill>
      </fill>
    </dxf>
    <dxf>
      <numFmt numFmtId="172" formatCode="ddd\ dd\-mm\-yy"/>
      <fill>
        <patternFill patternType="solid">
          <fgColor indexed="64"/>
          <bgColor theme="9" tint="0.59999389629810485"/>
        </patternFill>
      </fill>
      <alignment horizontal="center" vertical="bottom" wrapText="0" indent="0" justifyLastLine="0" shrinkToFit="0" readingOrder="0"/>
    </dxf>
    <dxf>
      <numFmt numFmtId="172" formatCode="ddd\ dd\-mm\-yy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bottom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bottom" wrapText="0" indent="0" justifyLastLine="0" shrinkToFit="0" readingOrder="0"/>
    </dxf>
    <dxf>
      <fill>
        <patternFill>
          <bgColor rgb="FF7030A0"/>
        </patternFill>
      </fill>
    </dxf>
    <dxf>
      <fill>
        <patternFill>
          <bgColor theme="0" tint="-0.14996795556505021"/>
        </patternFill>
      </fill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alignment horizontal="center" vertical="bottom" wrapText="0" indent="0" justifyLastLine="0" shrinkToFit="0" readingOrder="0"/>
    </dxf>
    <dxf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numFmt numFmtId="0" formatCode="General"/>
      <alignment horizontal="center" vertical="bottom" wrapText="0" indent="0" justifyLastLine="0" shrinkToFit="0" readingOrder="0"/>
    </dxf>
    <dxf>
      <fill>
        <patternFill>
          <fgColor indexed="64"/>
          <bgColor theme="2" tint="-0.24994659260841701"/>
        </patternFill>
      </fill>
      <alignment horizontal="center" vertical="bottom" wrapText="0" indent="0" justifyLastLine="0" shrinkToFit="0" readingOrder="0"/>
    </dxf>
  </dxfs>
  <tableStyles count="0" defaultTableStyle="TableStyleMedium2" defaultPivotStyle="PivotStyleLight16"/>
  <colors>
    <mruColors>
      <color rgb="FFB88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13</xdr:row>
      <xdr:rowOff>123825</xdr:rowOff>
    </xdr:from>
    <xdr:to>
      <xdr:col>38</xdr:col>
      <xdr:colOff>123825</xdr:colOff>
      <xdr:row>38</xdr:row>
      <xdr:rowOff>180975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F1616760-8E20-35DD-372C-75D9C3A7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9825"/>
          <a:ext cx="13134975" cy="4819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C52B21D-7CE6-4DDC-85F3-83988C835F48}" name="Tabel3" displayName="Tabel3" ref="A6:AT10" totalsRowShown="0" headerRowDxfId="37" dataDxfId="36">
  <tableColumns count="46">
    <tableColumn id="1" xr3:uid="{7924ED6C-08DB-4CF6-A7A4-54429531EBE7}" name="task" dataDxfId="10"/>
    <tableColumn id="2" xr3:uid="{1A3B5753-EBBF-4834-B90B-AFC458D10FEA}" name="estimated" dataDxfId="9"/>
    <tableColumn id="3" xr3:uid="{D77F6B0D-98AC-407C-908F-2750A47D7DA5}" name="d" dataDxfId="8">
      <calculatedColumnFormula>CEILING(+B7/8,1)</calculatedColumnFormula>
    </tableColumn>
    <tableColumn id="4" xr3:uid="{E9D1EBA3-E5C2-4BE5-88AE-020550EE1926}" name="startdate" dataDxfId="6"/>
    <tableColumn id="5" xr3:uid="{3455D567-0EB5-41FD-B4E7-506E8833BBD9}" name="end date" dataDxfId="7">
      <calculatedColumnFormula>WORKDAY.INTL(D7-1,C7,,Blad2!$B$3:$N$16)</calculatedColumnFormula>
    </tableColumn>
    <tableColumn id="6" xr3:uid="{07EEAF9C-C045-4E2B-98F1-F0B035FA39E6}" name="a1" dataDxfId="55"/>
    <tableColumn id="7" xr3:uid="{33CE39B6-5288-494D-87F6-BE90CCE2BB6E}" name="a2" dataDxfId="54">
      <calculatedColumnFormula>IF(COUNT(Tabel3[[#This Row],[startdate]:[end date]])=2,
IF(MEDIAN($D7,$E7,G$4)=G$4,IF(WORKDAY.INTL(G$4-1,1,,Blad2!$B$3:$N$16)=G$4,MIN(8,$B7-SUM($F7:F7)),"-"),"-"),"-")</calculatedColumnFormula>
    </tableColumn>
    <tableColumn id="8" xr3:uid="{362002C3-6F7B-46B9-AEF0-1FE399CC602E}" name="a3" dataDxfId="53">
      <calculatedColumnFormula>IF(COUNT(Tabel3[[#This Row],[startdate]:[end date]])=2,
IF(MEDIAN($D7,$E7,H$4)=H$4,IF(WORKDAY.INTL(H$4-1,1,,Blad2!$B$3:$N$16)=H$4,MIN(8,$B7-SUM($F7:G7)),"-"),"-"),"-")</calculatedColumnFormula>
    </tableColumn>
    <tableColumn id="9" xr3:uid="{4B949B2A-B1F6-44D5-9F29-1A2CD90928F0}" name="a4" dataDxfId="52">
      <calculatedColumnFormula>IF(COUNT(Tabel3[[#This Row],[startdate]:[end date]])=2,
IF(MEDIAN($D7,$E7,I$4)=I$4,IF(WORKDAY.INTL(I$4-1,1,,Blad2!$B$3:$N$16)=I$4,MIN(8,$B7-SUM($F7:H7)),"-"),"-"),"-")</calculatedColumnFormula>
    </tableColumn>
    <tableColumn id="10" xr3:uid="{6EBEDC42-E6AF-4B71-823B-D946707DC853}" name="a5" dataDxfId="51">
      <calculatedColumnFormula>IF(COUNT(Tabel3[[#This Row],[startdate]:[end date]])=2,
IF(MEDIAN($D7,$E7,J$4)=J$4,IF(WORKDAY.INTL(J$4-1,1,,Blad2!$B$3:$N$16)=J$4,MIN(8,$B7-SUM($F7:I7)),"-"),"-"),"-")</calculatedColumnFormula>
    </tableColumn>
    <tableColumn id="11" xr3:uid="{9C5F5FE5-97B6-4212-AF6F-28F0573EA90B}" name="a6" dataDxfId="50">
      <calculatedColumnFormula>IF(COUNT(Tabel3[[#This Row],[startdate]:[end date]])=2,
IF(MEDIAN($D7,$E7,K$4)=K$4,IF(WORKDAY.INTL(K$4-1,1,,Blad2!$B$3:$N$16)=K$4,MIN(8,$B7-SUM($F7:J7)),"-"),"-"),"-")</calculatedColumnFormula>
    </tableColumn>
    <tableColumn id="12" xr3:uid="{BEE87F1B-2264-4146-82BE-65A7257FA5C0}" name="a7" dataDxfId="49">
      <calculatedColumnFormula>IF(COUNT(Tabel3[[#This Row],[startdate]:[end date]])=2,
IF(MEDIAN($D7,$E7,L$4)=L$4,IF(WORKDAY.INTL(L$4-1,1,,Blad2!$B$3:$N$16)=L$4,MIN(8,$B7-SUM($F7:K7)),"-"),"-"),"-")</calculatedColumnFormula>
    </tableColumn>
    <tableColumn id="13" xr3:uid="{23252CF3-FE54-42F4-AA81-5625E4C264A6}" name="a8" dataDxfId="48">
      <calculatedColumnFormula>IF(COUNT(Tabel3[[#This Row],[startdate]:[end date]])=2,
IF(MEDIAN($D7,$E7,M$4)=M$4,IF(WORKDAY.INTL(M$4-1,1,,Blad2!$B$3:$N$16)=M$4,MIN(8,$B7-SUM($F7:L7)),"-"),"-"),"-")</calculatedColumnFormula>
    </tableColumn>
    <tableColumn id="14" xr3:uid="{21EBA678-40F6-4FBD-8E52-2F1EDA1D1417}" name="a9" dataDxfId="47">
      <calculatedColumnFormula>IF(COUNT(Tabel3[[#This Row],[startdate]:[end date]])=2,
IF(MEDIAN($D7,$E7,N$4)=N$4,IF(WORKDAY.INTL(N$4-1,1,,Blad2!$B$3:$N$16)=N$4,MIN(8,$B7-SUM($F7:M7)),"-"),"-"),"-")</calculatedColumnFormula>
    </tableColumn>
    <tableColumn id="15" xr3:uid="{94345D23-E941-45CC-9F3A-473964A154C2}" name="a10" dataDxfId="46">
      <calculatedColumnFormula>IF(COUNT(Tabel3[[#This Row],[startdate]:[end date]])=2,
IF(MEDIAN($D7,$E7,O$4)=O$4,IF(WORKDAY.INTL(O$4-1,1,,Blad2!$B$3:$N$16)=O$4,MIN(8,$B7-SUM($F7:N7)),"-"),"-"),"-")</calculatedColumnFormula>
    </tableColumn>
    <tableColumn id="16" xr3:uid="{8365D3D4-E358-46F8-9E6F-40299DC7680B}" name="a11" dataDxfId="45">
      <calculatedColumnFormula>IF(COUNT(Tabel3[[#This Row],[startdate]:[end date]])=2,
IF(MEDIAN($D7,$E7,P$4)=P$4,IF(WORKDAY.INTL(P$4-1,1,,Blad2!$B$3:$N$16)=P$4,MIN(8,$B7-SUM($F7:O7)),"-"),"-"),"-")</calculatedColumnFormula>
    </tableColumn>
    <tableColumn id="17" xr3:uid="{5C0474B1-F79A-4A03-A147-EE00B0014190}" name="a12" dataDxfId="44">
      <calculatedColumnFormula>IF(COUNT(Tabel3[[#This Row],[startdate]:[end date]])=2,
IF(MEDIAN($D7,$E7,Q$4)=Q$4,IF(WORKDAY.INTL(Q$4-1,1,,Blad2!$B$3:$N$16)=Q$4,MIN(8,$B7-SUM($F7:P7)),"-"),"-"),"-")</calculatedColumnFormula>
    </tableColumn>
    <tableColumn id="18" xr3:uid="{FFC810A2-D7D1-4E85-81FC-2F47F3CDF118}" name="a13" dataDxfId="43">
      <calculatedColumnFormula>IF(COUNT(Tabel3[[#This Row],[startdate]:[end date]])=2,
IF(MEDIAN($D7,$E7,R$4)=R$4,IF(WORKDAY.INTL(R$4-1,1,,Blad2!$B$3:$N$16)=R$4,MIN(8,$B7-SUM($F7:Q7)),"-"),"-"),"-")</calculatedColumnFormula>
    </tableColumn>
    <tableColumn id="19" xr3:uid="{D61DB785-0D57-4C0E-B6E8-726D705F4A00}" name="a14" dataDxfId="42">
      <calculatedColumnFormula>IF(COUNT(Tabel3[[#This Row],[startdate]:[end date]])=2,
IF(MEDIAN($D7,$E7,S$4)=S$4,IF(WORKDAY.INTL(S$4-1,1,,Blad2!$B$3:$N$16)=S$4,MIN(8,$B7-SUM($F7:R7)),"-"),"-"),"-")</calculatedColumnFormula>
    </tableColumn>
    <tableColumn id="20" xr3:uid="{D25479E6-B2A3-4000-BB82-815E6B8E70AE}" name="a15" dataDxfId="41">
      <calculatedColumnFormula>IF(COUNT(Tabel3[[#This Row],[startdate]:[end date]])=2,
IF(MEDIAN($D7,$E7,T$4)=T$4,IF(WORKDAY.INTL(T$4-1,1,,Blad2!$B$3:$N$16)=T$4,MIN(8,$B7-SUM($F7:S7)),"-"),"-"),"-")</calculatedColumnFormula>
    </tableColumn>
    <tableColumn id="21" xr3:uid="{B7C1926A-91F5-4737-9F25-C3648D7C155C}" name="a16" dataDxfId="40">
      <calculatedColumnFormula>IF(COUNT(Tabel3[[#This Row],[startdate]:[end date]])=2,
IF(MEDIAN($D7,$E7,U$4)=U$4,IF(WORKDAY.INTL(U$4-1,1,,Blad2!$B$3:$N$16)=U$4,MIN(8,$B7-SUM($F7:T7)),"-"),"-"),"-")</calculatedColumnFormula>
    </tableColumn>
    <tableColumn id="22" xr3:uid="{D9DCEBBF-C6E1-45D0-A4E1-0B289156ED65}" name="a17" dataDxfId="39">
      <calculatedColumnFormula>IF(COUNT(Tabel3[[#This Row],[startdate]:[end date]])=2,
IF(MEDIAN($D7,$E7,V$4)=V$4,IF(WORKDAY.INTL(V$4-1,1,,Blad2!$B$3:$N$16)=V$4,MIN(8,$B7-SUM($F7:U7)),"-"),"-"),"-")</calculatedColumnFormula>
    </tableColumn>
    <tableColumn id="23" xr3:uid="{1B8C24D0-3473-4A16-90B7-FDBB7783EABB}" name="a18" dataDxfId="38">
      <calculatedColumnFormula>IF(COUNT(Tabel3[[#This Row],[startdate]:[end date]])=2,
IF(MEDIAN($D7,$E7,W$4)=W$4,IF(WORKDAY.INTL(W$4-1,1,,Blad2!$B$3:$N$16)=W$4,MIN(8,$B7-SUM($F7:V7)),"-"),"-"),"-")</calculatedColumnFormula>
    </tableColumn>
    <tableColumn id="24" xr3:uid="{B7FA098F-C78E-4A3F-B955-4076E058D45D}" name="a19" dataDxfId="35">
      <calculatedColumnFormula>IF(COUNT(Tabel3[[#This Row],[startdate]:[end date]])=2,
IF(MEDIAN($D7,$E7,X$4)=X$4,IF(WORKDAY.INTL(X$4-1,1,,Blad2!$B$3:$N$16)=X$4,MIN(8,$B7-SUM($F7:W7)),"-"),"-"),"-")</calculatedColumnFormula>
    </tableColumn>
    <tableColumn id="25" xr3:uid="{340FCE18-C8CE-49F8-8DDE-A45B9A0CC9D2}" name="a20" dataDxfId="34">
      <calculatedColumnFormula>IF(COUNT(Tabel3[[#This Row],[startdate]:[end date]])=2,
IF(MEDIAN($D7,$E7,Y$4)=Y$4,IF(WORKDAY.INTL(Y$4-1,1,,Blad2!$B$3:$N$16)=Y$4,MIN(8,$B7-SUM($F7:X7)),"-"),"-"),"-")</calculatedColumnFormula>
    </tableColumn>
    <tableColumn id="26" xr3:uid="{DD698490-55CB-4E06-BB7A-00519AA85105}" name="a21" dataDxfId="33">
      <calculatedColumnFormula>IF(COUNT(Tabel3[[#This Row],[startdate]:[end date]])=2,
IF(MEDIAN($D7,$E7,Z$4)=Z$4,IF(WORKDAY.INTL(Z$4-1,1,,Blad2!$B$3:$N$16)=Z$4,MIN(8,$B7-SUM($F7:Y7)),"-"),"-"),"-")</calculatedColumnFormula>
    </tableColumn>
    <tableColumn id="27" xr3:uid="{D7310AF3-BBD7-423F-8370-DC758367958B}" name="a22" dataDxfId="32">
      <calculatedColumnFormula>IF(COUNT(Tabel3[[#This Row],[startdate]:[end date]])=2,
IF(MEDIAN($D7,$E7,AA$4)=AA$4,IF(WORKDAY.INTL(AA$4-1,1,,Blad2!$B$3:$N$16)=AA$4,MIN(8,$B7-SUM($F7:Z7)),"-"),"-"),"-")</calculatedColumnFormula>
    </tableColumn>
    <tableColumn id="28" xr3:uid="{B1B9C871-EF69-4A22-AF5A-59AF19A356C0}" name="a23" dataDxfId="31">
      <calculatedColumnFormula>IF(COUNT(Tabel3[[#This Row],[startdate]:[end date]])=2,
IF(MEDIAN($D7,$E7,AB$4)=AB$4,IF(WORKDAY.INTL(AB$4-1,1,,Blad2!$B$3:$N$16)=AB$4,MIN(8,$B7-SUM($F7:AA7)),"-"),"-"),"-")</calculatedColumnFormula>
    </tableColumn>
    <tableColumn id="29" xr3:uid="{B4D8BA8C-8004-4E79-8283-1B40834F5668}" name="a24" dataDxfId="30">
      <calculatedColumnFormula>IF(COUNT(Tabel3[[#This Row],[startdate]:[end date]])=2,
IF(MEDIAN($D7,$E7,AC$4)=AC$4,IF(WORKDAY.INTL(AC$4-1,1,,Blad2!$B$3:$N$16)=AC$4,MIN(8,$B7-SUM($F7:AB7)),"-"),"-"),"-")</calculatedColumnFormula>
    </tableColumn>
    <tableColumn id="30" xr3:uid="{804ED3F1-1EF1-430C-9213-C1BC5423BC9D}" name="a25" dataDxfId="29">
      <calculatedColumnFormula>IF(COUNT(Tabel3[[#This Row],[startdate]:[end date]])=2,
IF(MEDIAN($D7,$E7,AD$4)=AD$4,IF(WORKDAY.INTL(AD$4-1,1,,Blad2!$B$3:$N$16)=AD$4,MIN(8,$B7-SUM($F7:AC7)),"-"),"-"),"-")</calculatedColumnFormula>
    </tableColumn>
    <tableColumn id="31" xr3:uid="{7AA3D728-42EE-4581-A4D4-97668CB5944F}" name="a26" dataDxfId="28">
      <calculatedColumnFormula>IF(COUNT(Tabel3[[#This Row],[startdate]:[end date]])=2,
IF(MEDIAN($D7,$E7,AE$4)=AE$4,IF(WORKDAY.INTL(AE$4-1,1,,Blad2!$B$3:$N$16)=AE$4,MIN(8,$B7-SUM($F7:AD7)),"-"),"-"),"-")</calculatedColumnFormula>
    </tableColumn>
    <tableColumn id="32" xr3:uid="{560D7A8D-E633-4B1F-BA85-E8D4F8F4243A}" name="a27" dataDxfId="27">
      <calculatedColumnFormula>IF(COUNT(Tabel3[[#This Row],[startdate]:[end date]])=2,
IF(MEDIAN($D7,$E7,AF$4)=AF$4,IF(WORKDAY.INTL(AF$4-1,1,,Blad2!$B$3:$N$16)=AF$4,MIN(8,$B7-SUM($F7:AE7)),"-"),"-"),"-")</calculatedColumnFormula>
    </tableColumn>
    <tableColumn id="33" xr3:uid="{8267BC55-D8D4-40C2-BC40-AE6F9EC1AE15}" name="a28" dataDxfId="26">
      <calculatedColumnFormula>IF(COUNT(Tabel3[[#This Row],[startdate]:[end date]])=2,
IF(MEDIAN($D7,$E7,AG$4)=AG$4,IF(WORKDAY.INTL(AG$4-1,1,,Blad2!$B$3:$N$16)=AG$4,MIN(8,$B7-SUM($F7:AF7)),"-"),"-"),"-")</calculatedColumnFormula>
    </tableColumn>
    <tableColumn id="34" xr3:uid="{9EAC587B-4D34-46BD-8629-05D9FF73F1AA}" name="a29" dataDxfId="25">
      <calculatedColumnFormula>IF(COUNT(Tabel3[[#This Row],[startdate]:[end date]])=2,
IF(MEDIAN($D7,$E7,AH$4)=AH$4,IF(WORKDAY.INTL(AH$4-1,1,,Blad2!$B$3:$N$16)=AH$4,MIN(8,$B7-SUM($F7:AG7)),"-"),"-"),"-")</calculatedColumnFormula>
    </tableColumn>
    <tableColumn id="35" xr3:uid="{F5EF1543-0A97-4151-9E12-C00A72C5A723}" name="a30" dataDxfId="24">
      <calculatedColumnFormula>IF(COUNT(Tabel3[[#This Row],[startdate]:[end date]])=2,
IF(MEDIAN($D7,$E7,AI$4)=AI$4,IF(WORKDAY.INTL(AI$4-1,1,,Blad2!$B$3:$N$16)=AI$4,MIN(8,$B7-SUM($F7:AH7)),"-"),"-"),"-")</calculatedColumnFormula>
    </tableColumn>
    <tableColumn id="36" xr3:uid="{75C6BD89-FBEC-4746-9858-352D4EDD39DD}" name="a31" dataDxfId="23">
      <calculatedColumnFormula>IF(COUNT(Tabel3[[#This Row],[startdate]:[end date]])=2,
IF(MEDIAN($D7,$E7,AJ$4)=AJ$4,IF(WORKDAY.INTL(AJ$4-1,1,,Blad2!$B$3:$N$16)=AJ$4,MIN(8,$B7-SUM($F7:AI7)),"-"),"-"),"-")</calculatedColumnFormula>
    </tableColumn>
    <tableColumn id="37" xr3:uid="{FCC4F570-92C8-4DC2-BE4E-A7C19698B5AD}" name="a32" dataDxfId="22">
      <calculatedColumnFormula>IF(COUNT(Tabel3[[#This Row],[startdate]:[end date]])=2,
IF(MEDIAN($D7,$E7,AK$4)=AK$4,IF(WORKDAY.INTL(AK$4-1,1,,Blad2!$B$3:$N$16)=AK$4,MIN(8,$B7-SUM($F7:AJ7)),"-"),"-"),"-")</calculatedColumnFormula>
    </tableColumn>
    <tableColumn id="38" xr3:uid="{EE256D71-E250-43DC-9994-1329FB8A25B8}" name="a33" dataDxfId="21">
      <calculatedColumnFormula>IF(COUNT(Tabel3[[#This Row],[startdate]:[end date]])=2,
IF(MEDIAN($D7,$E7,AL$4)=AL$4,IF(WORKDAY.INTL(AL$4-1,1,,Blad2!$B$3:$N$16)=AL$4,MIN(8,$B7-SUM($F7:AK7)),"-"),"-"),"-")</calculatedColumnFormula>
    </tableColumn>
    <tableColumn id="39" xr3:uid="{4E97E5CA-5064-4C3D-BE24-CCE1AD94AB21}" name="a34" dataDxfId="20">
      <calculatedColumnFormula>IF(COUNT(Tabel3[[#This Row],[startdate]:[end date]])=2,
IF(MEDIAN($D7,$E7,AM$4)=AM$4,IF(WORKDAY.INTL(AM$4-1,1,,Blad2!$B$3:$N$16)=AM$4,MIN(8,$B7-SUM($F7:AL7)),"-"),"-"),"-")</calculatedColumnFormula>
    </tableColumn>
    <tableColumn id="40" xr3:uid="{D2F0D0B5-82A0-40BC-9CE8-8C545427332E}" name="a35" dataDxfId="19">
      <calculatedColumnFormula>IF(COUNT(Tabel3[[#This Row],[startdate]:[end date]])=2,
IF(MEDIAN($D7,$E7,AN$4)=AN$4,IF(WORKDAY.INTL(AN$4-1,1,,Blad2!$B$3:$N$16)=AN$4,MIN(8,$B7-SUM($F7:AM7)),"-"),"-"),"-")</calculatedColumnFormula>
    </tableColumn>
    <tableColumn id="41" xr3:uid="{F5FEA70B-E975-4A73-B001-B219F1514CDD}" name="a36" dataDxfId="18">
      <calculatedColumnFormula>IF(COUNT(Tabel3[[#This Row],[startdate]:[end date]])=2,
IF(MEDIAN($D7,$E7,AO$4)=AO$4,IF(WORKDAY.INTL(AO$4-1,1,,Blad2!$B$3:$N$16)=AO$4,MIN(8,$B7-SUM($F7:AN7)),"-"),"-"),"-")</calculatedColumnFormula>
    </tableColumn>
    <tableColumn id="42" xr3:uid="{60FE9E67-46CE-4DEB-93C5-72FF265C885C}" name="a37" dataDxfId="17">
      <calculatedColumnFormula>IF(COUNT(Tabel3[[#This Row],[startdate]:[end date]])=2,
IF(MEDIAN($D7,$E7,AP$4)=AP$4,IF(WORKDAY.INTL(AP$4-1,1,,Blad2!$B$3:$N$16)=AP$4,MIN(8,$B7-SUM($F7:AO7)),"-"),"-"),"-")</calculatedColumnFormula>
    </tableColumn>
    <tableColumn id="43" xr3:uid="{C473BE60-D8A6-4719-9889-724EDDEFDA41}" name="a38" dataDxfId="16">
      <calculatedColumnFormula>IF(COUNT(Tabel3[[#This Row],[startdate]:[end date]])=2,
IF(MEDIAN($D7,$E7,AQ$4)=AQ$4,IF(WORKDAY.INTL(AQ$4-1,1,,Blad2!$B$3:$N$16)=AQ$4,MIN(8,$B7-SUM($F7:AP7)),"-"),"-"),"-")</calculatedColumnFormula>
    </tableColumn>
    <tableColumn id="44" xr3:uid="{D92CF2BA-0095-47CF-9BE2-13E95FB3319F}" name="a39" dataDxfId="15">
      <calculatedColumnFormula>IF(COUNT(Tabel3[[#This Row],[startdate]:[end date]])=2,
IF(MEDIAN($D7,$E7,AR$4)=AR$4,IF(WORKDAY.INTL(AR$4-1,1,,Blad2!$B$3:$N$16)=AR$4,MIN(8,$B7-SUM($F7:AQ7)),"-"),"-"),"-")</calculatedColumnFormula>
    </tableColumn>
    <tableColumn id="45" xr3:uid="{FD38FFB5-4F8E-4FB7-A961-DA1F01209F44}" name="a40" dataDxfId="14">
      <calculatedColumnFormula>IF(COUNT(Tabel3[[#This Row],[startdate]:[end date]])=2,
IF(MEDIAN($D7,$E7,AS$4)=AS$4,IF(WORKDAY.INTL(AS$4-1,1,,Blad2!$B$3:$N$16)=AS$4,MIN(8,$B7-SUM($F7:AR7)),"-"),"-"),"-")</calculatedColumnFormula>
    </tableColumn>
    <tableColumn id="46" xr3:uid="{9659CE17-81D3-4220-84CD-C14F081B4640}" name="a41" dataDxfId="13">
      <calculatedColumnFormula>IF(COUNT(Tabel3[[#This Row],[startdate]:[end date]])=2,
IF(MEDIAN($D7,$E7,AT$4)=AT$4,IF(WORKDAY.INTL(AT$4-1,1,,Blad2!$B$3:$N$16)=AT$4,MIN(8,$B7-SUM($F7:AS7)),"-"),"-"),"-")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7DCB5-BEB9-4FD8-AC01-6F6612DB3064}">
  <sheetPr codeName="Blad2"/>
  <dimension ref="A2:AT10"/>
  <sheetViews>
    <sheetView tabSelected="1" workbookViewId="0">
      <selection activeCell="G4" sqref="G4"/>
    </sheetView>
  </sheetViews>
  <sheetFormatPr defaultRowHeight="15" x14ac:dyDescent="0.25"/>
  <cols>
    <col min="1" max="1" width="9.140625" style="5" bestFit="1" customWidth="1"/>
    <col min="2" max="2" width="14.5703125" style="5" bestFit="1" customWidth="1"/>
    <col min="3" max="3" width="6.7109375" style="5" bestFit="1" customWidth="1"/>
    <col min="4" max="4" width="13.5703125" style="11" bestFit="1" customWidth="1"/>
    <col min="5" max="5" width="13.42578125" style="11" bestFit="1" customWidth="1"/>
    <col min="6" max="6" width="7.5703125" style="5" bestFit="1" customWidth="1"/>
    <col min="7" max="46" width="4.140625" style="5" customWidth="1"/>
    <col min="47" max="16384" width="9.140625" style="5"/>
  </cols>
  <sheetData>
    <row r="2" spans="1:46" x14ac:dyDescent="0.25">
      <c r="E2" s="11" t="s">
        <v>66</v>
      </c>
      <c r="G2" s="5">
        <f>SUM(Tabel3[a2])/8</f>
        <v>0</v>
      </c>
      <c r="H2" s="5">
        <f>SUM(Tabel3[a3])/8</f>
        <v>0</v>
      </c>
      <c r="I2" s="5">
        <f>SUM(Tabel3[a4])/8</f>
        <v>0</v>
      </c>
      <c r="J2" s="5">
        <f>SUM(Tabel3[a5])/8</f>
        <v>0</v>
      </c>
      <c r="K2" s="5">
        <f>SUM(Tabel3[a6])/8</f>
        <v>0</v>
      </c>
      <c r="L2" s="5">
        <f>SUM(Tabel3[a7])/8</f>
        <v>0</v>
      </c>
      <c r="M2" s="5">
        <f>SUM(Tabel3[a8])/8</f>
        <v>0</v>
      </c>
      <c r="N2" s="5">
        <f>SUM(Tabel3[a9])/8</f>
        <v>0</v>
      </c>
      <c r="O2" s="5">
        <f>SUM(Tabel3[a10])/8</f>
        <v>1</v>
      </c>
      <c r="P2" s="5">
        <f>SUM(Tabel3[a11])/8</f>
        <v>2.75</v>
      </c>
      <c r="Q2" s="5">
        <f>SUM(Tabel3[a12])/8</f>
        <v>0</v>
      </c>
      <c r="R2" s="5">
        <f>SUM(Tabel3[a13])/8</f>
        <v>2</v>
      </c>
      <c r="S2" s="5">
        <f>SUM(Tabel3[a14])/8</f>
        <v>1.5</v>
      </c>
      <c r="T2" s="5">
        <f>SUM(Tabel3[a15])/8</f>
        <v>0</v>
      </c>
      <c r="U2" s="5">
        <f>SUM(Tabel3[a16])/8</f>
        <v>0</v>
      </c>
      <c r="V2" s="5">
        <f>SUM(Tabel3[a17])/8</f>
        <v>1</v>
      </c>
      <c r="W2" s="5">
        <f>SUM(Tabel3[a18])/8</f>
        <v>2</v>
      </c>
      <c r="X2" s="5">
        <f>SUM(Tabel3[a19])/8</f>
        <v>0</v>
      </c>
      <c r="Y2" s="5">
        <f>SUM(Tabel3[a20])/8</f>
        <v>2</v>
      </c>
      <c r="Z2" s="5">
        <f>SUM(Tabel3[a21])/8</f>
        <v>2</v>
      </c>
      <c r="AA2" s="5">
        <f>SUM(Tabel3[a22])/8</f>
        <v>0</v>
      </c>
      <c r="AB2" s="5">
        <f>SUM(Tabel3[a23])/8</f>
        <v>0</v>
      </c>
      <c r="AC2" s="5">
        <f>SUM(Tabel3[a24])/8</f>
        <v>1.75</v>
      </c>
      <c r="AD2" s="5">
        <f>SUM(Tabel3[a25])/8</f>
        <v>0.25</v>
      </c>
      <c r="AE2" s="5">
        <f>SUM(Tabel3[a26])/8</f>
        <v>0</v>
      </c>
      <c r="AF2" s="5">
        <f>SUM(Tabel3[a27])/8</f>
        <v>0</v>
      </c>
      <c r="AG2" s="5">
        <f>SUM(Tabel3[a28])/8</f>
        <v>0</v>
      </c>
      <c r="AH2" s="5">
        <f>SUM(Tabel3[a29])/8</f>
        <v>0</v>
      </c>
      <c r="AI2" s="5">
        <f>SUM(Tabel3[a30])/8</f>
        <v>0</v>
      </c>
      <c r="AJ2" s="5">
        <f>SUM(Tabel3[a31])/8</f>
        <v>0</v>
      </c>
      <c r="AK2" s="5">
        <f>SUM(Tabel3[a32])/8</f>
        <v>0</v>
      </c>
      <c r="AL2" s="5">
        <f>SUM(Tabel3[a33])/8</f>
        <v>0</v>
      </c>
      <c r="AM2" s="5">
        <f>SUM(Tabel3[a34])/8</f>
        <v>0</v>
      </c>
      <c r="AN2" s="5">
        <f>SUM(Tabel3[a35])/8</f>
        <v>0</v>
      </c>
      <c r="AO2" s="5">
        <f>SUM(Tabel3[a36])/8</f>
        <v>0</v>
      </c>
      <c r="AP2" s="5">
        <f>SUM(Tabel3[a37])/8</f>
        <v>0</v>
      </c>
      <c r="AQ2" s="5">
        <f>SUM(Tabel3[a38])/8</f>
        <v>0</v>
      </c>
      <c r="AR2" s="5">
        <f>SUM(Tabel3[a39])/8</f>
        <v>0</v>
      </c>
      <c r="AS2" s="5">
        <f>SUM(Tabel3[a40])/8</f>
        <v>0</v>
      </c>
      <c r="AT2" s="5">
        <f>SUM(Tabel3[a41])/8</f>
        <v>0</v>
      </c>
    </row>
    <row r="3" spans="1:46" x14ac:dyDescent="0.25">
      <c r="F3" s="5" t="str">
        <f>IF(WEEKDAY(F4,2)=1,_xlfn.ISOWEEKNUM(F4),"")</f>
        <v/>
      </c>
      <c r="G3" s="5" t="str">
        <f t="shared" ref="G3:W3" si="0">IF(WEEKDAY(G4,2)=1,_xlfn.ISOWEEKNUM(G4),"")</f>
        <v/>
      </c>
      <c r="H3" s="5">
        <f t="shared" si="0"/>
        <v>18</v>
      </c>
      <c r="I3" s="5" t="str">
        <f t="shared" si="0"/>
        <v/>
      </c>
      <c r="J3" s="5" t="str">
        <f t="shared" si="0"/>
        <v/>
      </c>
      <c r="K3" s="5" t="str">
        <f t="shared" si="0"/>
        <v/>
      </c>
      <c r="L3" s="5" t="str">
        <f t="shared" si="0"/>
        <v/>
      </c>
      <c r="M3" s="5" t="str">
        <f t="shared" si="0"/>
        <v/>
      </c>
      <c r="N3" s="5" t="str">
        <f t="shared" si="0"/>
        <v/>
      </c>
      <c r="O3" s="5">
        <f t="shared" si="0"/>
        <v>19</v>
      </c>
      <c r="P3" s="5" t="str">
        <f t="shared" ref="P3" si="1">IF(WEEKDAY(P4,2)=1,_xlfn.ISOWEEKNUM(P4),"")</f>
        <v/>
      </c>
      <c r="Q3" s="5" t="str">
        <f t="shared" ref="Q3" si="2">IF(WEEKDAY(Q4,2)=1,_xlfn.ISOWEEKNUM(Q4),"")</f>
        <v/>
      </c>
      <c r="R3" s="5" t="str">
        <f t="shared" ref="R3" si="3">IF(WEEKDAY(R4,2)=1,_xlfn.ISOWEEKNUM(R4),"")</f>
        <v/>
      </c>
      <c r="S3" s="5" t="str">
        <f t="shared" ref="S3" si="4">IF(WEEKDAY(S4,2)=1,_xlfn.ISOWEEKNUM(S4),"")</f>
        <v/>
      </c>
      <c r="T3" s="5" t="str">
        <f t="shared" ref="T3" si="5">IF(WEEKDAY(T4,2)=1,_xlfn.ISOWEEKNUM(T4),"")</f>
        <v/>
      </c>
      <c r="U3" s="5" t="str">
        <f t="shared" ref="U3" si="6">IF(WEEKDAY(U4,2)=1,_xlfn.ISOWEEKNUM(U4),"")</f>
        <v/>
      </c>
      <c r="V3" s="5">
        <f t="shared" ref="V3" si="7">IF(WEEKDAY(V4,2)=1,_xlfn.ISOWEEKNUM(V4),"")</f>
        <v>20</v>
      </c>
      <c r="W3" s="5" t="str">
        <f t="shared" ref="W3" si="8">IF(WEEKDAY(W4,2)=1,_xlfn.ISOWEEKNUM(W4),"")</f>
        <v/>
      </c>
      <c r="X3" s="5" t="str">
        <f t="shared" ref="X3" si="9">IF(WEEKDAY(X4,2)=1,_xlfn.ISOWEEKNUM(X4),"")</f>
        <v/>
      </c>
      <c r="Y3" s="5" t="str">
        <f t="shared" ref="Y3" si="10">IF(WEEKDAY(Y4,2)=1,_xlfn.ISOWEEKNUM(Y4),"")</f>
        <v/>
      </c>
      <c r="Z3" s="5" t="str">
        <f t="shared" ref="Z3" si="11">IF(WEEKDAY(Z4,2)=1,_xlfn.ISOWEEKNUM(Z4),"")</f>
        <v/>
      </c>
      <c r="AA3" s="5" t="str">
        <f t="shared" ref="AA3" si="12">IF(WEEKDAY(AA4,2)=1,_xlfn.ISOWEEKNUM(AA4),"")</f>
        <v/>
      </c>
      <c r="AB3" s="5" t="str">
        <f t="shared" ref="AB3" si="13">IF(WEEKDAY(AB4,2)=1,_xlfn.ISOWEEKNUM(AB4),"")</f>
        <v/>
      </c>
      <c r="AC3" s="5">
        <f t="shared" ref="AC3" si="14">IF(WEEKDAY(AC4,2)=1,_xlfn.ISOWEEKNUM(AC4),"")</f>
        <v>21</v>
      </c>
      <c r="AD3" s="5" t="str">
        <f t="shared" ref="AD3" si="15">IF(WEEKDAY(AD4,2)=1,_xlfn.ISOWEEKNUM(AD4),"")</f>
        <v/>
      </c>
      <c r="AE3" s="5" t="str">
        <f t="shared" ref="AE3" si="16">IF(WEEKDAY(AE4,2)=1,_xlfn.ISOWEEKNUM(AE4),"")</f>
        <v/>
      </c>
    </row>
    <row r="4" spans="1:46" s="14" customFormat="1" ht="46.5" x14ac:dyDescent="0.25">
      <c r="D4" s="15"/>
      <c r="E4" s="15"/>
      <c r="F4" s="14">
        <v>44681</v>
      </c>
      <c r="G4" s="14">
        <f>+F4+1</f>
        <v>44682</v>
      </c>
      <c r="H4" s="14">
        <f t="shared" ref="H4:W4" si="17">+G4+1</f>
        <v>44683</v>
      </c>
      <c r="I4" s="14">
        <f t="shared" si="17"/>
        <v>44684</v>
      </c>
      <c r="J4" s="14">
        <f t="shared" si="17"/>
        <v>44685</v>
      </c>
      <c r="K4" s="14">
        <f t="shared" si="17"/>
        <v>44686</v>
      </c>
      <c r="L4" s="14">
        <f t="shared" si="17"/>
        <v>44687</v>
      </c>
      <c r="M4" s="14">
        <f t="shared" si="17"/>
        <v>44688</v>
      </c>
      <c r="N4" s="14">
        <f t="shared" si="17"/>
        <v>44689</v>
      </c>
      <c r="O4" s="14">
        <f t="shared" si="17"/>
        <v>44690</v>
      </c>
      <c r="P4" s="14">
        <f t="shared" ref="P4:AE4" si="18">+O4+1</f>
        <v>44691</v>
      </c>
      <c r="Q4" s="14">
        <f t="shared" si="18"/>
        <v>44692</v>
      </c>
      <c r="R4" s="14">
        <f t="shared" si="18"/>
        <v>44693</v>
      </c>
      <c r="S4" s="14">
        <f t="shared" si="18"/>
        <v>44694</v>
      </c>
      <c r="T4" s="14">
        <f t="shared" si="18"/>
        <v>44695</v>
      </c>
      <c r="U4" s="14">
        <f t="shared" si="18"/>
        <v>44696</v>
      </c>
      <c r="V4" s="14">
        <f t="shared" si="18"/>
        <v>44697</v>
      </c>
      <c r="W4" s="14">
        <f t="shared" si="18"/>
        <v>44698</v>
      </c>
      <c r="X4" s="14">
        <f t="shared" si="18"/>
        <v>44699</v>
      </c>
      <c r="Y4" s="14">
        <f t="shared" si="18"/>
        <v>44700</v>
      </c>
      <c r="Z4" s="14">
        <f t="shared" si="18"/>
        <v>44701</v>
      </c>
      <c r="AA4" s="14">
        <f t="shared" si="18"/>
        <v>44702</v>
      </c>
      <c r="AB4" s="14">
        <f t="shared" si="18"/>
        <v>44703</v>
      </c>
      <c r="AC4" s="14">
        <f t="shared" si="18"/>
        <v>44704</v>
      </c>
      <c r="AD4" s="14">
        <f t="shared" si="18"/>
        <v>44705</v>
      </c>
      <c r="AE4" s="14">
        <f t="shared" si="18"/>
        <v>44706</v>
      </c>
      <c r="AF4" s="14">
        <f t="shared" ref="AF4:AT4" si="19">+AE4+1</f>
        <v>44707</v>
      </c>
      <c r="AG4" s="14">
        <f t="shared" si="19"/>
        <v>44708</v>
      </c>
      <c r="AH4" s="14">
        <f t="shared" si="19"/>
        <v>44709</v>
      </c>
      <c r="AI4" s="14">
        <f t="shared" si="19"/>
        <v>44710</v>
      </c>
      <c r="AJ4" s="14">
        <f t="shared" si="19"/>
        <v>44711</v>
      </c>
      <c r="AK4" s="14">
        <f t="shared" si="19"/>
        <v>44712</v>
      </c>
      <c r="AL4" s="14">
        <f t="shared" si="19"/>
        <v>44713</v>
      </c>
      <c r="AM4" s="14">
        <f t="shared" si="19"/>
        <v>44714</v>
      </c>
      <c r="AN4" s="14">
        <f t="shared" si="19"/>
        <v>44715</v>
      </c>
      <c r="AO4" s="14">
        <f t="shared" si="19"/>
        <v>44716</v>
      </c>
      <c r="AP4" s="14">
        <f t="shared" si="19"/>
        <v>44717</v>
      </c>
      <c r="AQ4" s="14">
        <f t="shared" si="19"/>
        <v>44718</v>
      </c>
      <c r="AR4" s="14">
        <f t="shared" si="19"/>
        <v>44719</v>
      </c>
      <c r="AS4" s="14">
        <f t="shared" si="19"/>
        <v>44720</v>
      </c>
      <c r="AT4" s="14">
        <f t="shared" si="19"/>
        <v>44721</v>
      </c>
    </row>
    <row r="5" spans="1:46" x14ac:dyDescent="0.25"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</row>
    <row r="6" spans="1:46" x14ac:dyDescent="0.25">
      <c r="A6" s="5" t="s">
        <v>0</v>
      </c>
      <c r="B6" s="5" t="s">
        <v>1</v>
      </c>
      <c r="C6" s="5" t="s">
        <v>2</v>
      </c>
      <c r="D6" s="11" t="s">
        <v>3</v>
      </c>
      <c r="E6" s="11" t="s">
        <v>4</v>
      </c>
      <c r="F6" s="7" t="s">
        <v>22</v>
      </c>
      <c r="G6" s="5" t="s">
        <v>23</v>
      </c>
      <c r="H6" s="5" t="s">
        <v>24</v>
      </c>
      <c r="I6" s="5" t="s">
        <v>25</v>
      </c>
      <c r="J6" s="5" t="s">
        <v>26</v>
      </c>
      <c r="K6" s="5" t="s">
        <v>27</v>
      </c>
      <c r="L6" s="5" t="s">
        <v>28</v>
      </c>
      <c r="M6" s="5" t="s">
        <v>29</v>
      </c>
      <c r="N6" s="5" t="s">
        <v>30</v>
      </c>
      <c r="O6" s="5" t="s">
        <v>31</v>
      </c>
      <c r="P6" s="5" t="s">
        <v>32</v>
      </c>
      <c r="Q6" s="5" t="s">
        <v>33</v>
      </c>
      <c r="R6" s="5" t="s">
        <v>34</v>
      </c>
      <c r="S6" s="5" t="s">
        <v>35</v>
      </c>
      <c r="T6" s="5" t="s">
        <v>36</v>
      </c>
      <c r="U6" s="5" t="s">
        <v>37</v>
      </c>
      <c r="V6" s="5" t="s">
        <v>38</v>
      </c>
      <c r="W6" s="5" t="s">
        <v>39</v>
      </c>
      <c r="X6" s="5" t="s">
        <v>42</v>
      </c>
      <c r="Y6" s="5" t="s">
        <v>43</v>
      </c>
      <c r="Z6" s="5" t="s">
        <v>44</v>
      </c>
      <c r="AA6" s="5" t="s">
        <v>45</v>
      </c>
      <c r="AB6" s="5" t="s">
        <v>46</v>
      </c>
      <c r="AC6" s="5" t="s">
        <v>47</v>
      </c>
      <c r="AD6" s="5" t="s">
        <v>48</v>
      </c>
      <c r="AE6" s="5" t="s">
        <v>49</v>
      </c>
      <c r="AF6" s="5" t="s">
        <v>50</v>
      </c>
      <c r="AG6" s="5" t="s">
        <v>51</v>
      </c>
      <c r="AH6" s="5" t="s">
        <v>52</v>
      </c>
      <c r="AI6" s="5" t="s">
        <v>53</v>
      </c>
      <c r="AJ6" s="5" t="s">
        <v>54</v>
      </c>
      <c r="AK6" s="5" t="s">
        <v>55</v>
      </c>
      <c r="AL6" s="5" t="s">
        <v>56</v>
      </c>
      <c r="AM6" s="5" t="s">
        <v>57</v>
      </c>
      <c r="AN6" s="5" t="s">
        <v>58</v>
      </c>
      <c r="AO6" s="5" t="s">
        <v>59</v>
      </c>
      <c r="AP6" s="5" t="s">
        <v>60</v>
      </c>
      <c r="AQ6" s="5" t="s">
        <v>61</v>
      </c>
      <c r="AR6" s="5" t="s">
        <v>62</v>
      </c>
      <c r="AS6" s="5" t="s">
        <v>63</v>
      </c>
      <c r="AT6" s="5" t="s">
        <v>64</v>
      </c>
    </row>
    <row r="7" spans="1:46" x14ac:dyDescent="0.25">
      <c r="A7" s="12" t="s">
        <v>5</v>
      </c>
      <c r="B7" s="12">
        <v>28</v>
      </c>
      <c r="C7" s="5">
        <f t="shared" ref="C7:C8" si="20">CEILING(+B7/8,1)</f>
        <v>4</v>
      </c>
      <c r="D7" s="13">
        <v>44690</v>
      </c>
      <c r="E7" s="11">
        <f>WORKDAY.INTL(D7-1,C7,,Blad2!$B$3:$N$16)</f>
        <v>44694</v>
      </c>
      <c r="F7" s="7"/>
      <c r="G7" s="5" t="str">
        <f>IF(COUNT(Tabel3[[#This Row],[startdate]:[end date]])=2,
IF(MEDIAN($D7,$E7,G$4)=G$4,IF(WORKDAY.INTL(G$4-1,1,,Blad2!$B$3:$N$16)=G$4,MIN(8,$B7-SUM($F7:F7)),"-"),"-"),"-")</f>
        <v>-</v>
      </c>
      <c r="H7" s="5" t="str">
        <f>IF(COUNT(Tabel3[[#This Row],[startdate]:[end date]])=2,
IF(MEDIAN($D7,$E7,H$4)=H$4,IF(WORKDAY.INTL(H$4-1,1,,Blad2!$B$3:$N$16)=H$4,MIN(8,$B7-SUM($F7:G7)),"-"),"-"),"-")</f>
        <v>-</v>
      </c>
      <c r="I7" s="5" t="str">
        <f>IF(COUNT(Tabel3[[#This Row],[startdate]:[end date]])=2,
IF(MEDIAN($D7,$E7,I$4)=I$4,IF(WORKDAY.INTL(I$4-1,1,,Blad2!$B$3:$N$16)=I$4,MIN(8,$B7-SUM($F7:H7)),"-"),"-"),"-")</f>
        <v>-</v>
      </c>
      <c r="J7" s="5" t="str">
        <f>IF(COUNT(Tabel3[[#This Row],[startdate]:[end date]])=2,
IF(MEDIAN($D7,$E7,J$4)=J$4,IF(WORKDAY.INTL(J$4-1,1,,Blad2!$B$3:$N$16)=J$4,MIN(8,$B7-SUM($F7:I7)),"-"),"-"),"-")</f>
        <v>-</v>
      </c>
      <c r="K7" s="5" t="str">
        <f>IF(COUNT(Tabel3[[#This Row],[startdate]:[end date]])=2,
IF(MEDIAN($D7,$E7,K$4)=K$4,IF(WORKDAY.INTL(K$4-1,1,,Blad2!$B$3:$N$16)=K$4,MIN(8,$B7-SUM($F7:J7)),"-"),"-"),"-")</f>
        <v>-</v>
      </c>
      <c r="L7" s="5" t="str">
        <f>IF(COUNT(Tabel3[[#This Row],[startdate]:[end date]])=2,
IF(MEDIAN($D7,$E7,L$4)=L$4,IF(WORKDAY.INTL(L$4-1,1,,Blad2!$B$3:$N$16)=L$4,MIN(8,$B7-SUM($F7:K7)),"-"),"-"),"-")</f>
        <v>-</v>
      </c>
      <c r="M7" s="5" t="str">
        <f>IF(COUNT(Tabel3[[#This Row],[startdate]:[end date]])=2,
IF(MEDIAN($D7,$E7,M$4)=M$4,IF(WORKDAY.INTL(M$4-1,1,,Blad2!$B$3:$N$16)=M$4,MIN(8,$B7-SUM($F7:L7)),"-"),"-"),"-")</f>
        <v>-</v>
      </c>
      <c r="N7" s="5" t="str">
        <f>IF(COUNT(Tabel3[[#This Row],[startdate]:[end date]])=2,
IF(MEDIAN($D7,$E7,N$4)=N$4,IF(WORKDAY.INTL(N$4-1,1,,Blad2!$B$3:$N$16)=N$4,MIN(8,$B7-SUM($F7:M7)),"-"),"-"),"-")</f>
        <v>-</v>
      </c>
      <c r="O7" s="5">
        <f>IF(COUNT(Tabel3[[#This Row],[startdate]:[end date]])=2,
IF(MEDIAN($D7,$E7,O$4)=O$4,IF(WORKDAY.INTL(O$4-1,1,,Blad2!$B$3:$N$16)=O$4,MIN(8,$B7-SUM($F7:N7)),"-"),"-"),"-")</f>
        <v>8</v>
      </c>
      <c r="P7" s="5">
        <f>IF(COUNT(Tabel3[[#This Row],[startdate]:[end date]])=2,
IF(MEDIAN($D7,$E7,P$4)=P$4,IF(WORKDAY.INTL(P$4-1,1,,Blad2!$B$3:$N$16)=P$4,MIN(8,$B7-SUM($F7:O7)),"-"),"-"),"-")</f>
        <v>8</v>
      </c>
      <c r="Q7" s="5" t="str">
        <f>IF(COUNT(Tabel3[[#This Row],[startdate]:[end date]])=2,
IF(MEDIAN($D7,$E7,Q$4)=Q$4,IF(WORKDAY.INTL(Q$4-1,1,,Blad2!$B$3:$N$16)=Q$4,MIN(8,$B7-SUM($F7:P7)),"-"),"-"),"-")</f>
        <v>-</v>
      </c>
      <c r="R7" s="5">
        <f>IF(COUNT(Tabel3[[#This Row],[startdate]:[end date]])=2,
IF(MEDIAN($D7,$E7,R$4)=R$4,IF(WORKDAY.INTL(R$4-1,1,,Blad2!$B$3:$N$16)=R$4,MIN(8,$B7-SUM($F7:Q7)),"-"),"-"),"-")</f>
        <v>8</v>
      </c>
      <c r="S7" s="5">
        <f>IF(COUNT(Tabel3[[#This Row],[startdate]:[end date]])=2,
IF(MEDIAN($D7,$E7,S$4)=S$4,IF(WORKDAY.INTL(S$4-1,1,,Blad2!$B$3:$N$16)=S$4,MIN(8,$B7-SUM($F7:R7)),"-"),"-"),"-")</f>
        <v>4</v>
      </c>
      <c r="T7" s="5" t="str">
        <f>IF(COUNT(Tabel3[[#This Row],[startdate]:[end date]])=2,
IF(MEDIAN($D7,$E7,T$4)=T$4,IF(WORKDAY.INTL(T$4-1,1,,Blad2!$B$3:$N$16)=T$4,MIN(8,$B7-SUM($F7:S7)),"-"),"-"),"-")</f>
        <v>-</v>
      </c>
      <c r="U7" s="5" t="str">
        <f>IF(COUNT(Tabel3[[#This Row],[startdate]:[end date]])=2,
IF(MEDIAN($D7,$E7,U$4)=U$4,IF(WORKDAY.INTL(U$4-1,1,,Blad2!$B$3:$N$16)=U$4,MIN(8,$B7-SUM($F7:T7)),"-"),"-"),"-")</f>
        <v>-</v>
      </c>
      <c r="V7" s="5" t="str">
        <f>IF(COUNT(Tabel3[[#This Row],[startdate]:[end date]])=2,
IF(MEDIAN($D7,$E7,V$4)=V$4,IF(WORKDAY.INTL(V$4-1,1,,Blad2!$B$3:$N$16)=V$4,MIN(8,$B7-SUM($F7:U7)),"-"),"-"),"-")</f>
        <v>-</v>
      </c>
      <c r="W7" s="5" t="str">
        <f>IF(COUNT(Tabel3[[#This Row],[startdate]:[end date]])=2,
IF(MEDIAN($D7,$E7,W$4)=W$4,IF(WORKDAY.INTL(W$4-1,1,,Blad2!$B$3:$N$16)=W$4,MIN(8,$B7-SUM($F7:V7)),"-"),"-"),"-")</f>
        <v>-</v>
      </c>
      <c r="X7" s="8" t="str">
        <f>IF(COUNT(Tabel3[[#This Row],[startdate]:[end date]])=2,
IF(MEDIAN($D7,$E7,X$4)=X$4,IF(WORKDAY.INTL(X$4-1,1,,Blad2!$B$3:$N$16)=X$4,MIN(8,$B7-SUM($F7:W7)),"-"),"-"),"-")</f>
        <v>-</v>
      </c>
      <c r="Y7" s="8" t="str">
        <f>IF(COUNT(Tabel3[[#This Row],[startdate]:[end date]])=2,
IF(MEDIAN($D7,$E7,Y$4)=Y$4,IF(WORKDAY.INTL(Y$4-1,1,,Blad2!$B$3:$N$16)=Y$4,MIN(8,$B7-SUM($F7:X7)),"-"),"-"),"-")</f>
        <v>-</v>
      </c>
      <c r="Z7" s="8" t="str">
        <f>IF(COUNT(Tabel3[[#This Row],[startdate]:[end date]])=2,
IF(MEDIAN($D7,$E7,Z$4)=Z$4,IF(WORKDAY.INTL(Z$4-1,1,,Blad2!$B$3:$N$16)=Z$4,MIN(8,$B7-SUM($F7:Y7)),"-"),"-"),"-")</f>
        <v>-</v>
      </c>
      <c r="AA7" s="8" t="str">
        <f>IF(COUNT(Tabel3[[#This Row],[startdate]:[end date]])=2,
IF(MEDIAN($D7,$E7,AA$4)=AA$4,IF(WORKDAY.INTL(AA$4-1,1,,Blad2!$B$3:$N$16)=AA$4,MIN(8,$B7-SUM($F7:Z7)),"-"),"-"),"-")</f>
        <v>-</v>
      </c>
      <c r="AB7" s="8" t="str">
        <f>IF(COUNT(Tabel3[[#This Row],[startdate]:[end date]])=2,
IF(MEDIAN($D7,$E7,AB$4)=AB$4,IF(WORKDAY.INTL(AB$4-1,1,,Blad2!$B$3:$N$16)=AB$4,MIN(8,$B7-SUM($F7:AA7)),"-"),"-"),"-")</f>
        <v>-</v>
      </c>
      <c r="AC7" s="8" t="str">
        <f>IF(COUNT(Tabel3[[#This Row],[startdate]:[end date]])=2,
IF(MEDIAN($D7,$E7,AC$4)=AC$4,IF(WORKDAY.INTL(AC$4-1,1,,Blad2!$B$3:$N$16)=AC$4,MIN(8,$B7-SUM($F7:AB7)),"-"),"-"),"-")</f>
        <v>-</v>
      </c>
      <c r="AD7" s="8" t="str">
        <f>IF(COUNT(Tabel3[[#This Row],[startdate]:[end date]])=2,
IF(MEDIAN($D7,$E7,AD$4)=AD$4,IF(WORKDAY.INTL(AD$4-1,1,,Blad2!$B$3:$N$16)=AD$4,MIN(8,$B7-SUM($F7:AC7)),"-"),"-"),"-")</f>
        <v>-</v>
      </c>
      <c r="AE7" s="8" t="str">
        <f>IF(COUNT(Tabel3[[#This Row],[startdate]:[end date]])=2,
IF(MEDIAN($D7,$E7,AE$4)=AE$4,IF(WORKDAY.INTL(AE$4-1,1,,Blad2!$B$3:$N$16)=AE$4,MIN(8,$B7-SUM($F7:AD7)),"-"),"-"),"-")</f>
        <v>-</v>
      </c>
      <c r="AF7" s="8" t="str">
        <f>IF(COUNT(Tabel3[[#This Row],[startdate]:[end date]])=2,
IF(MEDIAN($D7,$E7,AF$4)=AF$4,IF(WORKDAY.INTL(AF$4-1,1,,Blad2!$B$3:$N$16)=AF$4,MIN(8,$B7-SUM($F7:AE7)),"-"),"-"),"-")</f>
        <v>-</v>
      </c>
      <c r="AG7" s="8" t="str">
        <f>IF(COUNT(Tabel3[[#This Row],[startdate]:[end date]])=2,
IF(MEDIAN($D7,$E7,AG$4)=AG$4,IF(WORKDAY.INTL(AG$4-1,1,,Blad2!$B$3:$N$16)=AG$4,MIN(8,$B7-SUM($F7:AF7)),"-"),"-"),"-")</f>
        <v>-</v>
      </c>
      <c r="AH7" s="8" t="str">
        <f>IF(COUNT(Tabel3[[#This Row],[startdate]:[end date]])=2,
IF(MEDIAN($D7,$E7,AH$4)=AH$4,IF(WORKDAY.INTL(AH$4-1,1,,Blad2!$B$3:$N$16)=AH$4,MIN(8,$B7-SUM($F7:AG7)),"-"),"-"),"-")</f>
        <v>-</v>
      </c>
      <c r="AI7" s="8" t="str">
        <f>IF(COUNT(Tabel3[[#This Row],[startdate]:[end date]])=2,
IF(MEDIAN($D7,$E7,AI$4)=AI$4,IF(WORKDAY.INTL(AI$4-1,1,,Blad2!$B$3:$N$16)=AI$4,MIN(8,$B7-SUM($F7:AH7)),"-"),"-"),"-")</f>
        <v>-</v>
      </c>
      <c r="AJ7" s="8" t="str">
        <f>IF(COUNT(Tabel3[[#This Row],[startdate]:[end date]])=2,
IF(MEDIAN($D7,$E7,AJ$4)=AJ$4,IF(WORKDAY.INTL(AJ$4-1,1,,Blad2!$B$3:$N$16)=AJ$4,MIN(8,$B7-SUM($F7:AI7)),"-"),"-"),"-")</f>
        <v>-</v>
      </c>
      <c r="AK7" s="8" t="str">
        <f>IF(COUNT(Tabel3[[#This Row],[startdate]:[end date]])=2,
IF(MEDIAN($D7,$E7,AK$4)=AK$4,IF(WORKDAY.INTL(AK$4-1,1,,Blad2!$B$3:$N$16)=AK$4,MIN(8,$B7-SUM($F7:AJ7)),"-"),"-"),"-")</f>
        <v>-</v>
      </c>
      <c r="AL7" s="8" t="str">
        <f>IF(COUNT(Tabel3[[#This Row],[startdate]:[end date]])=2,
IF(MEDIAN($D7,$E7,AL$4)=AL$4,IF(WORKDAY.INTL(AL$4-1,1,,Blad2!$B$3:$N$16)=AL$4,MIN(8,$B7-SUM($F7:AK7)),"-"),"-"),"-")</f>
        <v>-</v>
      </c>
      <c r="AM7" s="8" t="str">
        <f>IF(COUNT(Tabel3[[#This Row],[startdate]:[end date]])=2,
IF(MEDIAN($D7,$E7,AM$4)=AM$4,IF(WORKDAY.INTL(AM$4-1,1,,Blad2!$B$3:$N$16)=AM$4,MIN(8,$B7-SUM($F7:AL7)),"-"),"-"),"-")</f>
        <v>-</v>
      </c>
      <c r="AN7" s="8" t="str">
        <f>IF(COUNT(Tabel3[[#This Row],[startdate]:[end date]])=2,
IF(MEDIAN($D7,$E7,AN$4)=AN$4,IF(WORKDAY.INTL(AN$4-1,1,,Blad2!$B$3:$N$16)=AN$4,MIN(8,$B7-SUM($F7:AM7)),"-"),"-"),"-")</f>
        <v>-</v>
      </c>
      <c r="AO7" s="8" t="str">
        <f>IF(COUNT(Tabel3[[#This Row],[startdate]:[end date]])=2,
IF(MEDIAN($D7,$E7,AO$4)=AO$4,IF(WORKDAY.INTL(AO$4-1,1,,Blad2!$B$3:$N$16)=AO$4,MIN(8,$B7-SUM($F7:AN7)),"-"),"-"),"-")</f>
        <v>-</v>
      </c>
      <c r="AP7" s="8" t="str">
        <f>IF(COUNT(Tabel3[[#This Row],[startdate]:[end date]])=2,
IF(MEDIAN($D7,$E7,AP$4)=AP$4,IF(WORKDAY.INTL(AP$4-1,1,,Blad2!$B$3:$N$16)=AP$4,MIN(8,$B7-SUM($F7:AO7)),"-"),"-"),"-")</f>
        <v>-</v>
      </c>
      <c r="AQ7" s="8" t="str">
        <f>IF(COUNT(Tabel3[[#This Row],[startdate]:[end date]])=2,
IF(MEDIAN($D7,$E7,AQ$4)=AQ$4,IF(WORKDAY.INTL(AQ$4-1,1,,Blad2!$B$3:$N$16)=AQ$4,MIN(8,$B7-SUM($F7:AP7)),"-"),"-"),"-")</f>
        <v>-</v>
      </c>
      <c r="AR7" s="8" t="str">
        <f>IF(COUNT(Tabel3[[#This Row],[startdate]:[end date]])=2,
IF(MEDIAN($D7,$E7,AR$4)=AR$4,IF(WORKDAY.INTL(AR$4-1,1,,Blad2!$B$3:$N$16)=AR$4,MIN(8,$B7-SUM($F7:AQ7)),"-"),"-"),"-")</f>
        <v>-</v>
      </c>
      <c r="AS7" s="8" t="str">
        <f>IF(COUNT(Tabel3[[#This Row],[startdate]:[end date]])=2,
IF(MEDIAN($D7,$E7,AS$4)=AS$4,IF(WORKDAY.INTL(AS$4-1,1,,Blad2!$B$3:$N$16)=AS$4,MIN(8,$B7-SUM($F7:AR7)),"-"),"-"),"-")</f>
        <v>-</v>
      </c>
      <c r="AT7" s="8" t="str">
        <f>IF(COUNT(Tabel3[[#This Row],[startdate]:[end date]])=2,
IF(MEDIAN($D7,$E7,AT$4)=AT$4,IF(WORKDAY.INTL(AT$4-1,1,,Blad2!$B$3:$N$16)=AT$4,MIN(8,$B7-SUM($F7:AS7)),"-"),"-"),"-")</f>
        <v>-</v>
      </c>
    </row>
    <row r="8" spans="1:46" x14ac:dyDescent="0.25">
      <c r="A8" s="12" t="s">
        <v>21</v>
      </c>
      <c r="B8" s="12">
        <v>6</v>
      </c>
      <c r="C8" s="5">
        <f t="shared" si="20"/>
        <v>1</v>
      </c>
      <c r="D8" s="13">
        <v>44691</v>
      </c>
      <c r="E8" s="11">
        <f>WORKDAY.INTL(D8-1,C8,,Blad2!$B$3:$N$16)</f>
        <v>44691</v>
      </c>
      <c r="F8" s="7"/>
      <c r="G8" s="5" t="str">
        <f>IF(COUNT(Tabel3[[#This Row],[startdate]:[end date]])=2,
IF(MEDIAN($D8,$E8,G$4)=G$4,IF(WORKDAY.INTL(G$4-1,1,,Blad2!$B$3:$N$16)=G$4,MIN(8,$B8-SUM($F8:F8)),"-"),"-"),"-")</f>
        <v>-</v>
      </c>
      <c r="H8" s="5" t="str">
        <f>IF(COUNT(Tabel3[[#This Row],[startdate]:[end date]])=2,
IF(MEDIAN($D8,$E8,H$4)=H$4,IF(WORKDAY.INTL(H$4-1,1,,Blad2!$B$3:$N$16)=H$4,MIN(8,$B8-SUM($F8:G8)),"-"),"-"),"-")</f>
        <v>-</v>
      </c>
      <c r="I8" s="5" t="str">
        <f>IF(COUNT(Tabel3[[#This Row],[startdate]:[end date]])=2,
IF(MEDIAN($D8,$E8,I$4)=I$4,IF(WORKDAY.INTL(I$4-1,1,,Blad2!$B$3:$N$16)=I$4,MIN(8,$B8-SUM($F8:H8)),"-"),"-"),"-")</f>
        <v>-</v>
      </c>
      <c r="J8" s="5" t="str">
        <f>IF(COUNT(Tabel3[[#This Row],[startdate]:[end date]])=2,
IF(MEDIAN($D8,$E8,J$4)=J$4,IF(WORKDAY.INTL(J$4-1,1,,Blad2!$B$3:$N$16)=J$4,MIN(8,$B8-SUM($F8:I8)),"-"),"-"),"-")</f>
        <v>-</v>
      </c>
      <c r="K8" s="5" t="str">
        <f>IF(COUNT(Tabel3[[#This Row],[startdate]:[end date]])=2,
IF(MEDIAN($D8,$E8,K$4)=K$4,IF(WORKDAY.INTL(K$4-1,1,,Blad2!$B$3:$N$16)=K$4,MIN(8,$B8-SUM($F8:J8)),"-"),"-"),"-")</f>
        <v>-</v>
      </c>
      <c r="L8" s="5" t="str">
        <f>IF(COUNT(Tabel3[[#This Row],[startdate]:[end date]])=2,
IF(MEDIAN($D8,$E8,L$4)=L$4,IF(WORKDAY.INTL(L$4-1,1,,Blad2!$B$3:$N$16)=L$4,MIN(8,$B8-SUM($F8:K8)),"-"),"-"),"-")</f>
        <v>-</v>
      </c>
      <c r="M8" s="5" t="str">
        <f>IF(COUNT(Tabel3[[#This Row],[startdate]:[end date]])=2,
IF(MEDIAN($D8,$E8,M$4)=M$4,IF(WORKDAY.INTL(M$4-1,1,,Blad2!$B$3:$N$16)=M$4,MIN(8,$B8-SUM($F8:L8)),"-"),"-"),"-")</f>
        <v>-</v>
      </c>
      <c r="N8" s="5" t="str">
        <f>IF(COUNT(Tabel3[[#This Row],[startdate]:[end date]])=2,
IF(MEDIAN($D8,$E8,N$4)=N$4,IF(WORKDAY.INTL(N$4-1,1,,Blad2!$B$3:$N$16)=N$4,MIN(8,$B8-SUM($F8:M8)),"-"),"-"),"-")</f>
        <v>-</v>
      </c>
      <c r="O8" s="5" t="str">
        <f>IF(COUNT(Tabel3[[#This Row],[startdate]:[end date]])=2,
IF(MEDIAN($D8,$E8,O$4)=O$4,IF(WORKDAY.INTL(O$4-1,1,,Blad2!$B$3:$N$16)=O$4,MIN(8,$B8-SUM($F8:N8)),"-"),"-"),"-")</f>
        <v>-</v>
      </c>
      <c r="P8" s="5">
        <f>IF(COUNT(Tabel3[[#This Row],[startdate]:[end date]])=2,
IF(MEDIAN($D8,$E8,P$4)=P$4,IF(WORKDAY.INTL(P$4-1,1,,Blad2!$B$3:$N$16)=P$4,MIN(8,$B8-SUM($F8:O8)),"-"),"-"),"-")</f>
        <v>6</v>
      </c>
      <c r="Q8" s="5" t="str">
        <f>IF(COUNT(Tabel3[[#This Row],[startdate]:[end date]])=2,
IF(MEDIAN($D8,$E8,Q$4)=Q$4,IF(WORKDAY.INTL(Q$4-1,1,,Blad2!$B$3:$N$16)=Q$4,MIN(8,$B8-SUM($F8:P8)),"-"),"-"),"-")</f>
        <v>-</v>
      </c>
      <c r="R8" s="5" t="str">
        <f>IF(COUNT(Tabel3[[#This Row],[startdate]:[end date]])=2,
IF(MEDIAN($D8,$E8,R$4)=R$4,IF(WORKDAY.INTL(R$4-1,1,,Blad2!$B$3:$N$16)=R$4,MIN(8,$B8-SUM($F8:Q8)),"-"),"-"),"-")</f>
        <v>-</v>
      </c>
      <c r="S8" s="5" t="str">
        <f>IF(COUNT(Tabel3[[#This Row],[startdate]:[end date]])=2,
IF(MEDIAN($D8,$E8,S$4)=S$4,IF(WORKDAY.INTL(S$4-1,1,,Blad2!$B$3:$N$16)=S$4,MIN(8,$B8-SUM($F8:R8)),"-"),"-"),"-")</f>
        <v>-</v>
      </c>
      <c r="T8" s="5" t="str">
        <f>IF(COUNT(Tabel3[[#This Row],[startdate]:[end date]])=2,
IF(MEDIAN($D8,$E8,T$4)=T$4,IF(WORKDAY.INTL(T$4-1,1,,Blad2!$B$3:$N$16)=T$4,MIN(8,$B8-SUM($F8:S8)),"-"),"-"),"-")</f>
        <v>-</v>
      </c>
      <c r="U8" s="5" t="str">
        <f>IF(COUNT(Tabel3[[#This Row],[startdate]:[end date]])=2,
IF(MEDIAN($D8,$E8,U$4)=U$4,IF(WORKDAY.INTL(U$4-1,1,,Blad2!$B$3:$N$16)=U$4,MIN(8,$B8-SUM($F8:T8)),"-"),"-"),"-")</f>
        <v>-</v>
      </c>
      <c r="V8" s="5" t="str">
        <f>IF(COUNT(Tabel3[[#This Row],[startdate]:[end date]])=2,
IF(MEDIAN($D8,$E8,V$4)=V$4,IF(WORKDAY.INTL(V$4-1,1,,Blad2!$B$3:$N$16)=V$4,MIN(8,$B8-SUM($F8:U8)),"-"),"-"),"-")</f>
        <v>-</v>
      </c>
      <c r="W8" s="5" t="str">
        <f>IF(COUNT(Tabel3[[#This Row],[startdate]:[end date]])=2,
IF(MEDIAN($D8,$E8,W$4)=W$4,IF(WORKDAY.INTL(W$4-1,1,,Blad2!$B$3:$N$16)=W$4,MIN(8,$B8-SUM($F8:V8)),"-"),"-"),"-")</f>
        <v>-</v>
      </c>
      <c r="X8" s="8" t="str">
        <f>IF(COUNT(Tabel3[[#This Row],[startdate]:[end date]])=2,
IF(MEDIAN($D8,$E8,X$4)=X$4,IF(WORKDAY.INTL(X$4-1,1,,Blad2!$B$3:$N$16)=X$4,MIN(8,$B8-SUM($F8:W8)),"-"),"-"),"-")</f>
        <v>-</v>
      </c>
      <c r="Y8" s="8" t="str">
        <f>IF(COUNT(Tabel3[[#This Row],[startdate]:[end date]])=2,
IF(MEDIAN($D8,$E8,Y$4)=Y$4,IF(WORKDAY.INTL(Y$4-1,1,,Blad2!$B$3:$N$16)=Y$4,MIN(8,$B8-SUM($F8:X8)),"-"),"-"),"-")</f>
        <v>-</v>
      </c>
      <c r="Z8" s="8" t="str">
        <f>IF(COUNT(Tabel3[[#This Row],[startdate]:[end date]])=2,
IF(MEDIAN($D8,$E8,Z$4)=Z$4,IF(WORKDAY.INTL(Z$4-1,1,,Blad2!$B$3:$N$16)=Z$4,MIN(8,$B8-SUM($F8:Y8)),"-"),"-"),"-")</f>
        <v>-</v>
      </c>
      <c r="AA8" s="8" t="str">
        <f>IF(COUNT(Tabel3[[#This Row],[startdate]:[end date]])=2,
IF(MEDIAN($D8,$E8,AA$4)=AA$4,IF(WORKDAY.INTL(AA$4-1,1,,Blad2!$B$3:$N$16)=AA$4,MIN(8,$B8-SUM($F8:Z8)),"-"),"-"),"-")</f>
        <v>-</v>
      </c>
      <c r="AB8" s="8" t="str">
        <f>IF(COUNT(Tabel3[[#This Row],[startdate]:[end date]])=2,
IF(MEDIAN($D8,$E8,AB$4)=AB$4,IF(WORKDAY.INTL(AB$4-1,1,,Blad2!$B$3:$N$16)=AB$4,MIN(8,$B8-SUM($F8:AA8)),"-"),"-"),"-")</f>
        <v>-</v>
      </c>
      <c r="AC8" s="8" t="str">
        <f>IF(COUNT(Tabel3[[#This Row],[startdate]:[end date]])=2,
IF(MEDIAN($D8,$E8,AC$4)=AC$4,IF(WORKDAY.INTL(AC$4-1,1,,Blad2!$B$3:$N$16)=AC$4,MIN(8,$B8-SUM($F8:AB8)),"-"),"-"),"-")</f>
        <v>-</v>
      </c>
      <c r="AD8" s="8" t="str">
        <f>IF(COUNT(Tabel3[[#This Row],[startdate]:[end date]])=2,
IF(MEDIAN($D8,$E8,AD$4)=AD$4,IF(WORKDAY.INTL(AD$4-1,1,,Blad2!$B$3:$N$16)=AD$4,MIN(8,$B8-SUM($F8:AC8)),"-"),"-"),"-")</f>
        <v>-</v>
      </c>
      <c r="AE8" s="8" t="str">
        <f>IF(COUNT(Tabel3[[#This Row],[startdate]:[end date]])=2,
IF(MEDIAN($D8,$E8,AE$4)=AE$4,IF(WORKDAY.INTL(AE$4-1,1,,Blad2!$B$3:$N$16)=AE$4,MIN(8,$B8-SUM($F8:AD8)),"-"),"-"),"-")</f>
        <v>-</v>
      </c>
      <c r="AF8" s="8" t="str">
        <f>IF(COUNT(Tabel3[[#This Row],[startdate]:[end date]])=2,
IF(MEDIAN($D8,$E8,AF$4)=AF$4,IF(WORKDAY.INTL(AF$4-1,1,,Blad2!$B$3:$N$16)=AF$4,MIN(8,$B8-SUM($F8:AE8)),"-"),"-"),"-")</f>
        <v>-</v>
      </c>
      <c r="AG8" s="8" t="str">
        <f>IF(COUNT(Tabel3[[#This Row],[startdate]:[end date]])=2,
IF(MEDIAN($D8,$E8,AG$4)=AG$4,IF(WORKDAY.INTL(AG$4-1,1,,Blad2!$B$3:$N$16)=AG$4,MIN(8,$B8-SUM($F8:AF8)),"-"),"-"),"-")</f>
        <v>-</v>
      </c>
      <c r="AH8" s="8" t="str">
        <f>IF(COUNT(Tabel3[[#This Row],[startdate]:[end date]])=2,
IF(MEDIAN($D8,$E8,AH$4)=AH$4,IF(WORKDAY.INTL(AH$4-1,1,,Blad2!$B$3:$N$16)=AH$4,MIN(8,$B8-SUM($F8:AG8)),"-"),"-"),"-")</f>
        <v>-</v>
      </c>
      <c r="AI8" s="8" t="str">
        <f>IF(COUNT(Tabel3[[#This Row],[startdate]:[end date]])=2,
IF(MEDIAN($D8,$E8,AI$4)=AI$4,IF(WORKDAY.INTL(AI$4-1,1,,Blad2!$B$3:$N$16)=AI$4,MIN(8,$B8-SUM($F8:AH8)),"-"),"-"),"-")</f>
        <v>-</v>
      </c>
      <c r="AJ8" s="8" t="str">
        <f>IF(COUNT(Tabel3[[#This Row],[startdate]:[end date]])=2,
IF(MEDIAN($D8,$E8,AJ$4)=AJ$4,IF(WORKDAY.INTL(AJ$4-1,1,,Blad2!$B$3:$N$16)=AJ$4,MIN(8,$B8-SUM($F8:AI8)),"-"),"-"),"-")</f>
        <v>-</v>
      </c>
      <c r="AK8" s="8" t="str">
        <f>IF(COUNT(Tabel3[[#This Row],[startdate]:[end date]])=2,
IF(MEDIAN($D8,$E8,AK$4)=AK$4,IF(WORKDAY.INTL(AK$4-1,1,,Blad2!$B$3:$N$16)=AK$4,MIN(8,$B8-SUM($F8:AJ8)),"-"),"-"),"-")</f>
        <v>-</v>
      </c>
      <c r="AL8" s="8" t="str">
        <f>IF(COUNT(Tabel3[[#This Row],[startdate]:[end date]])=2,
IF(MEDIAN($D8,$E8,AL$4)=AL$4,IF(WORKDAY.INTL(AL$4-1,1,,Blad2!$B$3:$N$16)=AL$4,MIN(8,$B8-SUM($F8:AK8)),"-"),"-"),"-")</f>
        <v>-</v>
      </c>
      <c r="AM8" s="8" t="str">
        <f>IF(COUNT(Tabel3[[#This Row],[startdate]:[end date]])=2,
IF(MEDIAN($D8,$E8,AM$4)=AM$4,IF(WORKDAY.INTL(AM$4-1,1,,Blad2!$B$3:$N$16)=AM$4,MIN(8,$B8-SUM($F8:AL8)),"-"),"-"),"-")</f>
        <v>-</v>
      </c>
      <c r="AN8" s="8" t="str">
        <f>IF(COUNT(Tabel3[[#This Row],[startdate]:[end date]])=2,
IF(MEDIAN($D8,$E8,AN$4)=AN$4,IF(WORKDAY.INTL(AN$4-1,1,,Blad2!$B$3:$N$16)=AN$4,MIN(8,$B8-SUM($F8:AM8)),"-"),"-"),"-")</f>
        <v>-</v>
      </c>
      <c r="AO8" s="8" t="str">
        <f>IF(COUNT(Tabel3[[#This Row],[startdate]:[end date]])=2,
IF(MEDIAN($D8,$E8,AO$4)=AO$4,IF(WORKDAY.INTL(AO$4-1,1,,Blad2!$B$3:$N$16)=AO$4,MIN(8,$B8-SUM($F8:AN8)),"-"),"-"),"-")</f>
        <v>-</v>
      </c>
      <c r="AP8" s="8" t="str">
        <f>IF(COUNT(Tabel3[[#This Row],[startdate]:[end date]])=2,
IF(MEDIAN($D8,$E8,AP$4)=AP$4,IF(WORKDAY.INTL(AP$4-1,1,,Blad2!$B$3:$N$16)=AP$4,MIN(8,$B8-SUM($F8:AO8)),"-"),"-"),"-")</f>
        <v>-</v>
      </c>
      <c r="AQ8" s="8" t="str">
        <f>IF(COUNT(Tabel3[[#This Row],[startdate]:[end date]])=2,
IF(MEDIAN($D8,$E8,AQ$4)=AQ$4,IF(WORKDAY.INTL(AQ$4-1,1,,Blad2!$B$3:$N$16)=AQ$4,MIN(8,$B8-SUM($F8:AP8)),"-"),"-"),"-")</f>
        <v>-</v>
      </c>
      <c r="AR8" s="8" t="str">
        <f>IF(COUNT(Tabel3[[#This Row],[startdate]:[end date]])=2,
IF(MEDIAN($D8,$E8,AR$4)=AR$4,IF(WORKDAY.INTL(AR$4-1,1,,Blad2!$B$3:$N$16)=AR$4,MIN(8,$B8-SUM($F8:AQ8)),"-"),"-"),"-")</f>
        <v>-</v>
      </c>
      <c r="AS8" s="8" t="str">
        <f>IF(COUNT(Tabel3[[#This Row],[startdate]:[end date]])=2,
IF(MEDIAN($D8,$E8,AS$4)=AS$4,IF(WORKDAY.INTL(AS$4-1,1,,Blad2!$B$3:$N$16)=AS$4,MIN(8,$B8-SUM($F8:AR8)),"-"),"-"),"-")</f>
        <v>-</v>
      </c>
      <c r="AT8" s="8" t="str">
        <f>IF(COUNT(Tabel3[[#This Row],[startdate]:[end date]])=2,
IF(MEDIAN($D8,$E8,AT$4)=AT$4,IF(WORKDAY.INTL(AT$4-1,1,,Blad2!$B$3:$N$16)=AT$4,MIN(8,$B8-SUM($F8:AS8)),"-"),"-"),"-")</f>
        <v>-</v>
      </c>
    </row>
    <row r="9" spans="1:46" x14ac:dyDescent="0.25">
      <c r="A9" s="12" t="s">
        <v>40</v>
      </c>
      <c r="B9" s="12">
        <v>66</v>
      </c>
      <c r="C9" s="8">
        <f>CEILING(+B9/8,1)</f>
        <v>9</v>
      </c>
      <c r="D9" s="13">
        <v>44691</v>
      </c>
      <c r="E9" s="11">
        <f>WORKDAY.INTL(D9-1,C9,,Blad2!$B$3:$N$16)</f>
        <v>44705</v>
      </c>
      <c r="F9" s="7"/>
      <c r="G9" s="8" t="str">
        <f>IF(COUNT(Tabel3[[#This Row],[startdate]:[end date]])=2,
IF(MEDIAN($D9,$E9,G$4)=G$4,IF(WORKDAY.INTL(G$4-1,1,,Blad2!$B$3:$N$16)=G$4,MIN(8,$B9-SUM($F9:F9)),"-"),"-"),"-")</f>
        <v>-</v>
      </c>
      <c r="H9" s="8" t="str">
        <f>IF(COUNT(Tabel3[[#This Row],[startdate]:[end date]])=2,
IF(MEDIAN($D9,$E9,H$4)=H$4,IF(WORKDAY.INTL(H$4-1,1,,Blad2!$B$3:$N$16)=H$4,MIN(8,$B9-SUM($F9:G9)),"-"),"-"),"-")</f>
        <v>-</v>
      </c>
      <c r="I9" s="8" t="str">
        <f>IF(COUNT(Tabel3[[#This Row],[startdate]:[end date]])=2,
IF(MEDIAN($D9,$E9,I$4)=I$4,IF(WORKDAY.INTL(I$4-1,1,,Blad2!$B$3:$N$16)=I$4,MIN(8,$B9-SUM($F9:H9)),"-"),"-"),"-")</f>
        <v>-</v>
      </c>
      <c r="J9" s="8" t="str">
        <f>IF(COUNT(Tabel3[[#This Row],[startdate]:[end date]])=2,
IF(MEDIAN($D9,$E9,J$4)=J$4,IF(WORKDAY.INTL(J$4-1,1,,Blad2!$B$3:$N$16)=J$4,MIN(8,$B9-SUM($F9:I9)),"-"),"-"),"-")</f>
        <v>-</v>
      </c>
      <c r="K9" s="8" t="str">
        <f>IF(COUNT(Tabel3[[#This Row],[startdate]:[end date]])=2,
IF(MEDIAN($D9,$E9,K$4)=K$4,IF(WORKDAY.INTL(K$4-1,1,,Blad2!$B$3:$N$16)=K$4,MIN(8,$B9-SUM($F9:J9)),"-"),"-"),"-")</f>
        <v>-</v>
      </c>
      <c r="L9" s="8" t="str">
        <f>IF(COUNT(Tabel3[[#This Row],[startdate]:[end date]])=2,
IF(MEDIAN($D9,$E9,L$4)=L$4,IF(WORKDAY.INTL(L$4-1,1,,Blad2!$B$3:$N$16)=L$4,MIN(8,$B9-SUM($F9:K9)),"-"),"-"),"-")</f>
        <v>-</v>
      </c>
      <c r="M9" s="8" t="str">
        <f>IF(COUNT(Tabel3[[#This Row],[startdate]:[end date]])=2,
IF(MEDIAN($D9,$E9,M$4)=M$4,IF(WORKDAY.INTL(M$4-1,1,,Blad2!$B$3:$N$16)=M$4,MIN(8,$B9-SUM($F9:L9)),"-"),"-"),"-")</f>
        <v>-</v>
      </c>
      <c r="N9" s="8" t="str">
        <f>IF(COUNT(Tabel3[[#This Row],[startdate]:[end date]])=2,
IF(MEDIAN($D9,$E9,N$4)=N$4,IF(WORKDAY.INTL(N$4-1,1,,Blad2!$B$3:$N$16)=N$4,MIN(8,$B9-SUM($F9:M9)),"-"),"-"),"-")</f>
        <v>-</v>
      </c>
      <c r="O9" s="8" t="str">
        <f>IF(COUNT(Tabel3[[#This Row],[startdate]:[end date]])=2,
IF(MEDIAN($D9,$E9,O$4)=O$4,IF(WORKDAY.INTL(O$4-1,1,,Blad2!$B$3:$N$16)=O$4,MIN(8,$B9-SUM($F9:N9)),"-"),"-"),"-")</f>
        <v>-</v>
      </c>
      <c r="P9" s="8">
        <f>IF(COUNT(Tabel3[[#This Row],[startdate]:[end date]])=2,
IF(MEDIAN($D9,$E9,P$4)=P$4,IF(WORKDAY.INTL(P$4-1,1,,Blad2!$B$3:$N$16)=P$4,MIN(8,$B9-SUM($F9:O9)),"-"),"-"),"-")</f>
        <v>8</v>
      </c>
      <c r="Q9" s="8" t="str">
        <f>IF(COUNT(Tabel3[[#This Row],[startdate]:[end date]])=2,
IF(MEDIAN($D9,$E9,Q$4)=Q$4,IF(WORKDAY.INTL(Q$4-1,1,,Blad2!$B$3:$N$16)=Q$4,MIN(8,$B9-SUM($F9:P9)),"-"),"-"),"-")</f>
        <v>-</v>
      </c>
      <c r="R9" s="8">
        <f>IF(COUNT(Tabel3[[#This Row],[startdate]:[end date]])=2,
IF(MEDIAN($D9,$E9,R$4)=R$4,IF(WORKDAY.INTL(R$4-1,1,,Blad2!$B$3:$N$16)=R$4,MIN(8,$B9-SUM($F9:Q9)),"-"),"-"),"-")</f>
        <v>8</v>
      </c>
      <c r="S9" s="8">
        <f>IF(COUNT(Tabel3[[#This Row],[startdate]:[end date]])=2,
IF(MEDIAN($D9,$E9,S$4)=S$4,IF(WORKDAY.INTL(S$4-1,1,,Blad2!$B$3:$N$16)=S$4,MIN(8,$B9-SUM($F9:R9)),"-"),"-"),"-")</f>
        <v>8</v>
      </c>
      <c r="T9" s="8" t="str">
        <f>IF(COUNT(Tabel3[[#This Row],[startdate]:[end date]])=2,
IF(MEDIAN($D9,$E9,T$4)=T$4,IF(WORKDAY.INTL(T$4-1,1,,Blad2!$B$3:$N$16)=T$4,MIN(8,$B9-SUM($F9:S9)),"-"),"-"),"-")</f>
        <v>-</v>
      </c>
      <c r="U9" s="8" t="str">
        <f>IF(COUNT(Tabel3[[#This Row],[startdate]:[end date]])=2,
IF(MEDIAN($D9,$E9,U$4)=U$4,IF(WORKDAY.INTL(U$4-1,1,,Blad2!$B$3:$N$16)=U$4,MIN(8,$B9-SUM($F9:T9)),"-"),"-"),"-")</f>
        <v>-</v>
      </c>
      <c r="V9" s="8">
        <f>IF(COUNT(Tabel3[[#This Row],[startdate]:[end date]])=2,
IF(MEDIAN($D9,$E9,V$4)=V$4,IF(WORKDAY.INTL(V$4-1,1,,Blad2!$B$3:$N$16)=V$4,MIN(8,$B9-SUM($F9:U9)),"-"),"-"),"-")</f>
        <v>8</v>
      </c>
      <c r="W9" s="8">
        <f>IF(COUNT(Tabel3[[#This Row],[startdate]:[end date]])=2,
IF(MEDIAN($D9,$E9,W$4)=W$4,IF(WORKDAY.INTL(W$4-1,1,,Blad2!$B$3:$N$16)=W$4,MIN(8,$B9-SUM($F9:V9)),"-"),"-"),"-")</f>
        <v>8</v>
      </c>
      <c r="X9" s="8" t="str">
        <f>IF(COUNT(Tabel3[[#This Row],[startdate]:[end date]])=2,
IF(MEDIAN($D9,$E9,X$4)=X$4,IF(WORKDAY.INTL(X$4-1,1,,Blad2!$B$3:$N$16)=X$4,MIN(8,$B9-SUM($F9:W9)),"-"),"-"),"-")</f>
        <v>-</v>
      </c>
      <c r="Y9" s="8">
        <f>IF(COUNT(Tabel3[[#This Row],[startdate]:[end date]])=2,
IF(MEDIAN($D9,$E9,Y$4)=Y$4,IF(WORKDAY.INTL(Y$4-1,1,,Blad2!$B$3:$N$16)=Y$4,MIN(8,$B9-SUM($F9:X9)),"-"),"-"),"-")</f>
        <v>8</v>
      </c>
      <c r="Z9" s="8">
        <f>IF(COUNT(Tabel3[[#This Row],[startdate]:[end date]])=2,
IF(MEDIAN($D9,$E9,Z$4)=Z$4,IF(WORKDAY.INTL(Z$4-1,1,,Blad2!$B$3:$N$16)=Z$4,MIN(8,$B9-SUM($F9:Y9)),"-"),"-"),"-")</f>
        <v>8</v>
      </c>
      <c r="AA9" s="8" t="str">
        <f>IF(COUNT(Tabel3[[#This Row],[startdate]:[end date]])=2,
IF(MEDIAN($D9,$E9,AA$4)=AA$4,IF(WORKDAY.INTL(AA$4-1,1,,Blad2!$B$3:$N$16)=AA$4,MIN(8,$B9-SUM($F9:Z9)),"-"),"-"),"-")</f>
        <v>-</v>
      </c>
      <c r="AB9" s="8" t="str">
        <f>IF(COUNT(Tabel3[[#This Row],[startdate]:[end date]])=2,
IF(MEDIAN($D9,$E9,AB$4)=AB$4,IF(WORKDAY.INTL(AB$4-1,1,,Blad2!$B$3:$N$16)=AB$4,MIN(8,$B9-SUM($F9:AA9)),"-"),"-"),"-")</f>
        <v>-</v>
      </c>
      <c r="AC9" s="8">
        <f>IF(COUNT(Tabel3[[#This Row],[startdate]:[end date]])=2,
IF(MEDIAN($D9,$E9,AC$4)=AC$4,IF(WORKDAY.INTL(AC$4-1,1,,Blad2!$B$3:$N$16)=AC$4,MIN(8,$B9-SUM($F9:AB9)),"-"),"-"),"-")</f>
        <v>8</v>
      </c>
      <c r="AD9" s="8">
        <f>IF(COUNT(Tabel3[[#This Row],[startdate]:[end date]])=2,
IF(MEDIAN($D9,$E9,AD$4)=AD$4,IF(WORKDAY.INTL(AD$4-1,1,,Blad2!$B$3:$N$16)=AD$4,MIN(8,$B9-SUM($F9:AC9)),"-"),"-"),"-")</f>
        <v>2</v>
      </c>
      <c r="AE9" s="8" t="str">
        <f>IF(COUNT(Tabel3[[#This Row],[startdate]:[end date]])=2,
IF(MEDIAN($D9,$E9,AE$4)=AE$4,IF(WORKDAY.INTL(AE$4-1,1,,Blad2!$B$3:$N$16)=AE$4,MIN(8,$B9-SUM($F9:AD9)),"-"),"-"),"-")</f>
        <v>-</v>
      </c>
      <c r="AF9" s="8" t="str">
        <f>IF(COUNT(Tabel3[[#This Row],[startdate]:[end date]])=2,
IF(MEDIAN($D9,$E9,AF$4)=AF$4,IF(WORKDAY.INTL(AF$4-1,1,,Blad2!$B$3:$N$16)=AF$4,MIN(8,$B9-SUM($F9:AE9)),"-"),"-"),"-")</f>
        <v>-</v>
      </c>
      <c r="AG9" s="8" t="str">
        <f>IF(COUNT(Tabel3[[#This Row],[startdate]:[end date]])=2,
IF(MEDIAN($D9,$E9,AG$4)=AG$4,IF(WORKDAY.INTL(AG$4-1,1,,Blad2!$B$3:$N$16)=AG$4,MIN(8,$B9-SUM($F9:AF9)),"-"),"-"),"-")</f>
        <v>-</v>
      </c>
      <c r="AH9" s="8" t="str">
        <f>IF(COUNT(Tabel3[[#This Row],[startdate]:[end date]])=2,
IF(MEDIAN($D9,$E9,AH$4)=AH$4,IF(WORKDAY.INTL(AH$4-1,1,,Blad2!$B$3:$N$16)=AH$4,MIN(8,$B9-SUM($F9:AG9)),"-"),"-"),"-")</f>
        <v>-</v>
      </c>
      <c r="AI9" s="8" t="str">
        <f>IF(COUNT(Tabel3[[#This Row],[startdate]:[end date]])=2,
IF(MEDIAN($D9,$E9,AI$4)=AI$4,IF(WORKDAY.INTL(AI$4-1,1,,Blad2!$B$3:$N$16)=AI$4,MIN(8,$B9-SUM($F9:AH9)),"-"),"-"),"-")</f>
        <v>-</v>
      </c>
      <c r="AJ9" s="8" t="str">
        <f>IF(COUNT(Tabel3[[#This Row],[startdate]:[end date]])=2,
IF(MEDIAN($D9,$E9,AJ$4)=AJ$4,IF(WORKDAY.INTL(AJ$4-1,1,,Blad2!$B$3:$N$16)=AJ$4,MIN(8,$B9-SUM($F9:AI9)),"-"),"-"),"-")</f>
        <v>-</v>
      </c>
      <c r="AK9" s="8" t="str">
        <f>IF(COUNT(Tabel3[[#This Row],[startdate]:[end date]])=2,
IF(MEDIAN($D9,$E9,AK$4)=AK$4,IF(WORKDAY.INTL(AK$4-1,1,,Blad2!$B$3:$N$16)=AK$4,MIN(8,$B9-SUM($F9:AJ9)),"-"),"-"),"-")</f>
        <v>-</v>
      </c>
      <c r="AL9" s="8" t="str">
        <f>IF(COUNT(Tabel3[[#This Row],[startdate]:[end date]])=2,
IF(MEDIAN($D9,$E9,AL$4)=AL$4,IF(WORKDAY.INTL(AL$4-1,1,,Blad2!$B$3:$N$16)=AL$4,MIN(8,$B9-SUM($F9:AK9)),"-"),"-"),"-")</f>
        <v>-</v>
      </c>
      <c r="AM9" s="8" t="str">
        <f>IF(COUNT(Tabel3[[#This Row],[startdate]:[end date]])=2,
IF(MEDIAN($D9,$E9,AM$4)=AM$4,IF(WORKDAY.INTL(AM$4-1,1,,Blad2!$B$3:$N$16)=AM$4,MIN(8,$B9-SUM($F9:AL9)),"-"),"-"),"-")</f>
        <v>-</v>
      </c>
      <c r="AN9" s="8" t="str">
        <f>IF(COUNT(Tabel3[[#This Row],[startdate]:[end date]])=2,
IF(MEDIAN($D9,$E9,AN$4)=AN$4,IF(WORKDAY.INTL(AN$4-1,1,,Blad2!$B$3:$N$16)=AN$4,MIN(8,$B9-SUM($F9:AM9)),"-"),"-"),"-")</f>
        <v>-</v>
      </c>
      <c r="AO9" s="8" t="str">
        <f>IF(COUNT(Tabel3[[#This Row],[startdate]:[end date]])=2,
IF(MEDIAN($D9,$E9,AO$4)=AO$4,IF(WORKDAY.INTL(AO$4-1,1,,Blad2!$B$3:$N$16)=AO$4,MIN(8,$B9-SUM($F9:AN9)),"-"),"-"),"-")</f>
        <v>-</v>
      </c>
      <c r="AP9" s="8" t="str">
        <f>IF(COUNT(Tabel3[[#This Row],[startdate]:[end date]])=2,
IF(MEDIAN($D9,$E9,AP$4)=AP$4,IF(WORKDAY.INTL(AP$4-1,1,,Blad2!$B$3:$N$16)=AP$4,MIN(8,$B9-SUM($F9:AO9)),"-"),"-"),"-")</f>
        <v>-</v>
      </c>
      <c r="AQ9" s="8" t="str">
        <f>IF(COUNT(Tabel3[[#This Row],[startdate]:[end date]])=2,
IF(MEDIAN($D9,$E9,AQ$4)=AQ$4,IF(WORKDAY.INTL(AQ$4-1,1,,Blad2!$B$3:$N$16)=AQ$4,MIN(8,$B9-SUM($F9:AP9)),"-"),"-"),"-")</f>
        <v>-</v>
      </c>
      <c r="AR9" s="8" t="str">
        <f>IF(COUNT(Tabel3[[#This Row],[startdate]:[end date]])=2,
IF(MEDIAN($D9,$E9,AR$4)=AR$4,IF(WORKDAY.INTL(AR$4-1,1,,Blad2!$B$3:$N$16)=AR$4,MIN(8,$B9-SUM($F9:AQ9)),"-"),"-"),"-")</f>
        <v>-</v>
      </c>
      <c r="AS9" s="8" t="str">
        <f>IF(COUNT(Tabel3[[#This Row],[startdate]:[end date]])=2,
IF(MEDIAN($D9,$E9,AS$4)=AS$4,IF(WORKDAY.INTL(AS$4-1,1,,Blad2!$B$3:$N$16)=AS$4,MIN(8,$B9-SUM($F9:AR9)),"-"),"-"),"-")</f>
        <v>-</v>
      </c>
      <c r="AT9" s="8" t="str">
        <f>IF(COUNT(Tabel3[[#This Row],[startdate]:[end date]])=2,
IF(MEDIAN($D9,$E9,AT$4)=AT$4,IF(WORKDAY.INTL(AT$4-1,1,,Blad2!$B$3:$N$16)=AT$4,MIN(8,$B9-SUM($F9:AS9)),"-"),"-"),"-")</f>
        <v>-</v>
      </c>
    </row>
    <row r="10" spans="1:46" x14ac:dyDescent="0.25">
      <c r="A10" s="12" t="s">
        <v>41</v>
      </c>
      <c r="B10" s="12">
        <v>30</v>
      </c>
      <c r="C10" s="8">
        <f>CEILING(+B10/8,1)</f>
        <v>4</v>
      </c>
      <c r="D10" s="13">
        <v>44698</v>
      </c>
      <c r="E10" s="11">
        <f>WORKDAY.INTL(D10-1,C10,,Blad2!$B$3:$N$16)</f>
        <v>44704</v>
      </c>
      <c r="F10" s="7"/>
      <c r="G10" s="8" t="str">
        <f>IF(COUNT(Tabel3[[#This Row],[startdate]:[end date]])=2,
IF(MEDIAN($D10,$E10,G$4)=G$4,IF(WORKDAY.INTL(G$4-1,1,,Blad2!$B$3:$N$16)=G$4,MIN(8,$B10-SUM($F10:F10)),"-"),"-"),"-")</f>
        <v>-</v>
      </c>
      <c r="H10" s="8" t="str">
        <f>IF(COUNT(Tabel3[[#This Row],[startdate]:[end date]])=2,
IF(MEDIAN($D10,$E10,H$4)=H$4,IF(WORKDAY.INTL(H$4-1,1,,Blad2!$B$3:$N$16)=H$4,MIN(8,$B10-SUM($F10:G10)),"-"),"-"),"-")</f>
        <v>-</v>
      </c>
      <c r="I10" s="8" t="str">
        <f>IF(COUNT(Tabel3[[#This Row],[startdate]:[end date]])=2,
IF(MEDIAN($D10,$E10,I$4)=I$4,IF(WORKDAY.INTL(I$4-1,1,,Blad2!$B$3:$N$16)=I$4,MIN(8,$B10-SUM($F10:H10)),"-"),"-"),"-")</f>
        <v>-</v>
      </c>
      <c r="J10" s="8" t="str">
        <f>IF(COUNT(Tabel3[[#This Row],[startdate]:[end date]])=2,
IF(MEDIAN($D10,$E10,J$4)=J$4,IF(WORKDAY.INTL(J$4-1,1,,Blad2!$B$3:$N$16)=J$4,MIN(8,$B10-SUM($F10:I10)),"-"),"-"),"-")</f>
        <v>-</v>
      </c>
      <c r="K10" s="8" t="str">
        <f>IF(COUNT(Tabel3[[#This Row],[startdate]:[end date]])=2,
IF(MEDIAN($D10,$E10,K$4)=K$4,IF(WORKDAY.INTL(K$4-1,1,,Blad2!$B$3:$N$16)=K$4,MIN(8,$B10-SUM($F10:J10)),"-"),"-"),"-")</f>
        <v>-</v>
      </c>
      <c r="L10" s="8" t="str">
        <f>IF(COUNT(Tabel3[[#This Row],[startdate]:[end date]])=2,
IF(MEDIAN($D10,$E10,L$4)=L$4,IF(WORKDAY.INTL(L$4-1,1,,Blad2!$B$3:$N$16)=L$4,MIN(8,$B10-SUM($F10:K10)),"-"),"-"),"-")</f>
        <v>-</v>
      </c>
      <c r="M10" s="8" t="str">
        <f>IF(COUNT(Tabel3[[#This Row],[startdate]:[end date]])=2,
IF(MEDIAN($D10,$E10,M$4)=M$4,IF(WORKDAY.INTL(M$4-1,1,,Blad2!$B$3:$N$16)=M$4,MIN(8,$B10-SUM($F10:L10)),"-"),"-"),"-")</f>
        <v>-</v>
      </c>
      <c r="N10" s="8" t="str">
        <f>IF(COUNT(Tabel3[[#This Row],[startdate]:[end date]])=2,
IF(MEDIAN($D10,$E10,N$4)=N$4,IF(WORKDAY.INTL(N$4-1,1,,Blad2!$B$3:$N$16)=N$4,MIN(8,$B10-SUM($F10:M10)),"-"),"-"),"-")</f>
        <v>-</v>
      </c>
      <c r="O10" s="8" t="str">
        <f>IF(COUNT(Tabel3[[#This Row],[startdate]:[end date]])=2,
IF(MEDIAN($D10,$E10,O$4)=O$4,IF(WORKDAY.INTL(O$4-1,1,,Blad2!$B$3:$N$16)=O$4,MIN(8,$B10-SUM($F10:N10)),"-"),"-"),"-")</f>
        <v>-</v>
      </c>
      <c r="P10" s="8" t="str">
        <f>IF(COUNT(Tabel3[[#This Row],[startdate]:[end date]])=2,
IF(MEDIAN($D10,$E10,P$4)=P$4,IF(WORKDAY.INTL(P$4-1,1,,Blad2!$B$3:$N$16)=P$4,MIN(8,$B10-SUM($F10:O10)),"-"),"-"),"-")</f>
        <v>-</v>
      </c>
      <c r="Q10" s="8" t="str">
        <f>IF(COUNT(Tabel3[[#This Row],[startdate]:[end date]])=2,
IF(MEDIAN($D10,$E10,Q$4)=Q$4,IF(WORKDAY.INTL(Q$4-1,1,,Blad2!$B$3:$N$16)=Q$4,MIN(8,$B10-SUM($F10:P10)),"-"),"-"),"-")</f>
        <v>-</v>
      </c>
      <c r="R10" s="8" t="str">
        <f>IF(COUNT(Tabel3[[#This Row],[startdate]:[end date]])=2,
IF(MEDIAN($D10,$E10,R$4)=R$4,IF(WORKDAY.INTL(R$4-1,1,,Blad2!$B$3:$N$16)=R$4,MIN(8,$B10-SUM($F10:Q10)),"-"),"-"),"-")</f>
        <v>-</v>
      </c>
      <c r="S10" s="8" t="str">
        <f>IF(COUNT(Tabel3[[#This Row],[startdate]:[end date]])=2,
IF(MEDIAN($D10,$E10,S$4)=S$4,IF(WORKDAY.INTL(S$4-1,1,,Blad2!$B$3:$N$16)=S$4,MIN(8,$B10-SUM($F10:R10)),"-"),"-"),"-")</f>
        <v>-</v>
      </c>
      <c r="T10" s="8" t="str">
        <f>IF(COUNT(Tabel3[[#This Row],[startdate]:[end date]])=2,
IF(MEDIAN($D10,$E10,T$4)=T$4,IF(WORKDAY.INTL(T$4-1,1,,Blad2!$B$3:$N$16)=T$4,MIN(8,$B10-SUM($F10:S10)),"-"),"-"),"-")</f>
        <v>-</v>
      </c>
      <c r="U10" s="8" t="str">
        <f>IF(COUNT(Tabel3[[#This Row],[startdate]:[end date]])=2,
IF(MEDIAN($D10,$E10,U$4)=U$4,IF(WORKDAY.INTL(U$4-1,1,,Blad2!$B$3:$N$16)=U$4,MIN(8,$B10-SUM($F10:T10)),"-"),"-"),"-")</f>
        <v>-</v>
      </c>
      <c r="V10" s="8" t="str">
        <f>IF(COUNT(Tabel3[[#This Row],[startdate]:[end date]])=2,
IF(MEDIAN($D10,$E10,V$4)=V$4,IF(WORKDAY.INTL(V$4-1,1,,Blad2!$B$3:$N$16)=V$4,MIN(8,$B10-SUM($F10:U10)),"-"),"-"),"-")</f>
        <v>-</v>
      </c>
      <c r="W10" s="8">
        <f>IF(COUNT(Tabel3[[#This Row],[startdate]:[end date]])=2,
IF(MEDIAN($D10,$E10,W$4)=W$4,IF(WORKDAY.INTL(W$4-1,1,,Blad2!$B$3:$N$16)=W$4,MIN(8,$B10-SUM($F10:V10)),"-"),"-"),"-")</f>
        <v>8</v>
      </c>
      <c r="X10" s="8" t="str">
        <f>IF(COUNT(Tabel3[[#This Row],[startdate]:[end date]])=2,
IF(MEDIAN($D10,$E10,X$4)=X$4,IF(WORKDAY.INTL(X$4-1,1,,Blad2!$B$3:$N$16)=X$4,MIN(8,$B10-SUM($F10:W10)),"-"),"-"),"-")</f>
        <v>-</v>
      </c>
      <c r="Y10" s="8">
        <f>IF(COUNT(Tabel3[[#This Row],[startdate]:[end date]])=2,
IF(MEDIAN($D10,$E10,Y$4)=Y$4,IF(WORKDAY.INTL(Y$4-1,1,,Blad2!$B$3:$N$16)=Y$4,MIN(8,$B10-SUM($F10:X10)),"-"),"-"),"-")</f>
        <v>8</v>
      </c>
      <c r="Z10" s="8">
        <f>IF(COUNT(Tabel3[[#This Row],[startdate]:[end date]])=2,
IF(MEDIAN($D10,$E10,Z$4)=Z$4,IF(WORKDAY.INTL(Z$4-1,1,,Blad2!$B$3:$N$16)=Z$4,MIN(8,$B10-SUM($F10:Y10)),"-"),"-"),"-")</f>
        <v>8</v>
      </c>
      <c r="AA10" s="8" t="str">
        <f>IF(COUNT(Tabel3[[#This Row],[startdate]:[end date]])=2,
IF(MEDIAN($D10,$E10,AA$4)=AA$4,IF(WORKDAY.INTL(AA$4-1,1,,Blad2!$B$3:$N$16)=AA$4,MIN(8,$B10-SUM($F10:Z10)),"-"),"-"),"-")</f>
        <v>-</v>
      </c>
      <c r="AB10" s="8" t="str">
        <f>IF(COUNT(Tabel3[[#This Row],[startdate]:[end date]])=2,
IF(MEDIAN($D10,$E10,AB$4)=AB$4,IF(WORKDAY.INTL(AB$4-1,1,,Blad2!$B$3:$N$16)=AB$4,MIN(8,$B10-SUM($F10:AA10)),"-"),"-"),"-")</f>
        <v>-</v>
      </c>
      <c r="AC10" s="8">
        <f>IF(COUNT(Tabel3[[#This Row],[startdate]:[end date]])=2,
IF(MEDIAN($D10,$E10,AC$4)=AC$4,IF(WORKDAY.INTL(AC$4-1,1,,Blad2!$B$3:$N$16)=AC$4,MIN(8,$B10-SUM($F10:AB10)),"-"),"-"),"-")</f>
        <v>6</v>
      </c>
      <c r="AD10" s="8" t="str">
        <f>IF(COUNT(Tabel3[[#This Row],[startdate]:[end date]])=2,
IF(MEDIAN($D10,$E10,AD$4)=AD$4,IF(WORKDAY.INTL(AD$4-1,1,,Blad2!$B$3:$N$16)=AD$4,MIN(8,$B10-SUM($F10:AC10)),"-"),"-"),"-")</f>
        <v>-</v>
      </c>
      <c r="AE10" s="8" t="str">
        <f>IF(COUNT(Tabel3[[#This Row],[startdate]:[end date]])=2,
IF(MEDIAN($D10,$E10,AE$4)=AE$4,IF(WORKDAY.INTL(AE$4-1,1,,Blad2!$B$3:$N$16)=AE$4,MIN(8,$B10-SUM($F10:AD10)),"-"),"-"),"-")</f>
        <v>-</v>
      </c>
      <c r="AF10" s="8" t="str">
        <f>IF(COUNT(Tabel3[[#This Row],[startdate]:[end date]])=2,
IF(MEDIAN($D10,$E10,AF$4)=AF$4,IF(WORKDAY.INTL(AF$4-1,1,,Blad2!$B$3:$N$16)=AF$4,MIN(8,$B10-SUM($F10:AE10)),"-"),"-"),"-")</f>
        <v>-</v>
      </c>
      <c r="AG10" s="8" t="str">
        <f>IF(COUNT(Tabel3[[#This Row],[startdate]:[end date]])=2,
IF(MEDIAN($D10,$E10,AG$4)=AG$4,IF(WORKDAY.INTL(AG$4-1,1,,Blad2!$B$3:$N$16)=AG$4,MIN(8,$B10-SUM($F10:AF10)),"-"),"-"),"-")</f>
        <v>-</v>
      </c>
      <c r="AH10" s="8" t="str">
        <f>IF(COUNT(Tabel3[[#This Row],[startdate]:[end date]])=2,
IF(MEDIAN($D10,$E10,AH$4)=AH$4,IF(WORKDAY.INTL(AH$4-1,1,,Blad2!$B$3:$N$16)=AH$4,MIN(8,$B10-SUM($F10:AG10)),"-"),"-"),"-")</f>
        <v>-</v>
      </c>
      <c r="AI10" s="8" t="str">
        <f>IF(COUNT(Tabel3[[#This Row],[startdate]:[end date]])=2,
IF(MEDIAN($D10,$E10,AI$4)=AI$4,IF(WORKDAY.INTL(AI$4-1,1,,Blad2!$B$3:$N$16)=AI$4,MIN(8,$B10-SUM($F10:AH10)),"-"),"-"),"-")</f>
        <v>-</v>
      </c>
      <c r="AJ10" s="8" t="str">
        <f>IF(COUNT(Tabel3[[#This Row],[startdate]:[end date]])=2,
IF(MEDIAN($D10,$E10,AJ$4)=AJ$4,IF(WORKDAY.INTL(AJ$4-1,1,,Blad2!$B$3:$N$16)=AJ$4,MIN(8,$B10-SUM($F10:AI10)),"-"),"-"),"-")</f>
        <v>-</v>
      </c>
      <c r="AK10" s="8" t="str">
        <f>IF(COUNT(Tabel3[[#This Row],[startdate]:[end date]])=2,
IF(MEDIAN($D10,$E10,AK$4)=AK$4,IF(WORKDAY.INTL(AK$4-1,1,,Blad2!$B$3:$N$16)=AK$4,MIN(8,$B10-SUM($F10:AJ10)),"-"),"-"),"-")</f>
        <v>-</v>
      </c>
      <c r="AL10" s="8" t="str">
        <f>IF(COUNT(Tabel3[[#This Row],[startdate]:[end date]])=2,
IF(MEDIAN($D10,$E10,AL$4)=AL$4,IF(WORKDAY.INTL(AL$4-1,1,,Blad2!$B$3:$N$16)=AL$4,MIN(8,$B10-SUM($F10:AK10)),"-"),"-"),"-")</f>
        <v>-</v>
      </c>
      <c r="AM10" s="8" t="str">
        <f>IF(COUNT(Tabel3[[#This Row],[startdate]:[end date]])=2,
IF(MEDIAN($D10,$E10,AM$4)=AM$4,IF(WORKDAY.INTL(AM$4-1,1,,Blad2!$B$3:$N$16)=AM$4,MIN(8,$B10-SUM($F10:AL10)),"-"),"-"),"-")</f>
        <v>-</v>
      </c>
      <c r="AN10" s="8" t="str">
        <f>IF(COUNT(Tabel3[[#This Row],[startdate]:[end date]])=2,
IF(MEDIAN($D10,$E10,AN$4)=AN$4,IF(WORKDAY.INTL(AN$4-1,1,,Blad2!$B$3:$N$16)=AN$4,MIN(8,$B10-SUM($F10:AM10)),"-"),"-"),"-")</f>
        <v>-</v>
      </c>
      <c r="AO10" s="8" t="str">
        <f>IF(COUNT(Tabel3[[#This Row],[startdate]:[end date]])=2,
IF(MEDIAN($D10,$E10,AO$4)=AO$4,IF(WORKDAY.INTL(AO$4-1,1,,Blad2!$B$3:$N$16)=AO$4,MIN(8,$B10-SUM($F10:AN10)),"-"),"-"),"-")</f>
        <v>-</v>
      </c>
      <c r="AP10" s="8" t="str">
        <f>IF(COUNT(Tabel3[[#This Row],[startdate]:[end date]])=2,
IF(MEDIAN($D10,$E10,AP$4)=AP$4,IF(WORKDAY.INTL(AP$4-1,1,,Blad2!$B$3:$N$16)=AP$4,MIN(8,$B10-SUM($F10:AO10)),"-"),"-"),"-")</f>
        <v>-</v>
      </c>
      <c r="AQ10" s="8" t="str">
        <f>IF(COUNT(Tabel3[[#This Row],[startdate]:[end date]])=2,
IF(MEDIAN($D10,$E10,AQ$4)=AQ$4,IF(WORKDAY.INTL(AQ$4-1,1,,Blad2!$B$3:$N$16)=AQ$4,MIN(8,$B10-SUM($F10:AP10)),"-"),"-"),"-")</f>
        <v>-</v>
      </c>
      <c r="AR10" s="8" t="str">
        <f>IF(COUNT(Tabel3[[#This Row],[startdate]:[end date]])=2,
IF(MEDIAN($D10,$E10,AR$4)=AR$4,IF(WORKDAY.INTL(AR$4-1,1,,Blad2!$B$3:$N$16)=AR$4,MIN(8,$B10-SUM($F10:AQ10)),"-"),"-"),"-")</f>
        <v>-</v>
      </c>
      <c r="AS10" s="8" t="str">
        <f>IF(COUNT(Tabel3[[#This Row],[startdate]:[end date]])=2,
IF(MEDIAN($D10,$E10,AS$4)=AS$4,IF(WORKDAY.INTL(AS$4-1,1,,Blad2!$B$3:$N$16)=AS$4,MIN(8,$B10-SUM($F10:AR10)),"-"),"-"),"-")</f>
        <v>-</v>
      </c>
      <c r="AT10" s="8" t="str">
        <f>IF(COUNT(Tabel3[[#This Row],[startdate]:[end date]])=2,
IF(MEDIAN($D10,$E10,AT$4)=AT$4,IF(WORKDAY.INTL(AT$4-1,1,,Blad2!$B$3:$N$16)=AT$4,MIN(8,$B10-SUM($F10:AS10)),"-"),"-"),"-")</f>
        <v>-</v>
      </c>
    </row>
  </sheetData>
  <phoneticPr fontId="3" type="noConversion"/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B5533DC7-D4B1-44C0-AAAF-B4FC23D1FD88}">
            <xm:f>WORKDAY.INTL(G$4-1,1,,Blad2!$B$3:$N$16)&lt;&gt;G$4</xm:f>
            <x14:dxf>
              <fill>
                <patternFill>
                  <bgColor theme="0" tint="-0.14996795556505021"/>
                </patternFill>
              </fill>
            </x14:dxf>
          </x14:cfRule>
          <xm:sqref>G4:AT10</xm:sqref>
        </x14:conditionalFormatting>
        <x14:conditionalFormatting xmlns:xm="http://schemas.microsoft.com/office/excel/2006/main">
          <x14:cfRule type="expression" priority="1" stopIfTrue="1" id="{363840E8-561B-4932-B17F-8031BBABA8D8}">
            <xm:f>COUNTIF(Blad2!$B$3:$N$16,F$4)&gt;0</xm:f>
            <x14:dxf>
              <fill>
                <patternFill>
                  <bgColor rgb="FFB889DB"/>
                </patternFill>
              </fill>
            </x14:dxf>
          </x14:cfRule>
          <xm:sqref>F4:AT4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92B30-370E-4380-B657-0D66194C8761}">
  <sheetPr codeName="Blad3"/>
  <dimension ref="A1:N16"/>
  <sheetViews>
    <sheetView topLeftCell="I1" workbookViewId="0">
      <selection activeCell="D16" sqref="D16"/>
    </sheetView>
  </sheetViews>
  <sheetFormatPr defaultRowHeight="15" x14ac:dyDescent="0.25"/>
  <cols>
    <col min="1" max="1" width="22.42578125" style="2" bestFit="1" customWidth="1"/>
    <col min="2" max="2" width="29.28515625" bestFit="1" customWidth="1"/>
    <col min="3" max="3" width="30.42578125" bestFit="1" customWidth="1"/>
    <col min="4" max="4" width="31.28515625" bestFit="1" customWidth="1"/>
    <col min="5" max="5" width="32" bestFit="1" customWidth="1"/>
    <col min="6" max="6" width="31.5703125" bestFit="1" customWidth="1"/>
    <col min="7" max="7" width="32.28515625" bestFit="1" customWidth="1"/>
    <col min="8" max="8" width="30.42578125" bestFit="1" customWidth="1"/>
    <col min="9" max="9" width="31" bestFit="1" customWidth="1"/>
    <col min="10" max="10" width="31.28515625" bestFit="1" customWidth="1"/>
    <col min="11" max="11" width="32" bestFit="1" customWidth="1"/>
    <col min="12" max="12" width="32.28515625" bestFit="1" customWidth="1"/>
    <col min="13" max="13" width="29.28515625" bestFit="1" customWidth="1"/>
    <col min="14" max="14" width="30.42578125" bestFit="1" customWidth="1"/>
  </cols>
  <sheetData>
    <row r="1" spans="1:14" x14ac:dyDescent="0.25">
      <c r="B1">
        <v>2022</v>
      </c>
      <c r="C1">
        <f>+B1+1</f>
        <v>2023</v>
      </c>
      <c r="D1">
        <f t="shared" ref="D1:N1" si="0">+C1+1</f>
        <v>2024</v>
      </c>
      <c r="E1">
        <f t="shared" si="0"/>
        <v>2025</v>
      </c>
      <c r="F1">
        <f t="shared" si="0"/>
        <v>2026</v>
      </c>
      <c r="G1">
        <f t="shared" si="0"/>
        <v>2027</v>
      </c>
      <c r="H1">
        <f t="shared" si="0"/>
        <v>2028</v>
      </c>
      <c r="I1">
        <f t="shared" si="0"/>
        <v>2029</v>
      </c>
      <c r="J1">
        <f t="shared" si="0"/>
        <v>2030</v>
      </c>
      <c r="K1">
        <f t="shared" si="0"/>
        <v>2031</v>
      </c>
      <c r="L1">
        <f t="shared" si="0"/>
        <v>2032</v>
      </c>
      <c r="M1">
        <f t="shared" si="0"/>
        <v>2033</v>
      </c>
      <c r="N1">
        <f t="shared" si="0"/>
        <v>2034</v>
      </c>
    </row>
    <row r="2" spans="1:14" ht="16.5" x14ac:dyDescent="0.25">
      <c r="A2" s="3" t="s">
        <v>6</v>
      </c>
      <c r="B2" s="1" t="s">
        <v>7</v>
      </c>
    </row>
    <row r="3" spans="1:14" ht="16.5" x14ac:dyDescent="0.25">
      <c r="A3" s="3" t="s">
        <v>8</v>
      </c>
      <c r="B3" s="4">
        <f>DATE(B1,1,1)</f>
        <v>44562</v>
      </c>
      <c r="C3" s="4">
        <f>DATE(C1,1,1)</f>
        <v>44927</v>
      </c>
      <c r="D3" s="4">
        <f t="shared" ref="D3:N3" si="1">DATE(D1,1,1)</f>
        <v>45292</v>
      </c>
      <c r="E3" s="4">
        <f t="shared" si="1"/>
        <v>45658</v>
      </c>
      <c r="F3" s="4">
        <f t="shared" si="1"/>
        <v>46023</v>
      </c>
      <c r="G3" s="4">
        <f t="shared" si="1"/>
        <v>46388</v>
      </c>
      <c r="H3" s="4">
        <f t="shared" si="1"/>
        <v>46753</v>
      </c>
      <c r="I3" s="4">
        <f t="shared" si="1"/>
        <v>47119</v>
      </c>
      <c r="J3" s="4">
        <f t="shared" si="1"/>
        <v>47484</v>
      </c>
      <c r="K3" s="4">
        <f t="shared" si="1"/>
        <v>47849</v>
      </c>
      <c r="L3" s="4">
        <f t="shared" si="1"/>
        <v>48214</v>
      </c>
      <c r="M3" s="4">
        <f t="shared" si="1"/>
        <v>48580</v>
      </c>
      <c r="N3" s="4">
        <f t="shared" si="1"/>
        <v>48945</v>
      </c>
    </row>
    <row r="4" spans="1:14" ht="16.5" x14ac:dyDescent="0.25">
      <c r="A4" s="3" t="s">
        <v>9</v>
      </c>
      <c r="B4" s="4">
        <f>ROUND(DATE(B1,4,MOD(234-11*MOD(B1,19),30))/7,0)*7-6</f>
        <v>44668</v>
      </c>
      <c r="C4" s="4">
        <f>ROUND(DATE(C1,4,MOD(234-11*MOD(C1,19),30))/7,0)*7-6</f>
        <v>45025</v>
      </c>
      <c r="D4" s="4">
        <f t="shared" ref="D4:N4" si="2">ROUND(DATE(D1,4,MOD(234-11*MOD(D1,19),30))/7,0)*7-6</f>
        <v>45382</v>
      </c>
      <c r="E4" s="4">
        <f t="shared" si="2"/>
        <v>45767</v>
      </c>
      <c r="F4" s="4">
        <f t="shared" si="2"/>
        <v>46117</v>
      </c>
      <c r="G4" s="4">
        <f t="shared" si="2"/>
        <v>46474</v>
      </c>
      <c r="H4" s="4">
        <f t="shared" si="2"/>
        <v>46859</v>
      </c>
      <c r="I4" s="4">
        <f t="shared" si="2"/>
        <v>47209</v>
      </c>
      <c r="J4" s="4">
        <f t="shared" si="2"/>
        <v>47594</v>
      </c>
      <c r="K4" s="4">
        <f t="shared" si="2"/>
        <v>47951</v>
      </c>
      <c r="L4" s="4">
        <f t="shared" si="2"/>
        <v>48301</v>
      </c>
      <c r="M4" s="4">
        <f t="shared" si="2"/>
        <v>48686</v>
      </c>
      <c r="N4" s="4">
        <f t="shared" si="2"/>
        <v>49043</v>
      </c>
    </row>
    <row r="5" spans="1:14" ht="16.5" x14ac:dyDescent="0.25">
      <c r="A5" s="3" t="s">
        <v>10</v>
      </c>
      <c r="B5" s="4">
        <f>B3+1</f>
        <v>44563</v>
      </c>
      <c r="C5" s="4">
        <f>C3+1</f>
        <v>44928</v>
      </c>
      <c r="D5" s="4">
        <f t="shared" ref="D5:N5" si="3">D3+1</f>
        <v>45293</v>
      </c>
      <c r="E5" s="4">
        <f t="shared" si="3"/>
        <v>45659</v>
      </c>
      <c r="F5" s="4">
        <f t="shared" si="3"/>
        <v>46024</v>
      </c>
      <c r="G5" s="4">
        <f t="shared" si="3"/>
        <v>46389</v>
      </c>
      <c r="H5" s="4">
        <f t="shared" si="3"/>
        <v>46754</v>
      </c>
      <c r="I5" s="4">
        <f t="shared" si="3"/>
        <v>47120</v>
      </c>
      <c r="J5" s="4">
        <f t="shared" si="3"/>
        <v>47485</v>
      </c>
      <c r="K5" s="4">
        <f t="shared" si="3"/>
        <v>47850</v>
      </c>
      <c r="L5" s="4">
        <f t="shared" si="3"/>
        <v>48215</v>
      </c>
      <c r="M5" s="4">
        <f t="shared" si="3"/>
        <v>48581</v>
      </c>
      <c r="N5" s="4">
        <f t="shared" si="3"/>
        <v>48946</v>
      </c>
    </row>
    <row r="6" spans="1:14" ht="16.5" x14ac:dyDescent="0.25">
      <c r="A6" s="3" t="s">
        <v>11</v>
      </c>
      <c r="B6" s="4">
        <f>DATE(B1,5,1)</f>
        <v>44682</v>
      </c>
      <c r="C6" s="4">
        <f>DATE(C1,5,1)</f>
        <v>45047</v>
      </c>
      <c r="D6" s="4">
        <f t="shared" ref="D6:N6" si="4">DATE(D1,5,1)</f>
        <v>45413</v>
      </c>
      <c r="E6" s="4">
        <f t="shared" si="4"/>
        <v>45778</v>
      </c>
      <c r="F6" s="4">
        <f t="shared" si="4"/>
        <v>46143</v>
      </c>
      <c r="G6" s="4">
        <f t="shared" si="4"/>
        <v>46508</v>
      </c>
      <c r="H6" s="4">
        <f t="shared" si="4"/>
        <v>46874</v>
      </c>
      <c r="I6" s="4">
        <f t="shared" si="4"/>
        <v>47239</v>
      </c>
      <c r="J6" s="4">
        <f t="shared" si="4"/>
        <v>47604</v>
      </c>
      <c r="K6" s="4">
        <f t="shared" si="4"/>
        <v>47969</v>
      </c>
      <c r="L6" s="4">
        <f t="shared" si="4"/>
        <v>48335</v>
      </c>
      <c r="M6" s="4">
        <f t="shared" si="4"/>
        <v>48700</v>
      </c>
      <c r="N6" s="4">
        <f t="shared" si="4"/>
        <v>49065</v>
      </c>
    </row>
    <row r="7" spans="1:14" ht="16.5" x14ac:dyDescent="0.25">
      <c r="A7" s="3" t="s">
        <v>12</v>
      </c>
      <c r="B7" s="4">
        <f>DATE(B1,5,8)</f>
        <v>44689</v>
      </c>
      <c r="C7" s="4">
        <f>DATE(C1,5,8)</f>
        <v>45054</v>
      </c>
      <c r="D7" s="4">
        <f t="shared" ref="D7:N7" si="5">DATE(D1,5,8)</f>
        <v>45420</v>
      </c>
      <c r="E7" s="4">
        <f t="shared" si="5"/>
        <v>45785</v>
      </c>
      <c r="F7" s="4">
        <f t="shared" si="5"/>
        <v>46150</v>
      </c>
      <c r="G7" s="4">
        <f t="shared" si="5"/>
        <v>46515</v>
      </c>
      <c r="H7" s="4">
        <f t="shared" si="5"/>
        <v>46881</v>
      </c>
      <c r="I7" s="4">
        <f t="shared" si="5"/>
        <v>47246</v>
      </c>
      <c r="J7" s="4">
        <f t="shared" si="5"/>
        <v>47611</v>
      </c>
      <c r="K7" s="4">
        <f t="shared" si="5"/>
        <v>47976</v>
      </c>
      <c r="L7" s="4">
        <f t="shared" si="5"/>
        <v>48342</v>
      </c>
      <c r="M7" s="4">
        <f t="shared" si="5"/>
        <v>48707</v>
      </c>
      <c r="N7" s="4">
        <f t="shared" si="5"/>
        <v>49072</v>
      </c>
    </row>
    <row r="8" spans="1:14" ht="16.5" x14ac:dyDescent="0.25">
      <c r="A8" s="3" t="s">
        <v>13</v>
      </c>
      <c r="B8" s="4">
        <f>B3+39</f>
        <v>44601</v>
      </c>
      <c r="C8" s="4">
        <f>C3+39</f>
        <v>44966</v>
      </c>
      <c r="D8" s="4">
        <f t="shared" ref="D8:N8" si="6">D3+39</f>
        <v>45331</v>
      </c>
      <c r="E8" s="4">
        <f t="shared" si="6"/>
        <v>45697</v>
      </c>
      <c r="F8" s="4">
        <f t="shared" si="6"/>
        <v>46062</v>
      </c>
      <c r="G8" s="4">
        <f t="shared" si="6"/>
        <v>46427</v>
      </c>
      <c r="H8" s="4">
        <f t="shared" si="6"/>
        <v>46792</v>
      </c>
      <c r="I8" s="4">
        <f t="shared" si="6"/>
        <v>47158</v>
      </c>
      <c r="J8" s="4">
        <f t="shared" si="6"/>
        <v>47523</v>
      </c>
      <c r="K8" s="4">
        <f t="shared" si="6"/>
        <v>47888</v>
      </c>
      <c r="L8" s="4">
        <f t="shared" si="6"/>
        <v>48253</v>
      </c>
      <c r="M8" s="4">
        <f t="shared" si="6"/>
        <v>48619</v>
      </c>
      <c r="N8" s="4">
        <f t="shared" si="6"/>
        <v>48984</v>
      </c>
    </row>
    <row r="9" spans="1:14" ht="16.5" x14ac:dyDescent="0.25">
      <c r="A9" s="3" t="s">
        <v>14</v>
      </c>
      <c r="B9" s="4">
        <f>B3+49</f>
        <v>44611</v>
      </c>
      <c r="C9" s="4">
        <f>C3+49</f>
        <v>44976</v>
      </c>
      <c r="D9" s="4">
        <f t="shared" ref="D9:N9" si="7">D3+49</f>
        <v>45341</v>
      </c>
      <c r="E9" s="4">
        <f t="shared" si="7"/>
        <v>45707</v>
      </c>
      <c r="F9" s="4">
        <f t="shared" si="7"/>
        <v>46072</v>
      </c>
      <c r="G9" s="4">
        <f t="shared" si="7"/>
        <v>46437</v>
      </c>
      <c r="H9" s="4">
        <f t="shared" si="7"/>
        <v>46802</v>
      </c>
      <c r="I9" s="4">
        <f t="shared" si="7"/>
        <v>47168</v>
      </c>
      <c r="J9" s="4">
        <f t="shared" si="7"/>
        <v>47533</v>
      </c>
      <c r="K9" s="4">
        <f t="shared" si="7"/>
        <v>47898</v>
      </c>
      <c r="L9" s="4">
        <f t="shared" si="7"/>
        <v>48263</v>
      </c>
      <c r="M9" s="4">
        <f t="shared" si="7"/>
        <v>48629</v>
      </c>
      <c r="N9" s="4">
        <f t="shared" si="7"/>
        <v>48994</v>
      </c>
    </row>
    <row r="10" spans="1:14" ht="16.5" x14ac:dyDescent="0.25">
      <c r="A10" s="3" t="s">
        <v>15</v>
      </c>
      <c r="B10" s="4">
        <f>B3+50</f>
        <v>44612</v>
      </c>
      <c r="C10" s="4">
        <f>C3+50</f>
        <v>44977</v>
      </c>
      <c r="D10" s="4">
        <f t="shared" ref="D10:N10" si="8">D3+50</f>
        <v>45342</v>
      </c>
      <c r="E10" s="4">
        <f t="shared" si="8"/>
        <v>45708</v>
      </c>
      <c r="F10" s="4">
        <f t="shared" si="8"/>
        <v>46073</v>
      </c>
      <c r="G10" s="4">
        <f t="shared" si="8"/>
        <v>46438</v>
      </c>
      <c r="H10" s="4">
        <f t="shared" si="8"/>
        <v>46803</v>
      </c>
      <c r="I10" s="4">
        <f t="shared" si="8"/>
        <v>47169</v>
      </c>
      <c r="J10" s="4">
        <f t="shared" si="8"/>
        <v>47534</v>
      </c>
      <c r="K10" s="4">
        <f t="shared" si="8"/>
        <v>47899</v>
      </c>
      <c r="L10" s="4">
        <f t="shared" si="8"/>
        <v>48264</v>
      </c>
      <c r="M10" s="4">
        <f t="shared" si="8"/>
        <v>48630</v>
      </c>
      <c r="N10" s="4">
        <f t="shared" si="8"/>
        <v>48995</v>
      </c>
    </row>
    <row r="11" spans="1:14" ht="16.5" x14ac:dyDescent="0.25">
      <c r="A11" s="3" t="s">
        <v>16</v>
      </c>
      <c r="B11" s="4">
        <f>DATE(B1,7,14)</f>
        <v>44756</v>
      </c>
      <c r="C11" s="4">
        <f>DATE(C1,7,14)</f>
        <v>45121</v>
      </c>
      <c r="D11" s="4">
        <f t="shared" ref="D11:N11" si="9">DATE(D1,7,14)</f>
        <v>45487</v>
      </c>
      <c r="E11" s="4">
        <f t="shared" si="9"/>
        <v>45852</v>
      </c>
      <c r="F11" s="4">
        <f t="shared" si="9"/>
        <v>46217</v>
      </c>
      <c r="G11" s="4">
        <f t="shared" si="9"/>
        <v>46582</v>
      </c>
      <c r="H11" s="4">
        <f t="shared" si="9"/>
        <v>46948</v>
      </c>
      <c r="I11" s="4">
        <f t="shared" si="9"/>
        <v>47313</v>
      </c>
      <c r="J11" s="4">
        <f t="shared" si="9"/>
        <v>47678</v>
      </c>
      <c r="K11" s="4">
        <f t="shared" si="9"/>
        <v>48043</v>
      </c>
      <c r="L11" s="4">
        <f t="shared" si="9"/>
        <v>48409</v>
      </c>
      <c r="M11" s="4">
        <f t="shared" si="9"/>
        <v>48774</v>
      </c>
      <c r="N11" s="4">
        <f t="shared" si="9"/>
        <v>49139</v>
      </c>
    </row>
    <row r="12" spans="1:14" ht="16.5" x14ac:dyDescent="0.25">
      <c r="A12" s="3" t="s">
        <v>17</v>
      </c>
      <c r="B12" s="4">
        <f>DATE(B1,8,15)</f>
        <v>44788</v>
      </c>
      <c r="C12" s="4">
        <f>DATE(C1,8,15)</f>
        <v>45153</v>
      </c>
      <c r="D12" s="4">
        <f t="shared" ref="D12:N12" si="10">DATE(D1,8,15)</f>
        <v>45519</v>
      </c>
      <c r="E12" s="4">
        <f t="shared" si="10"/>
        <v>45884</v>
      </c>
      <c r="F12" s="4">
        <f t="shared" si="10"/>
        <v>46249</v>
      </c>
      <c r="G12" s="4">
        <f t="shared" si="10"/>
        <v>46614</v>
      </c>
      <c r="H12" s="4">
        <f t="shared" si="10"/>
        <v>46980</v>
      </c>
      <c r="I12" s="4">
        <f t="shared" si="10"/>
        <v>47345</v>
      </c>
      <c r="J12" s="4">
        <f t="shared" si="10"/>
        <v>47710</v>
      </c>
      <c r="K12" s="4">
        <f t="shared" si="10"/>
        <v>48075</v>
      </c>
      <c r="L12" s="4">
        <f t="shared" si="10"/>
        <v>48441</v>
      </c>
      <c r="M12" s="4">
        <f t="shared" si="10"/>
        <v>48806</v>
      </c>
      <c r="N12" s="4">
        <f t="shared" si="10"/>
        <v>49171</v>
      </c>
    </row>
    <row r="13" spans="1:14" ht="16.5" x14ac:dyDescent="0.25">
      <c r="A13" s="3" t="s">
        <v>18</v>
      </c>
      <c r="B13" s="4">
        <f>DATE(B1,11,1)</f>
        <v>44866</v>
      </c>
      <c r="C13" s="4">
        <f>DATE(C1,11,1)</f>
        <v>45231</v>
      </c>
      <c r="D13" s="4">
        <f t="shared" ref="D13:N13" si="11">DATE(D1,11,1)</f>
        <v>45597</v>
      </c>
      <c r="E13" s="4">
        <f t="shared" si="11"/>
        <v>45962</v>
      </c>
      <c r="F13" s="4">
        <f t="shared" si="11"/>
        <v>46327</v>
      </c>
      <c r="G13" s="4">
        <f t="shared" si="11"/>
        <v>46692</v>
      </c>
      <c r="H13" s="4">
        <f t="shared" si="11"/>
        <v>47058</v>
      </c>
      <c r="I13" s="4">
        <f t="shared" si="11"/>
        <v>47423</v>
      </c>
      <c r="J13" s="4">
        <f t="shared" si="11"/>
        <v>47788</v>
      </c>
      <c r="K13" s="4">
        <f t="shared" si="11"/>
        <v>48153</v>
      </c>
      <c r="L13" s="4">
        <f t="shared" si="11"/>
        <v>48519</v>
      </c>
      <c r="M13" s="4">
        <f t="shared" si="11"/>
        <v>48884</v>
      </c>
      <c r="N13" s="4">
        <f t="shared" si="11"/>
        <v>49249</v>
      </c>
    </row>
    <row r="14" spans="1:14" ht="16.5" x14ac:dyDescent="0.25">
      <c r="A14" s="3" t="s">
        <v>19</v>
      </c>
      <c r="B14" s="4">
        <f>DATE(B1,11,11)</f>
        <v>44876</v>
      </c>
      <c r="C14" s="4">
        <f>DATE(C1,11,11)</f>
        <v>45241</v>
      </c>
      <c r="D14" s="4">
        <f t="shared" ref="D14:N14" si="12">DATE(D1,11,11)</f>
        <v>45607</v>
      </c>
      <c r="E14" s="4">
        <f t="shared" si="12"/>
        <v>45972</v>
      </c>
      <c r="F14" s="4">
        <f t="shared" si="12"/>
        <v>46337</v>
      </c>
      <c r="G14" s="4">
        <f t="shared" si="12"/>
        <v>46702</v>
      </c>
      <c r="H14" s="4">
        <f t="shared" si="12"/>
        <v>47068</v>
      </c>
      <c r="I14" s="4">
        <f t="shared" si="12"/>
        <v>47433</v>
      </c>
      <c r="J14" s="4">
        <f t="shared" si="12"/>
        <v>47798</v>
      </c>
      <c r="K14" s="4">
        <f t="shared" si="12"/>
        <v>48163</v>
      </c>
      <c r="L14" s="4">
        <f t="shared" si="12"/>
        <v>48529</v>
      </c>
      <c r="M14" s="4">
        <f t="shared" si="12"/>
        <v>48894</v>
      </c>
      <c r="N14" s="4">
        <f t="shared" si="12"/>
        <v>49259</v>
      </c>
    </row>
    <row r="15" spans="1:14" ht="16.5" x14ac:dyDescent="0.25">
      <c r="A15" s="3" t="s">
        <v>20</v>
      </c>
      <c r="B15" s="4">
        <f>DATE(B1,12,25)</f>
        <v>44920</v>
      </c>
      <c r="C15" s="4">
        <f t="shared" ref="C15:N15" si="13">DATE(C1,12,25)</f>
        <v>45285</v>
      </c>
      <c r="D15" s="4">
        <f t="shared" si="13"/>
        <v>45651</v>
      </c>
      <c r="E15" s="4">
        <f t="shared" si="13"/>
        <v>46016</v>
      </c>
      <c r="F15" s="4">
        <f t="shared" si="13"/>
        <v>46381</v>
      </c>
      <c r="G15" s="4">
        <f t="shared" si="13"/>
        <v>46746</v>
      </c>
      <c r="H15" s="4">
        <f t="shared" si="13"/>
        <v>47112</v>
      </c>
      <c r="I15" s="4">
        <f t="shared" si="13"/>
        <v>47477</v>
      </c>
      <c r="J15" s="4">
        <f t="shared" si="13"/>
        <v>47842</v>
      </c>
      <c r="K15" s="4">
        <f t="shared" si="13"/>
        <v>48207</v>
      </c>
      <c r="L15" s="4">
        <f t="shared" si="13"/>
        <v>48573</v>
      </c>
      <c r="M15" s="4">
        <f t="shared" si="13"/>
        <v>48938</v>
      </c>
      <c r="N15" s="4">
        <f t="shared" si="13"/>
        <v>49303</v>
      </c>
    </row>
    <row r="16" spans="1:14" ht="16.5" x14ac:dyDescent="0.25">
      <c r="A16" s="9" t="s">
        <v>65</v>
      </c>
      <c r="B16" s="10">
        <v>44692</v>
      </c>
      <c r="C16" s="10">
        <v>44699</v>
      </c>
      <c r="D16" s="10">
        <f t="shared" ref="D16:N16" si="14">DATE(D1,12,25)</f>
        <v>45651</v>
      </c>
      <c r="E16" s="10">
        <f t="shared" si="14"/>
        <v>46016</v>
      </c>
      <c r="F16" s="10">
        <f t="shared" si="14"/>
        <v>46381</v>
      </c>
      <c r="G16" s="10">
        <f t="shared" si="14"/>
        <v>46746</v>
      </c>
      <c r="H16" s="10">
        <f t="shared" si="14"/>
        <v>47112</v>
      </c>
      <c r="I16" s="10">
        <f t="shared" si="14"/>
        <v>47477</v>
      </c>
      <c r="J16" s="10">
        <f t="shared" si="14"/>
        <v>47842</v>
      </c>
      <c r="K16" s="10">
        <f t="shared" si="14"/>
        <v>48207</v>
      </c>
      <c r="L16" s="10">
        <f t="shared" si="14"/>
        <v>48573</v>
      </c>
      <c r="M16" s="10">
        <f t="shared" si="14"/>
        <v>48938</v>
      </c>
      <c r="N16" s="10">
        <f t="shared" si="14"/>
        <v>49303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Blad2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Thibaud (FRA-OPQ)</dc:creator>
  <cp:lastModifiedBy>BSA</cp:lastModifiedBy>
  <dcterms:created xsi:type="dcterms:W3CDTF">2022-06-04T13:10:18Z</dcterms:created>
  <dcterms:modified xsi:type="dcterms:W3CDTF">2022-06-04T14:18:27Z</dcterms:modified>
</cp:coreProperties>
</file>