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4191362\Desktop\"/>
    </mc:Choice>
  </mc:AlternateContent>
  <xr:revisionPtr revIDLastSave="0" documentId="13_ncr:1_{80547FF4-909C-4A50-8AE5-822E6A20D8FC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Analyse de dérive d'une sonde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49" i="1" l="1" a="1"/>
  <c r="N49" i="1" s="1"/>
  <c r="I49" i="1" a="1"/>
  <c r="I49" i="1" s="1"/>
  <c r="I48" i="1"/>
  <c r="N48" i="1"/>
  <c r="I20" i="1" a="1"/>
  <c r="I20" i="1" s="1"/>
  <c r="N20" i="1" a="1"/>
  <c r="N20" i="1" s="1"/>
  <c r="N50" i="1"/>
  <c r="D46" i="1" l="1"/>
  <c r="D17" i="1"/>
  <c r="C17" i="1" s="1"/>
  <c r="C30" i="1"/>
  <c r="C46" i="1" l="1"/>
  <c r="B17" i="1"/>
  <c r="B46" i="1"/>
  <c r="D27" i="1"/>
  <c r="C49" i="1" l="1"/>
  <c r="C20" i="1"/>
  <c r="E46" i="1"/>
  <c r="D58" i="1"/>
  <c r="D57" i="1"/>
  <c r="D28" i="1"/>
  <c r="B19" i="1" s="1"/>
  <c r="C50" i="1" l="1"/>
  <c r="B48" i="1"/>
  <c r="C21" i="1"/>
  <c r="F46" i="1"/>
  <c r="E17" i="1"/>
  <c r="F17" i="1" l="1"/>
  <c r="G46" i="1"/>
  <c r="T15" i="1"/>
  <c r="H46" i="1" l="1"/>
  <c r="G17" i="1"/>
  <c r="U55" i="1"/>
  <c r="Y54" i="1"/>
  <c r="X16" i="1"/>
  <c r="W54" i="1"/>
  <c r="V54" i="1"/>
  <c r="U54" i="1"/>
  <c r="T55" i="1"/>
  <c r="U16" i="1"/>
  <c r="T16" i="1"/>
  <c r="S16" i="1"/>
  <c r="S15" i="1"/>
  <c r="X54" i="1"/>
  <c r="AE55" i="1"/>
  <c r="AD55" i="1"/>
  <c r="AF54" i="1"/>
  <c r="X55" i="1"/>
  <c r="AF55" i="1"/>
  <c r="AG54" i="1"/>
  <c r="AE54" i="1"/>
  <c r="AA55" i="1"/>
  <c r="AD54" i="1"/>
  <c r="Z55" i="1"/>
  <c r="AC54" i="1"/>
  <c r="Y55" i="1"/>
  <c r="AB54" i="1"/>
  <c r="AA54" i="1"/>
  <c r="W55" i="1"/>
  <c r="S54" i="1"/>
  <c r="W16" i="1"/>
  <c r="Z54" i="1"/>
  <c r="V55" i="1"/>
  <c r="T54" i="1"/>
  <c r="S55" i="1"/>
  <c r="AH55" i="1"/>
  <c r="AG55" i="1"/>
  <c r="AH54" i="1"/>
  <c r="AC55" i="1"/>
  <c r="AB55" i="1"/>
  <c r="V16" i="1"/>
  <c r="AH15" i="1"/>
  <c r="AD15" i="1"/>
  <c r="AG16" i="1"/>
  <c r="AF16" i="1"/>
  <c r="AB15" i="1"/>
  <c r="AA15" i="1"/>
  <c r="Z15" i="1"/>
  <c r="AC16" i="1"/>
  <c r="Y15" i="1"/>
  <c r="AA16" i="1"/>
  <c r="W15" i="1"/>
  <c r="Z16" i="1"/>
  <c r="V15" i="1"/>
  <c r="AG15" i="1"/>
  <c r="AF15" i="1"/>
  <c r="AE15" i="1"/>
  <c r="AH16" i="1"/>
  <c r="AC15" i="1"/>
  <c r="AE16" i="1"/>
  <c r="AD16" i="1"/>
  <c r="AB16" i="1"/>
  <c r="X15" i="1"/>
  <c r="Y16" i="1"/>
  <c r="U15" i="1"/>
  <c r="H17" i="1" l="1"/>
  <c r="I46" i="1"/>
  <c r="J46" i="1" l="1"/>
  <c r="J49" i="1" s="1" a="1"/>
  <c r="J49" i="1" s="1"/>
  <c r="I50" i="1"/>
  <c r="I17" i="1"/>
  <c r="J17" i="1" l="1"/>
  <c r="K46" i="1"/>
  <c r="J50" i="1"/>
  <c r="L46" i="1" l="1"/>
  <c r="M46" i="1" s="1"/>
  <c r="N46" i="1" s="1"/>
  <c r="O46" i="1" s="1"/>
  <c r="K17" i="1"/>
  <c r="P46" i="1" l="1"/>
  <c r="Q46" i="1" s="1"/>
  <c r="D60" i="1" s="1" a="1"/>
  <c r="D60" i="1" s="1"/>
  <c r="O49" i="1" a="1"/>
  <c r="O49" i="1" s="1"/>
  <c r="O50" i="1" s="1"/>
  <c r="L17" i="1"/>
  <c r="M17" i="1" l="1"/>
  <c r="I21" i="1"/>
  <c r="N17" i="1" l="1"/>
  <c r="O17" i="1" l="1"/>
  <c r="N21" i="1"/>
  <c r="P17" i="1" l="1"/>
  <c r="Q17" i="1" l="1"/>
  <c r="N19" i="1"/>
  <c r="O20" i="1" s="1" a="1"/>
  <c r="O20" i="1" s="1"/>
  <c r="O21" i="1" s="1"/>
  <c r="D30" i="1" l="1" a="1"/>
  <c r="D30" i="1" s="1"/>
  <c r="I19" i="1"/>
  <c r="J20" i="1" l="1" a="1"/>
  <c r="J20" i="1" s="1"/>
  <c r="J21" i="1" s="1"/>
  <c r="G48" i="1"/>
  <c r="H49" i="1" s="1" a="1"/>
  <c r="H49" i="1" s="1"/>
  <c r="H50" i="1" s="1"/>
  <c r="G49" i="1" a="1"/>
  <c r="G49" i="1" s="1"/>
  <c r="G50" i="1"/>
  <c r="G19" i="1" l="1"/>
  <c r="H20" i="1" s="1" a="1"/>
  <c r="H20" i="1" s="1"/>
  <c r="H21" i="1" s="1"/>
  <c r="G20" i="1" a="1"/>
  <c r="G20" i="1" s="1"/>
  <c r="G21" i="1"/>
  <c r="Q19" i="1"/>
  <c r="Q20" i="1" a="1"/>
  <c r="Q20" i="1"/>
  <c r="Q21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C19" i="1"/>
  <c r="D19" i="1"/>
  <c r="E19" i="1"/>
  <c r="F19" i="1"/>
  <c r="H19" i="1"/>
  <c r="J19" i="1"/>
  <c r="K19" i="1"/>
  <c r="L19" i="1"/>
  <c r="M19" i="1"/>
  <c r="O19" i="1"/>
  <c r="P19" i="1"/>
  <c r="D20" i="1" a="1"/>
  <c r="D20" i="1"/>
  <c r="E20" i="1" a="1"/>
  <c r="E20" i="1"/>
  <c r="F20" i="1" a="1"/>
  <c r="F20" i="1"/>
  <c r="K20" i="1" a="1"/>
  <c r="K20" i="1"/>
  <c r="L20" i="1" a="1"/>
  <c r="L20" i="1"/>
  <c r="M20" i="1" a="1"/>
  <c r="M20" i="1"/>
  <c r="P20" i="1" a="1"/>
  <c r="P20" i="1"/>
  <c r="D21" i="1"/>
  <c r="E21" i="1"/>
  <c r="F21" i="1"/>
  <c r="K21" i="1"/>
  <c r="L21" i="1"/>
  <c r="M21" i="1"/>
  <c r="P21" i="1"/>
  <c r="H28" i="1" a="1"/>
  <c r="H28" i="1"/>
  <c r="L28" i="1"/>
  <c r="L29" i="1"/>
  <c r="D31" i="1"/>
  <c r="D32" i="1"/>
  <c r="C48" i="1"/>
  <c r="D48" i="1"/>
  <c r="E48" i="1"/>
  <c r="F48" i="1"/>
  <c r="H48" i="1"/>
  <c r="J48" i="1"/>
  <c r="K48" i="1"/>
  <c r="L48" i="1"/>
  <c r="M48" i="1"/>
  <c r="O48" i="1"/>
  <c r="P48" i="1"/>
  <c r="Q48" i="1"/>
  <c r="D49" i="1" a="1"/>
  <c r="D49" i="1"/>
  <c r="E49" i="1" a="1"/>
  <c r="E49" i="1"/>
  <c r="F49" i="1" a="1"/>
  <c r="F49" i="1"/>
  <c r="K49" i="1" a="1"/>
  <c r="K49" i="1"/>
  <c r="L49" i="1" a="1"/>
  <c r="L49" i="1"/>
  <c r="M49" i="1" a="1"/>
  <c r="M49" i="1"/>
  <c r="P49" i="1" a="1"/>
  <c r="P49" i="1"/>
  <c r="Q49" i="1" a="1"/>
  <c r="Q49" i="1"/>
  <c r="D50" i="1"/>
  <c r="E50" i="1"/>
  <c r="F50" i="1"/>
  <c r="K50" i="1"/>
  <c r="L50" i="1"/>
  <c r="M50" i="1"/>
  <c r="P50" i="1"/>
  <c r="Q50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H58" i="1" a="1"/>
  <c r="H58" i="1"/>
  <c r="L58" i="1"/>
  <c r="L59" i="1"/>
  <c r="D61" i="1"/>
  <c r="D6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<sst xmlns="http://schemas.openxmlformats.org/spreadsheetml/2006/main" count="39" uniqueCount="29">
  <si>
    <t>Analyse de dérive d'une sonde</t>
  </si>
  <si>
    <t>Type d’unité surveillée :</t>
  </si>
  <si>
    <r>
      <t>N° identification de l’unité surveillée:</t>
    </r>
    <r>
      <rPr>
        <sz val="10"/>
        <color indexed="8"/>
        <rFont val="Arial"/>
        <family val="2"/>
      </rPr>
      <t xml:space="preserve">  </t>
    </r>
  </si>
  <si>
    <t xml:space="preserve">N° identification de la sonde : </t>
  </si>
  <si>
    <t>Grandeur de consigne :</t>
  </si>
  <si>
    <t>Unité surveillée</t>
  </si>
  <si>
    <t>Sonde</t>
  </si>
  <si>
    <t>(index)</t>
  </si>
  <si>
    <t>Année de mise en service :</t>
  </si>
  <si>
    <t>Année</t>
  </si>
  <si>
    <t>Conclusion</t>
  </si>
  <si>
    <t xml:space="preserve">Bornes de conformité de la sonde </t>
  </si>
  <si>
    <r>
      <t>+ EMT</t>
    </r>
    <r>
      <rPr>
        <vertAlign val="subscript"/>
        <sz val="11"/>
        <color theme="1"/>
        <rFont val="Calibri"/>
        <family val="2"/>
        <scheme val="minor"/>
      </rPr>
      <t>sonde</t>
    </r>
    <r>
      <rPr>
        <sz val="11"/>
        <color theme="1"/>
        <rFont val="Calibri"/>
        <family val="2"/>
        <scheme val="minor"/>
      </rPr>
      <t xml:space="preserve"> </t>
    </r>
  </si>
  <si>
    <r>
      <t>- EMT</t>
    </r>
    <r>
      <rPr>
        <vertAlign val="subscript"/>
        <sz val="11"/>
        <color theme="1"/>
        <rFont val="Calibri"/>
        <family val="2"/>
        <scheme val="minor"/>
      </rPr>
      <t>sonde</t>
    </r>
  </si>
  <si>
    <t>Erreur maximale de la sonde</t>
  </si>
  <si>
    <r>
      <t xml:space="preserve">Attention : Penser à remplir le tableau de dérive des valeures </t>
    </r>
    <r>
      <rPr>
        <b/>
        <u/>
        <sz val="14"/>
        <color rgb="FFFF0000"/>
        <rFont val="Calibri"/>
        <family val="2"/>
        <scheme val="minor"/>
      </rPr>
      <t>hautes</t>
    </r>
    <r>
      <rPr>
        <sz val="14"/>
        <color rgb="FFFF0000"/>
        <rFont val="Calibri"/>
        <family val="2"/>
        <scheme val="minor"/>
      </rPr>
      <t xml:space="preserve"> et </t>
    </r>
    <r>
      <rPr>
        <b/>
        <u/>
        <sz val="14"/>
        <color rgb="FFFF0000"/>
        <rFont val="Calibri"/>
        <family val="2"/>
        <scheme val="minor"/>
      </rPr>
      <t>basses</t>
    </r>
  </si>
  <si>
    <t>Pente entre les 2 derniers étalonnage</t>
  </si>
  <si>
    <t xml:space="preserve">EMT de l'unité surveillée :  </t>
  </si>
  <si>
    <r>
      <t>+ EMT</t>
    </r>
    <r>
      <rPr>
        <vertAlign val="subscript"/>
        <sz val="11"/>
        <color theme="1"/>
        <rFont val="Calibri"/>
        <family val="2"/>
        <scheme val="minor"/>
      </rPr>
      <t>sonde</t>
    </r>
    <r>
      <rPr>
        <sz val="11"/>
        <color theme="1"/>
        <rFont val="Calibri"/>
        <family val="2"/>
        <scheme val="minor"/>
      </rPr>
      <t xml:space="preserve"> - 2 x </t>
    </r>
    <r>
      <rPr>
        <sz val="8"/>
        <color theme="1"/>
        <rFont val="Calibri"/>
        <family val="2"/>
        <scheme val="minor"/>
      </rPr>
      <t>dérive entre 2 étalonnages</t>
    </r>
  </si>
  <si>
    <r>
      <t>- EMT</t>
    </r>
    <r>
      <rPr>
        <vertAlign val="subscript"/>
        <sz val="11"/>
        <color theme="1"/>
        <rFont val="Calibri"/>
        <family val="2"/>
        <scheme val="minor"/>
      </rPr>
      <t>sonde</t>
    </r>
    <r>
      <rPr>
        <sz val="11"/>
        <color theme="1"/>
        <rFont val="Calibri"/>
        <family val="2"/>
        <scheme val="minor"/>
      </rPr>
      <t xml:space="preserve"> + 2 x </t>
    </r>
    <r>
      <rPr>
        <sz val="8"/>
        <color theme="1"/>
        <rFont val="Calibri"/>
        <family val="2"/>
        <scheme val="minor"/>
      </rPr>
      <t>dérive entre 2 étalonnages</t>
    </r>
  </si>
  <si>
    <r>
      <t>+ EMT</t>
    </r>
    <r>
      <rPr>
        <vertAlign val="subscript"/>
        <sz val="11"/>
        <color theme="1"/>
        <rFont val="Calibri"/>
        <family val="2"/>
        <scheme val="minor"/>
      </rPr>
      <t>sonde</t>
    </r>
    <r>
      <rPr>
        <sz val="11"/>
        <color theme="1"/>
        <rFont val="Calibri"/>
        <family val="2"/>
        <scheme val="minor"/>
      </rPr>
      <t xml:space="preserve"> - </t>
    </r>
    <r>
      <rPr>
        <sz val="8"/>
        <color theme="1"/>
        <rFont val="Calibri"/>
        <family val="2"/>
        <scheme val="minor"/>
      </rPr>
      <t>2 x dérive entre 2 étalonnages</t>
    </r>
  </si>
  <si>
    <r>
      <t>- EMT</t>
    </r>
    <r>
      <rPr>
        <vertAlign val="subscript"/>
        <sz val="11"/>
        <color theme="1"/>
        <rFont val="Calibri"/>
        <family val="2"/>
        <scheme val="minor"/>
      </rPr>
      <t>sonde</t>
    </r>
    <r>
      <rPr>
        <sz val="11"/>
        <color theme="1"/>
        <rFont val="Calibri"/>
        <family val="2"/>
        <scheme val="minor"/>
      </rPr>
      <t xml:space="preserve"> + </t>
    </r>
    <r>
      <rPr>
        <sz val="8"/>
        <color theme="1"/>
        <rFont val="Calibri"/>
        <family val="2"/>
        <scheme val="minor"/>
      </rPr>
      <t>2 x dérive entre 2 étalonnages</t>
    </r>
  </si>
  <si>
    <t>2 étalonnages nécessaires avant de calculer une pente.</t>
  </si>
  <si>
    <t>Société réalisant l'étalonnage :</t>
  </si>
  <si>
    <t>Bornes d'alerte de la sonde  / an</t>
  </si>
  <si>
    <t xml:space="preserve">Bornes d'alerte de la sonde en </t>
  </si>
  <si>
    <t xml:space="preserve">Suivi de la dérive : Valeur haute </t>
  </si>
  <si>
    <t>Suivi de la dérive : Valeur basse</t>
  </si>
  <si>
    <t>A remplir si reprise d'antoriorité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</si>
</sst>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33CC"/>
      <name val="Arial"/>
      <family val="2"/>
    </font>
    <font>
      <sz val="11"/>
      <name val="Arial"/>
      <family val="2"/>
    </font>
    <font>
      <sz val="10"/>
      <name val="Arial"/>
    </font>
    <font>
      <b/>
      <sz val="11"/>
      <color rgb="FFFF0000"/>
      <name val="Arial"/>
      <family val="2"/>
    </font>
    <font>
      <sz val="8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rgb="FF0000FF"/>
      <name val="Calibri"/>
      <family val="2"/>
      <scheme val="minor"/>
    </font>
    <font>
      <b/>
      <u/>
      <sz val="18"/>
      <color rgb="FF0000FF"/>
      <name val="Calibri"/>
      <family val="2"/>
      <scheme val="minor"/>
    </font>
    <font>
      <b/>
      <u/>
      <sz val="20"/>
      <color rgb="FF0000FF"/>
      <name val="Calibri"/>
      <family val="2"/>
      <scheme val="minor"/>
    </font>
    <font>
      <b/>
      <sz val="18"/>
      <color rgb="FF0033CC"/>
      <name val="Arial"/>
      <family val="2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117">
    <xf numFmtId="0" fontId="0" fillId="0" borderId="0" xfId="0"/>
    <xf numFmtId="0" fontId="3" fillId="0" borderId="14" xfId="1" quotePrefix="1" applyFont="1" applyBorder="1" applyAlignment="1" applyProtection="1">
      <alignment horizontal="center"/>
    </xf>
    <xf numFmtId="0" fontId="8" fillId="0" borderId="0" xfId="1" applyBorder="1" applyAlignment="1" applyProtection="1">
      <alignment horizontal="center"/>
    </xf>
    <xf numFmtId="0" fontId="3" fillId="0" borderId="14" xfId="1" applyFont="1" applyBorder="1" applyAlignment="1" applyProtection="1">
      <alignment horizontal="center"/>
    </xf>
    <xf numFmtId="0" fontId="8" fillId="0" borderId="14" xfId="1" applyBorder="1" applyAlignment="1" applyProtection="1">
      <alignment horizontal="center"/>
    </xf>
    <xf numFmtId="0" fontId="3" fillId="0" borderId="0" xfId="1" applyFont="1" applyFill="1" applyBorder="1" applyAlignment="1" applyProtection="1">
      <alignment horizontal="center"/>
    </xf>
    <xf numFmtId="0" fontId="5" fillId="2" borderId="0" xfId="1" applyFont="1" applyFill="1" applyBorder="1" applyProtection="1">
      <protection locked="0"/>
    </xf>
    <xf numFmtId="0" fontId="3" fillId="2" borderId="0" xfId="1" applyFont="1" applyFill="1" applyBorder="1" applyAlignment="1" applyProtection="1">
      <alignment horizontal="center"/>
      <protection locked="0"/>
    </xf>
    <xf numFmtId="0" fontId="2" fillId="0" borderId="11" xfId="1" applyFont="1" applyBorder="1" applyAlignment="1" applyProtection="1">
      <alignment horizontal="center"/>
    </xf>
    <xf numFmtId="0" fontId="2" fillId="0" borderId="12" xfId="1" applyFont="1" applyBorder="1" applyAlignment="1" applyProtection="1">
      <alignment horizontal="center"/>
    </xf>
    <xf numFmtId="0" fontId="2" fillId="0" borderId="10" xfId="1" applyFont="1" applyBorder="1" applyAlignment="1" applyProtection="1">
      <alignment horizontal="center"/>
    </xf>
    <xf numFmtId="0" fontId="5" fillId="0" borderId="0" xfId="1" applyFont="1" applyFill="1" applyBorder="1" applyProtection="1"/>
    <xf numFmtId="0" fontId="5" fillId="0" borderId="0" xfId="1" applyFont="1" applyBorder="1" applyProtection="1"/>
    <xf numFmtId="0" fontId="3" fillId="0" borderId="16" xfId="1" applyFont="1" applyFill="1" applyBorder="1" applyAlignment="1" applyProtection="1">
      <alignment horizontal="center"/>
    </xf>
    <xf numFmtId="0" fontId="1" fillId="0" borderId="15" xfId="1" applyFont="1" applyBorder="1" applyProtection="1"/>
    <xf numFmtId="0" fontId="3" fillId="0" borderId="16" xfId="1" applyFont="1" applyBorder="1" applyAlignment="1" applyProtection="1">
      <alignment horizontal="center"/>
    </xf>
    <xf numFmtId="0" fontId="3" fillId="0" borderId="17" xfId="1" applyFont="1" applyBorder="1" applyAlignment="1" applyProtection="1">
      <alignment horizontal="center"/>
    </xf>
    <xf numFmtId="0" fontId="0" fillId="0" borderId="3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0" xfId="0" applyBorder="1" applyProtection="1"/>
    <xf numFmtId="0" fontId="7" fillId="0" borderId="0" xfId="0" applyFont="1" applyBorder="1" applyAlignment="1" applyProtection="1">
      <alignment vertical="center" wrapText="1"/>
    </xf>
    <xf numFmtId="0" fontId="0" fillId="0" borderId="13" xfId="0" applyBorder="1" applyProtection="1"/>
    <xf numFmtId="0" fontId="9" fillId="0" borderId="18" xfId="1" applyFont="1" applyFill="1" applyBorder="1" applyAlignment="1" applyProtection="1">
      <alignment horizontal="centerContinuous"/>
    </xf>
    <xf numFmtId="0" fontId="0" fillId="0" borderId="15" xfId="0" applyBorder="1" applyProtection="1"/>
    <xf numFmtId="0" fontId="0" fillId="0" borderId="16" xfId="0" applyBorder="1" applyProtection="1"/>
    <xf numFmtId="0" fontId="0" fillId="0" borderId="14" xfId="0" applyBorder="1" applyProtection="1"/>
    <xf numFmtId="0" fontId="0" fillId="0" borderId="0" xfId="0" applyProtection="1"/>
    <xf numFmtId="0" fontId="0" fillId="0" borderId="20" xfId="0" applyBorder="1" applyProtection="1"/>
    <xf numFmtId="0" fontId="0" fillId="0" borderId="5" xfId="0" applyBorder="1" applyAlignment="1" applyProtection="1">
      <alignment horizontal="center" vertical="center"/>
    </xf>
    <xf numFmtId="1" fontId="0" fillId="0" borderId="0" xfId="0" applyNumberFormat="1" applyBorder="1" applyAlignment="1" applyProtection="1">
      <alignment horizontal="center"/>
    </xf>
    <xf numFmtId="0" fontId="0" fillId="0" borderId="8" xfId="0" applyBorder="1" applyProtection="1"/>
    <xf numFmtId="0" fontId="0" fillId="0" borderId="22" xfId="0" applyBorder="1" applyProtection="1"/>
    <xf numFmtId="0" fontId="0" fillId="0" borderId="23" xfId="0" applyBorder="1" applyProtection="1"/>
    <xf numFmtId="0" fontId="0" fillId="0" borderId="22" xfId="0" applyFont="1" applyBorder="1" applyProtection="1"/>
    <xf numFmtId="0" fontId="0" fillId="0" borderId="7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</xf>
    <xf numFmtId="0" fontId="0" fillId="4" borderId="0" xfId="0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/>
    </xf>
    <xf numFmtId="0" fontId="15" fillId="0" borderId="0" xfId="0" applyFont="1" applyFill="1" applyBorder="1" applyAlignment="1" applyProtection="1">
      <alignment horizontal="left" vertical="center"/>
    </xf>
    <xf numFmtId="0" fontId="1" fillId="2" borderId="0" xfId="1" applyFont="1" applyFill="1" applyBorder="1" applyAlignment="1" applyProtection="1">
      <alignment horizontal="center"/>
      <protection locked="0"/>
    </xf>
    <xf numFmtId="0" fontId="0" fillId="0" borderId="0" xfId="0" quotePrefix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9" xfId="0" applyFont="1" applyBorder="1" applyAlignment="1" applyProtection="1">
      <alignment horizontal="right"/>
    </xf>
    <xf numFmtId="0" fontId="18" fillId="0" borderId="19" xfId="0" applyFont="1" applyBorder="1" applyAlignment="1" applyProtection="1">
      <alignment horizontal="left"/>
    </xf>
    <xf numFmtId="1" fontId="12" fillId="0" borderId="0" xfId="0" applyNumberFormat="1" applyFont="1" applyBorder="1" applyAlignment="1" applyProtection="1">
      <alignment horizontal="center"/>
    </xf>
    <xf numFmtId="0" fontId="19" fillId="0" borderId="0" xfId="0" applyFont="1" applyProtection="1"/>
    <xf numFmtId="0" fontId="20" fillId="0" borderId="0" xfId="0" applyFont="1" applyProtection="1"/>
    <xf numFmtId="0" fontId="1" fillId="0" borderId="0" xfId="1" applyFont="1" applyBorder="1" applyAlignment="1" applyProtection="1">
      <alignment horizontal="center"/>
    </xf>
    <xf numFmtId="0" fontId="1" fillId="0" borderId="9" xfId="1" applyFont="1" applyBorder="1" applyAlignment="1" applyProtection="1">
      <alignment horizontal="left" vertical="center"/>
    </xf>
    <xf numFmtId="0" fontId="0" fillId="0" borderId="9" xfId="0" applyBorder="1" applyProtection="1"/>
    <xf numFmtId="0" fontId="3" fillId="0" borderId="0" xfId="1" applyFont="1" applyBorder="1" applyAlignment="1" applyProtection="1">
      <alignment horizontal="center"/>
    </xf>
    <xf numFmtId="0" fontId="0" fillId="0" borderId="10" xfId="0" applyBorder="1" applyProtection="1"/>
    <xf numFmtId="0" fontId="0" fillId="0" borderId="11" xfId="0" applyBorder="1" applyProtection="1"/>
    <xf numFmtId="0" fontId="1" fillId="0" borderId="12" xfId="1" applyFont="1" applyBorder="1" applyAlignment="1" applyProtection="1">
      <alignment horizontal="centerContinuous"/>
    </xf>
    <xf numFmtId="0" fontId="0" fillId="0" borderId="2" xfId="0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16" fillId="0" borderId="0" xfId="0" applyFont="1" applyProtection="1"/>
    <xf numFmtId="2" fontId="16" fillId="0" borderId="0" xfId="0" applyNumberFormat="1" applyFont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center"/>
    </xf>
    <xf numFmtId="2" fontId="0" fillId="0" borderId="3" xfId="0" applyNumberFormat="1" applyBorder="1" applyAlignment="1" applyProtection="1">
      <alignment horizontal="center" vertical="center"/>
    </xf>
    <xf numFmtId="2" fontId="0" fillId="0" borderId="6" xfId="0" applyNumberFormat="1" applyBorder="1" applyAlignment="1" applyProtection="1">
      <alignment horizontal="center" vertical="center"/>
    </xf>
    <xf numFmtId="0" fontId="1" fillId="0" borderId="13" xfId="1" applyFont="1" applyBorder="1" applyAlignment="1" applyProtection="1">
      <alignment horizontal="right"/>
    </xf>
    <xf numFmtId="0" fontId="13" fillId="0" borderId="0" xfId="0" applyFont="1" applyAlignment="1" applyProtection="1">
      <alignment horizontal="center" vertical="center"/>
    </xf>
    <xf numFmtId="0" fontId="6" fillId="0" borderId="20" xfId="0" applyFont="1" applyBorder="1" applyAlignment="1" applyProtection="1">
      <alignment horizontal="center" vertical="top" wrapText="1"/>
    </xf>
    <xf numFmtId="0" fontId="5" fillId="0" borderId="0" xfId="1" applyFont="1" applyFill="1" applyBorder="1" applyAlignment="1" applyProtection="1">
      <alignment horizontal="center"/>
      <protection locked="0"/>
    </xf>
    <xf numFmtId="0" fontId="0" fillId="0" borderId="7" xfId="0" applyFill="1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0" borderId="23" xfId="0" applyBorder="1" applyAlignment="1" applyProtection="1">
      <alignment horizontal="left" vertical="center"/>
    </xf>
    <xf numFmtId="0" fontId="22" fillId="2" borderId="0" xfId="1" applyFont="1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2" xfId="0" applyFill="1" applyBorder="1" applyAlignment="1" applyProtection="1">
      <alignment horizontal="center" vertical="center"/>
      <protection locked="0"/>
    </xf>
    <xf numFmtId="0" fontId="21" fillId="0" borderId="9" xfId="0" applyFont="1" applyBorder="1" applyAlignment="1" applyProtection="1">
      <alignment horizontal="center" vertical="center" wrapText="1"/>
    </xf>
    <xf numFmtId="0" fontId="21" fillId="0" borderId="18" xfId="0" applyFont="1" applyBorder="1" applyAlignment="1" applyProtection="1">
      <alignment horizontal="center" vertical="center" wrapText="1"/>
    </xf>
    <xf numFmtId="0" fontId="21" fillId="0" borderId="19" xfId="0" applyFont="1" applyBorder="1" applyAlignment="1" applyProtection="1">
      <alignment horizontal="center" vertical="center" wrapText="1"/>
    </xf>
    <xf numFmtId="0" fontId="2" fillId="0" borderId="9" xfId="0" applyFont="1" applyBorder="1" applyAlignment="1" applyProtection="1">
      <alignment horizontal="center" vertical="center"/>
    </xf>
    <xf numFmtId="0" fontId="2" fillId="0" borderId="19" xfId="0" applyFont="1" applyBorder="1" applyAlignment="1" applyProtection="1">
      <alignment horizontal="center" vertical="center"/>
    </xf>
    <xf numFmtId="1" fontId="12" fillId="0" borderId="4" xfId="0" applyNumberFormat="1" applyFont="1" applyBorder="1" applyAlignment="1" applyProtection="1">
      <alignment horizontal="center"/>
    </xf>
    <xf numFmtId="1" fontId="12" fillId="0" borderId="5" xfId="0" applyNumberFormat="1" applyFont="1" applyBorder="1" applyAlignment="1" applyProtection="1">
      <alignment horizontal="center"/>
    </xf>
    <xf numFmtId="1" fontId="12" fillId="0" borderId="6" xfId="0" applyNumberFormat="1" applyFont="1" applyBorder="1" applyAlignment="1" applyProtection="1">
      <alignment horizontal="center"/>
    </xf>
    <xf numFmtId="0" fontId="13" fillId="0" borderId="0" xfId="0" applyFont="1" applyBorder="1" applyAlignment="1" applyProtection="1">
      <alignment horizontal="center" vertical="center"/>
    </xf>
    <xf numFmtId="0" fontId="13" fillId="0" borderId="11" xfId="0" applyFont="1" applyBorder="1" applyAlignment="1" applyProtection="1">
      <alignment horizontal="center" vertical="center"/>
    </xf>
    <xf numFmtId="0" fontId="13" fillId="0" borderId="0" xfId="0" applyFont="1" applyAlignment="1" applyProtection="1">
      <alignment horizontal="center" vertical="center"/>
    </xf>
    <xf numFmtId="0" fontId="23" fillId="5" borderId="1" xfId="0" applyFont="1" applyFill="1" applyBorder="1" applyAlignment="1" applyProtection="1">
      <alignment horizontal="center" vertical="center"/>
    </xf>
    <xf numFmtId="0" fontId="23" fillId="5" borderId="2" xfId="0" applyFont="1" applyFill="1" applyBorder="1" applyAlignment="1" applyProtection="1">
      <alignment horizontal="center" vertical="center"/>
    </xf>
    <xf numFmtId="0" fontId="23" fillId="5" borderId="3" xfId="0" applyFont="1" applyFill="1" applyBorder="1" applyAlignment="1" applyProtection="1">
      <alignment horizontal="center" vertical="center"/>
    </xf>
    <xf numFmtId="0" fontId="1" fillId="0" borderId="9" xfId="1" applyFont="1" applyBorder="1" applyAlignment="1" applyProtection="1">
      <alignment horizontal="center"/>
    </xf>
    <xf numFmtId="0" fontId="1" fillId="0" borderId="18" xfId="1" applyFont="1" applyBorder="1" applyAlignment="1" applyProtection="1">
      <alignment horizontal="center"/>
    </xf>
    <xf numFmtId="0" fontId="1" fillId="0" borderId="19" xfId="1" applyFont="1" applyBorder="1" applyAlignment="1" applyProtection="1">
      <alignment horizontal="center"/>
    </xf>
    <xf numFmtId="0" fontId="1" fillId="0" borderId="0" xfId="1" applyFont="1" applyBorder="1" applyAlignment="1" applyProtection="1">
      <alignment horizontal="right"/>
    </xf>
    <xf numFmtId="0" fontId="1" fillId="0" borderId="13" xfId="1" applyFont="1" applyFill="1" applyBorder="1" applyAlignment="1" applyProtection="1">
      <alignment horizontal="right"/>
    </xf>
    <xf numFmtId="0" fontId="1" fillId="0" borderId="0" xfId="1" applyFont="1" applyFill="1" applyBorder="1" applyAlignment="1" applyProtection="1">
      <alignment horizontal="right"/>
    </xf>
    <xf numFmtId="0" fontId="2" fillId="0" borderId="9" xfId="1" applyFont="1" applyBorder="1" applyAlignment="1" applyProtection="1">
      <alignment horizontal="center"/>
    </xf>
    <xf numFmtId="0" fontId="2" fillId="0" borderId="18" xfId="1" applyFont="1" applyBorder="1" applyAlignment="1" applyProtection="1">
      <alignment horizontal="center"/>
    </xf>
    <xf numFmtId="0" fontId="2" fillId="0" borderId="19" xfId="1" applyFont="1" applyBorder="1" applyAlignment="1" applyProtection="1">
      <alignment horizontal="center"/>
    </xf>
    <xf numFmtId="0" fontId="1" fillId="0" borderId="13" xfId="1" applyFont="1" applyBorder="1" applyAlignment="1" applyProtection="1">
      <alignment horizontal="right"/>
    </xf>
    <xf numFmtId="0" fontId="0" fillId="0" borderId="1" xfId="0" quotePrefix="1" applyBorder="1" applyAlignment="1" applyProtection="1">
      <alignment horizontal="center" vertical="center"/>
    </xf>
    <xf numFmtId="0" fontId="0" fillId="0" borderId="2" xfId="0" quotePrefix="1" applyBorder="1" applyAlignment="1" applyProtection="1">
      <alignment horizontal="center" vertical="center"/>
    </xf>
    <xf numFmtId="0" fontId="0" fillId="0" borderId="4" xfId="0" quotePrefix="1" applyBorder="1" applyAlignment="1" applyProtection="1">
      <alignment horizontal="center" vertical="center"/>
    </xf>
    <xf numFmtId="0" fontId="0" fillId="0" borderId="5" xfId="0" quotePrefix="1" applyBorder="1" applyAlignment="1" applyProtection="1">
      <alignment horizontal="center" vertical="center"/>
    </xf>
    <xf numFmtId="0" fontId="2" fillId="2" borderId="18" xfId="1" applyFont="1" applyFill="1" applyBorder="1" applyAlignment="1" applyProtection="1">
      <alignment horizontal="center"/>
      <protection locked="0"/>
    </xf>
    <xf numFmtId="0" fontId="2" fillId="2" borderId="19" xfId="1" applyFont="1" applyFill="1" applyBorder="1" applyAlignment="1" applyProtection="1">
      <alignment horizontal="center"/>
      <protection locked="0"/>
    </xf>
    <xf numFmtId="0" fontId="17" fillId="0" borderId="10" xfId="0" applyFont="1" applyBorder="1" applyAlignment="1" applyProtection="1">
      <alignment horizontal="center" vertical="center" wrapText="1"/>
    </xf>
    <xf numFmtId="0" fontId="17" fillId="0" borderId="11" xfId="0" applyFont="1" applyBorder="1" applyAlignment="1" applyProtection="1">
      <alignment horizontal="center" vertical="center" wrapText="1"/>
    </xf>
    <xf numFmtId="0" fontId="17" fillId="0" borderId="12" xfId="0" applyFont="1" applyBorder="1" applyAlignment="1" applyProtection="1">
      <alignment horizontal="center" vertical="center" wrapText="1"/>
    </xf>
    <xf numFmtId="0" fontId="17" fillId="0" borderId="13" xfId="0" applyFont="1" applyBorder="1" applyAlignment="1" applyProtection="1">
      <alignment horizontal="center" vertical="center" wrapText="1"/>
    </xf>
    <xf numFmtId="0" fontId="17" fillId="0" borderId="0" xfId="0" applyFont="1" applyBorder="1" applyAlignment="1" applyProtection="1">
      <alignment horizontal="center" vertical="center" wrapText="1"/>
    </xf>
    <xf numFmtId="0" fontId="17" fillId="0" borderId="14" xfId="0" applyFont="1" applyBorder="1" applyAlignment="1" applyProtection="1">
      <alignment horizontal="center" vertical="center" wrapText="1"/>
    </xf>
    <xf numFmtId="0" fontId="0" fillId="5" borderId="9" xfId="0" applyFill="1" applyBorder="1" applyAlignment="1" applyProtection="1">
      <alignment horizontal="center" vertical="center"/>
    </xf>
    <xf numFmtId="0" fontId="0" fillId="5" borderId="19" xfId="0" applyFill="1" applyBorder="1" applyAlignment="1" applyProtection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61"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3B3B"/>
        </patternFill>
      </fill>
    </dxf>
    <dxf>
      <fill>
        <patternFill>
          <bgColor rgb="FFFFCD2F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3B3B"/>
        </patternFill>
      </fill>
    </dxf>
    <dxf>
      <fill>
        <patternFill>
          <bgColor rgb="FFFFCD2F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3B3B"/>
        </patternFill>
      </fill>
    </dxf>
    <dxf>
      <fill>
        <patternFill>
          <bgColor rgb="FFFFCD2F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3B3B"/>
        </patternFill>
      </fill>
    </dxf>
    <dxf>
      <fill>
        <patternFill>
          <bgColor rgb="FFFFCD2F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</dxfs>
  <tableStyles count="0" defaultTableStyle="TableStyleMedium2" defaultPivotStyle="PivotStyleLight16"/>
  <colors>
    <mruColors>
      <color rgb="FFFF3B3B"/>
      <color rgb="FFFFCD2F"/>
      <color rgb="FFA6D86E"/>
      <color rgb="FF0000FF"/>
      <color rgb="FFFFFFCC"/>
      <color rgb="FFF20000"/>
      <color rgb="FFCC0000"/>
      <color rgb="FFFFCCCC"/>
      <color rgb="FFCCE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5952941270428635E-2"/>
          <c:y val="1.6955554160233942E-2"/>
          <c:w val="0.88142700015729014"/>
          <c:h val="0.91243783838670012"/>
        </c:manualLayout>
      </c:layout>
      <c:scatterChart>
        <c:scatterStyle val="lineMarker"/>
        <c:varyColors val="0"/>
        <c:ser>
          <c:idx val="0"/>
          <c:order val="0"/>
          <c:tx>
            <c:v>EMT bas de la sonde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'Analyse de dérive d''une sonde'!$B$17:$Q$17</c:f>
              <c:numCache>
                <c:formatCode>General</c:formatCode>
                <c:ptCount val="16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  <c:pt idx="13">
                  <c:v>2036</c:v>
                </c:pt>
                <c:pt idx="14">
                  <c:v>2037</c:v>
                </c:pt>
                <c:pt idx="15">
                  <c:v>2038</c:v>
                </c:pt>
              </c:numCache>
            </c:numRef>
          </c:xVal>
          <c:yVal>
            <c:numRef>
              <c:f>'Analyse de dérive d''une sonde'!$B$18:$Q$18</c:f>
              <c:numCache>
                <c:formatCode>General</c:formatCode>
                <c:ptCount val="16"/>
                <c:pt idx="0">
                  <c:v>0.18</c:v>
                </c:pt>
                <c:pt idx="1">
                  <c:v>0.19</c:v>
                </c:pt>
                <c:pt idx="2">
                  <c:v>0.19</c:v>
                </c:pt>
                <c:pt idx="3">
                  <c:v>0.2</c:v>
                </c:pt>
                <c:pt idx="4">
                  <c:v>0.27</c:v>
                </c:pt>
                <c:pt idx="6">
                  <c:v>0.26</c:v>
                </c:pt>
                <c:pt idx="8">
                  <c:v>0.4</c:v>
                </c:pt>
                <c:pt idx="9">
                  <c:v>0.22</c:v>
                </c:pt>
                <c:pt idx="10">
                  <c:v>0.25</c:v>
                </c:pt>
                <c:pt idx="11">
                  <c:v>0.28000000000000003</c:v>
                </c:pt>
                <c:pt idx="13">
                  <c:v>0.35</c:v>
                </c:pt>
                <c:pt idx="14">
                  <c:v>0.44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02A-4CDA-87F8-910F62D4A28E}"/>
            </c:ext>
          </c:extLst>
        </c:ser>
        <c:ser>
          <c:idx val="1"/>
          <c:order val="1"/>
          <c:tx>
            <c:v>seuil haut de non conformité</c:v>
          </c:tx>
          <c:spPr>
            <a:ln w="381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sonde'!$B$17:$Q$17</c:f>
              <c:numCache>
                <c:formatCode>General</c:formatCode>
                <c:ptCount val="16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  <c:pt idx="13">
                  <c:v>2036</c:v>
                </c:pt>
                <c:pt idx="14">
                  <c:v>2037</c:v>
                </c:pt>
                <c:pt idx="15">
                  <c:v>2038</c:v>
                </c:pt>
              </c:numCache>
            </c:numRef>
          </c:xVal>
          <c:yVal>
            <c:numRef>
              <c:f>'Analyse de dérive d''une sonde'!$S$15:$AH$15</c:f>
              <c:numCache>
                <c:formatCode>General</c:formatCode>
                <c:ptCount val="16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  <c:pt idx="4">
                  <c:v>0.5</c:v>
                </c:pt>
                <c:pt idx="5">
                  <c:v>0.5</c:v>
                </c:pt>
                <c:pt idx="6">
                  <c:v>0.5</c:v>
                </c:pt>
                <c:pt idx="7">
                  <c:v>0.5</c:v>
                </c:pt>
                <c:pt idx="8">
                  <c:v>0.5</c:v>
                </c:pt>
                <c:pt idx="9">
                  <c:v>0.5</c:v>
                </c:pt>
                <c:pt idx="10">
                  <c:v>0.5</c:v>
                </c:pt>
                <c:pt idx="11">
                  <c:v>0.5</c:v>
                </c:pt>
                <c:pt idx="12">
                  <c:v>0.5</c:v>
                </c:pt>
                <c:pt idx="13">
                  <c:v>0.5</c:v>
                </c:pt>
                <c:pt idx="14">
                  <c:v>0.5</c:v>
                </c:pt>
                <c:pt idx="15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402A-4CDA-87F8-910F62D4A28E}"/>
            </c:ext>
          </c:extLst>
        </c:ser>
        <c:ser>
          <c:idx val="2"/>
          <c:order val="2"/>
          <c:tx>
            <c:v>Seuil bas de non conformité</c:v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trendline>
            <c:spPr>
              <a:ln w="38100" cap="rnd">
                <a:solidFill>
                  <a:srgbClr val="FF0000"/>
                </a:solidFill>
                <a:prstDash val="solid"/>
              </a:ln>
              <a:effectLst/>
            </c:spPr>
            <c:trendlineType val="linear"/>
            <c:dispRSqr val="0"/>
            <c:dispEq val="0"/>
          </c:trendline>
          <c:xVal>
            <c:numRef>
              <c:f>'Analyse de dérive d''une sonde'!$B$17:$Q$17</c:f>
              <c:numCache>
                <c:formatCode>General</c:formatCode>
                <c:ptCount val="16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  <c:pt idx="13">
                  <c:v>2036</c:v>
                </c:pt>
                <c:pt idx="14">
                  <c:v>2037</c:v>
                </c:pt>
                <c:pt idx="15">
                  <c:v>2038</c:v>
                </c:pt>
              </c:numCache>
            </c:numRef>
          </c:xVal>
          <c:yVal>
            <c:numRef>
              <c:f>'Analyse de dérive d''une sonde'!$S$16:$AH$16</c:f>
              <c:numCache>
                <c:formatCode>General</c:formatCode>
                <c:ptCount val="16"/>
                <c:pt idx="0">
                  <c:v>-0.5</c:v>
                </c:pt>
                <c:pt idx="1">
                  <c:v>-0.5</c:v>
                </c:pt>
                <c:pt idx="2">
                  <c:v>-0.5</c:v>
                </c:pt>
                <c:pt idx="3">
                  <c:v>-0.5</c:v>
                </c:pt>
                <c:pt idx="4">
                  <c:v>-0.5</c:v>
                </c:pt>
                <c:pt idx="5">
                  <c:v>-0.5</c:v>
                </c:pt>
                <c:pt idx="6">
                  <c:v>-0.5</c:v>
                </c:pt>
                <c:pt idx="7">
                  <c:v>-0.5</c:v>
                </c:pt>
                <c:pt idx="8">
                  <c:v>-0.5</c:v>
                </c:pt>
                <c:pt idx="9">
                  <c:v>-0.5</c:v>
                </c:pt>
                <c:pt idx="10">
                  <c:v>-0.5</c:v>
                </c:pt>
                <c:pt idx="11">
                  <c:v>-0.5</c:v>
                </c:pt>
                <c:pt idx="12">
                  <c:v>-0.5</c:v>
                </c:pt>
                <c:pt idx="13">
                  <c:v>-0.5</c:v>
                </c:pt>
                <c:pt idx="14">
                  <c:v>-0.5</c:v>
                </c:pt>
                <c:pt idx="15">
                  <c:v>-0.5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402A-4CDA-87F8-910F62D4A28E}"/>
            </c:ext>
          </c:extLst>
        </c:ser>
        <c:ser>
          <c:idx val="3"/>
          <c:order val="3"/>
          <c:tx>
            <c:v>Seuil haut d'alerte</c:v>
          </c:tx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sonde'!$B$17:$Q$17</c:f>
              <c:numCache>
                <c:formatCode>General</c:formatCode>
                <c:ptCount val="16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  <c:pt idx="13">
                  <c:v>2036</c:v>
                </c:pt>
                <c:pt idx="14">
                  <c:v>2037</c:v>
                </c:pt>
                <c:pt idx="15">
                  <c:v>2038</c:v>
                </c:pt>
              </c:numCache>
            </c:numRef>
          </c:xVal>
          <c:yVal>
            <c:numRef>
              <c:f>'Analyse de dérive d''une sonde'!$S$17:$AH$17</c:f>
              <c:numCache>
                <c:formatCode>General</c:formatCode>
                <c:ptCount val="16"/>
                <c:pt idx="0">
                  <c:v>0.31999999999999995</c:v>
                </c:pt>
                <c:pt idx="1">
                  <c:v>0.31999999999999995</c:v>
                </c:pt>
                <c:pt idx="2">
                  <c:v>0.31999999999999995</c:v>
                </c:pt>
                <c:pt idx="3">
                  <c:v>0.31999999999999995</c:v>
                </c:pt>
                <c:pt idx="4">
                  <c:v>0.31999999999999995</c:v>
                </c:pt>
                <c:pt idx="5">
                  <c:v>0.31999999999999995</c:v>
                </c:pt>
                <c:pt idx="6">
                  <c:v>0.31999999999999995</c:v>
                </c:pt>
                <c:pt idx="7">
                  <c:v>0.31999999999999995</c:v>
                </c:pt>
                <c:pt idx="8">
                  <c:v>0.31999999999999995</c:v>
                </c:pt>
                <c:pt idx="9">
                  <c:v>0.31999999999999995</c:v>
                </c:pt>
                <c:pt idx="10">
                  <c:v>0.31999999999999995</c:v>
                </c:pt>
                <c:pt idx="11">
                  <c:v>0.31999999999999995</c:v>
                </c:pt>
                <c:pt idx="12">
                  <c:v>0.31999999999999995</c:v>
                </c:pt>
                <c:pt idx="13">
                  <c:v>0.31999999999999995</c:v>
                </c:pt>
                <c:pt idx="14">
                  <c:v>0.31999999999999995</c:v>
                </c:pt>
                <c:pt idx="15">
                  <c:v>0.31999999999999995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402A-4CDA-87F8-910F62D4A28E}"/>
            </c:ext>
          </c:extLst>
        </c:ser>
        <c:ser>
          <c:idx val="4"/>
          <c:order val="4"/>
          <c:tx>
            <c:v>seuil bas d'alerte</c:v>
          </c:tx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sonde'!$B$17:$Q$17</c:f>
              <c:numCache>
                <c:formatCode>General</c:formatCode>
                <c:ptCount val="16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  <c:pt idx="13">
                  <c:v>2036</c:v>
                </c:pt>
                <c:pt idx="14">
                  <c:v>2037</c:v>
                </c:pt>
                <c:pt idx="15">
                  <c:v>2038</c:v>
                </c:pt>
              </c:numCache>
            </c:numRef>
          </c:xVal>
          <c:yVal>
            <c:numRef>
              <c:f>'Analyse de dérive d''une sonde'!$S$18:$AH$18</c:f>
              <c:numCache>
                <c:formatCode>General</c:formatCode>
                <c:ptCount val="16"/>
                <c:pt idx="0">
                  <c:v>-0.31999999999999995</c:v>
                </c:pt>
                <c:pt idx="1">
                  <c:v>-0.31999999999999995</c:v>
                </c:pt>
                <c:pt idx="2">
                  <c:v>-0.31999999999999995</c:v>
                </c:pt>
                <c:pt idx="3">
                  <c:v>-0.31999999999999995</c:v>
                </c:pt>
                <c:pt idx="4">
                  <c:v>-0.31999999999999995</c:v>
                </c:pt>
                <c:pt idx="5">
                  <c:v>-0.31999999999999995</c:v>
                </c:pt>
                <c:pt idx="6">
                  <c:v>-0.31999999999999995</c:v>
                </c:pt>
                <c:pt idx="7">
                  <c:v>-0.31999999999999995</c:v>
                </c:pt>
                <c:pt idx="8">
                  <c:v>-0.31999999999999995</c:v>
                </c:pt>
                <c:pt idx="9">
                  <c:v>-0.31999999999999995</c:v>
                </c:pt>
                <c:pt idx="10">
                  <c:v>-0.31999999999999995</c:v>
                </c:pt>
                <c:pt idx="11">
                  <c:v>-0.31999999999999995</c:v>
                </c:pt>
                <c:pt idx="12">
                  <c:v>-0.31999999999999995</c:v>
                </c:pt>
                <c:pt idx="13">
                  <c:v>-0.31999999999999995</c:v>
                </c:pt>
                <c:pt idx="14">
                  <c:v>-0.31999999999999995</c:v>
                </c:pt>
                <c:pt idx="15">
                  <c:v>-0.31999999999999995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402A-4CDA-87F8-910F62D4A2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3958960"/>
        <c:axId val="333956664"/>
      </c:scatterChart>
      <c:valAx>
        <c:axId val="3339589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956664"/>
        <c:crosses val="autoZero"/>
        <c:crossBetween val="midCat"/>
      </c:valAx>
      <c:valAx>
        <c:axId val="333956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958960"/>
        <c:crosses val="autoZero"/>
        <c:crossBetween val="midCat"/>
      </c:valAx>
      <c:spPr>
        <a:noFill/>
        <a:ln w="31750">
          <a:solidFill>
            <a:schemeClr val="bg1"/>
          </a:solidFill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5514708416607665E-2"/>
          <c:y val="4.0072781999854624E-2"/>
          <c:w val="0.88142700015729014"/>
          <c:h val="0.91985430349976238"/>
        </c:manualLayout>
      </c:layout>
      <c:scatterChart>
        <c:scatterStyle val="lineMarker"/>
        <c:varyColors val="0"/>
        <c:ser>
          <c:idx val="0"/>
          <c:order val="0"/>
          <c:tx>
            <c:v>Erreur haut de la sonde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'Analyse de dérive d''une sonde'!$B$46:$Q$46</c:f>
              <c:numCache>
                <c:formatCode>General</c:formatCode>
                <c:ptCount val="16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  <c:pt idx="13">
                  <c:v>2036</c:v>
                </c:pt>
                <c:pt idx="14">
                  <c:v>2037</c:v>
                </c:pt>
                <c:pt idx="15">
                  <c:v>2038</c:v>
                </c:pt>
              </c:numCache>
            </c:numRef>
          </c:xVal>
          <c:yVal>
            <c:numRef>
              <c:f>'Analyse de dérive d''une sonde'!$B$47:$Q$47</c:f>
              <c:numCache>
                <c:formatCode>General</c:formatCode>
                <c:ptCount val="16"/>
                <c:pt idx="0">
                  <c:v>0.18</c:v>
                </c:pt>
                <c:pt idx="1">
                  <c:v>0.19</c:v>
                </c:pt>
                <c:pt idx="2">
                  <c:v>0.19</c:v>
                </c:pt>
                <c:pt idx="3">
                  <c:v>0.2</c:v>
                </c:pt>
                <c:pt idx="4">
                  <c:v>0.27</c:v>
                </c:pt>
                <c:pt idx="6">
                  <c:v>0.26</c:v>
                </c:pt>
                <c:pt idx="8">
                  <c:v>0.4</c:v>
                </c:pt>
                <c:pt idx="9">
                  <c:v>0.22</c:v>
                </c:pt>
                <c:pt idx="10">
                  <c:v>0.25</c:v>
                </c:pt>
                <c:pt idx="11">
                  <c:v>0.28000000000000003</c:v>
                </c:pt>
                <c:pt idx="13">
                  <c:v>0.35</c:v>
                </c:pt>
                <c:pt idx="14">
                  <c:v>0.44</c:v>
                </c:pt>
                <c:pt idx="15">
                  <c:v>0.22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0777-4533-9FC1-AA76C1EF5C7F}"/>
            </c:ext>
          </c:extLst>
        </c:ser>
        <c:ser>
          <c:idx val="1"/>
          <c:order val="1"/>
          <c:tx>
            <c:v>seuil haut de non conformité</c:v>
          </c:tx>
          <c:spPr>
            <a:ln w="381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sonde'!$B$46:$Q$46</c:f>
              <c:numCache>
                <c:formatCode>General</c:formatCode>
                <c:ptCount val="16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  <c:pt idx="13">
                  <c:v>2036</c:v>
                </c:pt>
                <c:pt idx="14">
                  <c:v>2037</c:v>
                </c:pt>
                <c:pt idx="15">
                  <c:v>2038</c:v>
                </c:pt>
              </c:numCache>
            </c:numRef>
          </c:xVal>
          <c:yVal>
            <c:numRef>
              <c:f>'Analyse de dérive d''une sonde'!$S$54:$AH$54</c:f>
              <c:numCache>
                <c:formatCode>General</c:formatCode>
                <c:ptCount val="16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  <c:pt idx="4">
                  <c:v>0.5</c:v>
                </c:pt>
                <c:pt idx="5">
                  <c:v>0.5</c:v>
                </c:pt>
                <c:pt idx="6">
                  <c:v>0.5</c:v>
                </c:pt>
                <c:pt idx="7">
                  <c:v>0.5</c:v>
                </c:pt>
                <c:pt idx="8">
                  <c:v>0.5</c:v>
                </c:pt>
                <c:pt idx="9">
                  <c:v>0.5</c:v>
                </c:pt>
                <c:pt idx="10">
                  <c:v>0.5</c:v>
                </c:pt>
                <c:pt idx="11">
                  <c:v>0.5</c:v>
                </c:pt>
                <c:pt idx="12">
                  <c:v>0.5</c:v>
                </c:pt>
                <c:pt idx="13">
                  <c:v>0.5</c:v>
                </c:pt>
                <c:pt idx="14">
                  <c:v>0.5</c:v>
                </c:pt>
                <c:pt idx="15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0777-4533-9FC1-AA76C1EF5C7F}"/>
            </c:ext>
          </c:extLst>
        </c:ser>
        <c:ser>
          <c:idx val="2"/>
          <c:order val="2"/>
          <c:tx>
            <c:v>Seuil bas de non conformité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trendline>
            <c:spPr>
              <a:ln w="38100" cap="rnd">
                <a:solidFill>
                  <a:srgbClr val="FF0000"/>
                </a:solidFill>
                <a:prstDash val="solid"/>
              </a:ln>
              <a:effectLst/>
            </c:spPr>
            <c:trendlineType val="linear"/>
            <c:dispRSqr val="0"/>
            <c:dispEq val="0"/>
          </c:trendline>
          <c:xVal>
            <c:numRef>
              <c:f>'Analyse de dérive d''une sonde'!$B$46:$Q$46</c:f>
              <c:numCache>
                <c:formatCode>General</c:formatCode>
                <c:ptCount val="16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  <c:pt idx="13">
                  <c:v>2036</c:v>
                </c:pt>
                <c:pt idx="14">
                  <c:v>2037</c:v>
                </c:pt>
                <c:pt idx="15">
                  <c:v>2038</c:v>
                </c:pt>
              </c:numCache>
            </c:numRef>
          </c:xVal>
          <c:yVal>
            <c:numRef>
              <c:f>'Analyse de dérive d''une sonde'!$S$55:$AH$55</c:f>
              <c:numCache>
                <c:formatCode>General</c:formatCode>
                <c:ptCount val="16"/>
                <c:pt idx="0">
                  <c:v>-0.5</c:v>
                </c:pt>
                <c:pt idx="1">
                  <c:v>-0.5</c:v>
                </c:pt>
                <c:pt idx="2">
                  <c:v>-0.5</c:v>
                </c:pt>
                <c:pt idx="3">
                  <c:v>-0.5</c:v>
                </c:pt>
                <c:pt idx="4">
                  <c:v>-0.5</c:v>
                </c:pt>
                <c:pt idx="5">
                  <c:v>-0.5</c:v>
                </c:pt>
                <c:pt idx="6">
                  <c:v>-0.5</c:v>
                </c:pt>
                <c:pt idx="7">
                  <c:v>-0.5</c:v>
                </c:pt>
                <c:pt idx="8">
                  <c:v>-0.5</c:v>
                </c:pt>
                <c:pt idx="9">
                  <c:v>-0.5</c:v>
                </c:pt>
                <c:pt idx="10">
                  <c:v>-0.5</c:v>
                </c:pt>
                <c:pt idx="11">
                  <c:v>-0.5</c:v>
                </c:pt>
                <c:pt idx="12">
                  <c:v>-0.5</c:v>
                </c:pt>
                <c:pt idx="13">
                  <c:v>-0.5</c:v>
                </c:pt>
                <c:pt idx="14">
                  <c:v>-0.5</c:v>
                </c:pt>
                <c:pt idx="15">
                  <c:v>-0.5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0777-4533-9FC1-AA76C1EF5C7F}"/>
            </c:ext>
          </c:extLst>
        </c:ser>
        <c:ser>
          <c:idx val="3"/>
          <c:order val="3"/>
          <c:tx>
            <c:v>Seuil haut d'alerte</c:v>
          </c:tx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sonde'!$B$46:$Q$46</c:f>
              <c:numCache>
                <c:formatCode>General</c:formatCode>
                <c:ptCount val="16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  <c:pt idx="13">
                  <c:v>2036</c:v>
                </c:pt>
                <c:pt idx="14">
                  <c:v>2037</c:v>
                </c:pt>
                <c:pt idx="15">
                  <c:v>2038</c:v>
                </c:pt>
              </c:numCache>
            </c:numRef>
          </c:xVal>
          <c:yVal>
            <c:numRef>
              <c:f>'Analyse de dérive d''une sonde'!$S$56:$AH$56</c:f>
              <c:numCache>
                <c:formatCode>0.00</c:formatCode>
                <c:ptCount val="16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  <c:pt idx="4">
                  <c:v>0.5</c:v>
                </c:pt>
                <c:pt idx="5">
                  <c:v>0.5</c:v>
                </c:pt>
                <c:pt idx="6">
                  <c:v>0.5</c:v>
                </c:pt>
                <c:pt idx="7">
                  <c:v>0.5</c:v>
                </c:pt>
                <c:pt idx="8">
                  <c:v>0.5</c:v>
                </c:pt>
                <c:pt idx="9">
                  <c:v>0.5</c:v>
                </c:pt>
                <c:pt idx="10">
                  <c:v>0.5</c:v>
                </c:pt>
                <c:pt idx="11">
                  <c:v>0.5</c:v>
                </c:pt>
                <c:pt idx="12">
                  <c:v>0.5</c:v>
                </c:pt>
                <c:pt idx="13">
                  <c:v>0.5</c:v>
                </c:pt>
                <c:pt idx="14">
                  <c:v>0.5</c:v>
                </c:pt>
                <c:pt idx="15">
                  <c:v>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0777-4533-9FC1-AA76C1EF5C7F}"/>
            </c:ext>
          </c:extLst>
        </c:ser>
        <c:ser>
          <c:idx val="4"/>
          <c:order val="4"/>
          <c:tx>
            <c:v>seuil bas d'alerte</c:v>
          </c:tx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'Analyse de dérive d''une sonde'!$B$46:$Q$46</c:f>
              <c:numCache>
                <c:formatCode>General</c:formatCode>
                <c:ptCount val="16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  <c:pt idx="13">
                  <c:v>2036</c:v>
                </c:pt>
                <c:pt idx="14">
                  <c:v>2037</c:v>
                </c:pt>
                <c:pt idx="15">
                  <c:v>2038</c:v>
                </c:pt>
              </c:numCache>
            </c:numRef>
          </c:xVal>
          <c:yVal>
            <c:numRef>
              <c:f>'Analyse de dérive d''une sonde'!$S$57:$AH$57</c:f>
              <c:numCache>
                <c:formatCode>0.00</c:formatCode>
                <c:ptCount val="16"/>
                <c:pt idx="0">
                  <c:v>-0.5</c:v>
                </c:pt>
                <c:pt idx="1">
                  <c:v>-0.5</c:v>
                </c:pt>
                <c:pt idx="2">
                  <c:v>-0.5</c:v>
                </c:pt>
                <c:pt idx="3">
                  <c:v>-0.5</c:v>
                </c:pt>
                <c:pt idx="4">
                  <c:v>-0.5</c:v>
                </c:pt>
                <c:pt idx="5">
                  <c:v>-0.5</c:v>
                </c:pt>
                <c:pt idx="6">
                  <c:v>-0.5</c:v>
                </c:pt>
                <c:pt idx="7">
                  <c:v>-0.5</c:v>
                </c:pt>
                <c:pt idx="8">
                  <c:v>-0.5</c:v>
                </c:pt>
                <c:pt idx="9">
                  <c:v>-0.5</c:v>
                </c:pt>
                <c:pt idx="10">
                  <c:v>-0.5</c:v>
                </c:pt>
                <c:pt idx="11">
                  <c:v>-0.5</c:v>
                </c:pt>
                <c:pt idx="12">
                  <c:v>-0.5</c:v>
                </c:pt>
                <c:pt idx="13">
                  <c:v>-0.5</c:v>
                </c:pt>
                <c:pt idx="14">
                  <c:v>-0.5</c:v>
                </c:pt>
                <c:pt idx="15">
                  <c:v>-0.5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0777-4533-9FC1-AA76C1EF5C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33958960"/>
        <c:axId val="333956664"/>
      </c:scatterChart>
      <c:valAx>
        <c:axId val="3339589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956664"/>
        <c:crosses val="autoZero"/>
        <c:crossBetween val="midCat"/>
      </c:valAx>
      <c:valAx>
        <c:axId val="333956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958960"/>
        <c:crosses val="autoZero"/>
        <c:crossBetween val="midCat"/>
      </c:valAx>
      <c:spPr>
        <a:noFill/>
        <a:ln w="25400">
          <a:solidFill>
            <a:schemeClr val="bg1"/>
          </a:solidFill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943055</xdr:colOff>
      <xdr:row>21</xdr:row>
      <xdr:rowOff>195219</xdr:rowOff>
    </xdr:from>
    <xdr:to>
      <xdr:col>10</xdr:col>
      <xdr:colOff>258533</xdr:colOff>
      <xdr:row>41</xdr:row>
      <xdr:rowOff>81643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843642</xdr:colOff>
      <xdr:row>51</xdr:row>
      <xdr:rowOff>68036</xdr:rowOff>
    </xdr:from>
    <xdr:to>
      <xdr:col>10</xdr:col>
      <xdr:colOff>326569</xdr:colOff>
      <xdr:row>70</xdr:row>
      <xdr:rowOff>54430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H63"/>
  <sheetViews>
    <sheetView showGridLines="0" tabSelected="1" topLeftCell="A7" zoomScale="70" zoomScaleNormal="70" workbookViewId="0">
      <selection activeCell="P1" sqref="P1:Q1"/>
    </sheetView>
  </sheetViews>
  <sheetFormatPr baseColWidth="10" defaultRowHeight="15" x14ac:dyDescent="0.25"/>
  <cols>
    <col min="1" max="1" width="36.85546875" style="26" bestFit="1" customWidth="1"/>
    <col min="2" max="17" width="16.7109375" style="26" customWidth="1"/>
    <col min="18" max="18" width="14.7109375" style="26" customWidth="1"/>
    <col min="19" max="34" width="11.42578125" style="59" customWidth="1"/>
    <col min="35" max="36" width="11.42578125" style="26" customWidth="1"/>
    <col min="37" max="16384" width="11.42578125" style="26"/>
  </cols>
  <sheetData>
    <row r="1" spans="1:34" ht="61.5" customHeight="1" thickBot="1" x14ac:dyDescent="0.3">
      <c r="A1" s="68"/>
      <c r="B1" s="79" t="s">
        <v>0</v>
      </c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1"/>
      <c r="P1" s="82"/>
      <c r="Q1" s="83"/>
      <c r="R1" s="20"/>
    </row>
    <row r="2" spans="1:34" ht="15.75" thickBot="1" x14ac:dyDescent="0.3"/>
    <row r="3" spans="1:34" ht="15.75" thickBot="1" x14ac:dyDescent="0.3">
      <c r="D3" s="93" t="s">
        <v>5</v>
      </c>
      <c r="E3" s="94"/>
      <c r="F3" s="94"/>
      <c r="G3" s="94"/>
      <c r="H3" s="95"/>
      <c r="I3" s="99" t="s">
        <v>6</v>
      </c>
      <c r="J3" s="100"/>
      <c r="K3" s="100"/>
      <c r="L3" s="101"/>
    </row>
    <row r="4" spans="1:34" x14ac:dyDescent="0.25">
      <c r="D4" s="54"/>
      <c r="E4" s="50"/>
      <c r="F4" s="50"/>
      <c r="G4" s="50"/>
      <c r="H4" s="50"/>
      <c r="I4" s="10"/>
      <c r="J4" s="8"/>
      <c r="K4" s="8"/>
      <c r="L4" s="9"/>
    </row>
    <row r="5" spans="1:34" x14ac:dyDescent="0.25">
      <c r="D5" s="21"/>
      <c r="E5" s="96" t="s">
        <v>1</v>
      </c>
      <c r="F5" s="96"/>
      <c r="G5" s="6"/>
      <c r="H5" s="69"/>
      <c r="I5" s="102" t="s">
        <v>23</v>
      </c>
      <c r="J5" s="96"/>
      <c r="K5" s="42"/>
      <c r="L5" s="3"/>
    </row>
    <row r="6" spans="1:34" x14ac:dyDescent="0.25">
      <c r="D6" s="21"/>
      <c r="E6" s="53"/>
      <c r="F6" s="2"/>
      <c r="G6" s="12"/>
      <c r="H6" s="11"/>
      <c r="I6" s="21"/>
      <c r="J6" s="19"/>
      <c r="K6" s="19"/>
      <c r="L6" s="3"/>
    </row>
    <row r="7" spans="1:34" x14ac:dyDescent="0.25">
      <c r="D7" s="21"/>
      <c r="E7" s="53"/>
      <c r="F7" s="66" t="s">
        <v>2</v>
      </c>
      <c r="G7" s="7"/>
      <c r="H7" s="11"/>
      <c r="I7" s="97" t="s">
        <v>3</v>
      </c>
      <c r="J7" s="98"/>
      <c r="K7" s="7"/>
      <c r="L7" s="1" t="s">
        <v>7</v>
      </c>
    </row>
    <row r="8" spans="1:34" x14ac:dyDescent="0.25">
      <c r="D8" s="21"/>
      <c r="E8" s="19"/>
      <c r="F8" s="19"/>
      <c r="G8" s="19"/>
      <c r="H8" s="5"/>
      <c r="I8" s="21"/>
      <c r="J8" s="19"/>
      <c r="K8" s="19"/>
      <c r="L8" s="4"/>
    </row>
    <row r="9" spans="1:34" x14ac:dyDescent="0.25">
      <c r="D9" s="21"/>
      <c r="E9" s="96" t="s">
        <v>4</v>
      </c>
      <c r="F9" s="96"/>
      <c r="G9" s="76"/>
      <c r="H9" s="69"/>
      <c r="I9" s="97" t="s">
        <v>17</v>
      </c>
      <c r="J9" s="98"/>
      <c r="K9" s="7">
        <v>2</v>
      </c>
      <c r="L9" s="25"/>
    </row>
    <row r="10" spans="1:34" ht="15.75" thickBot="1" x14ac:dyDescent="0.3">
      <c r="D10" s="23"/>
      <c r="E10" s="24"/>
      <c r="F10" s="24"/>
      <c r="G10" s="24"/>
      <c r="H10" s="13"/>
      <c r="I10" s="14"/>
      <c r="J10" s="15"/>
      <c r="K10" s="15"/>
      <c r="L10" s="16"/>
    </row>
    <row r="11" spans="1:34" ht="15.75" thickBot="1" x14ac:dyDescent="0.3">
      <c r="E11" s="55"/>
      <c r="F11" s="56"/>
      <c r="G11" s="51" t="s">
        <v>8</v>
      </c>
      <c r="H11" s="22"/>
      <c r="I11" s="107">
        <v>2025</v>
      </c>
      <c r="J11" s="108"/>
      <c r="K11" s="55"/>
      <c r="L11" s="55"/>
    </row>
    <row r="12" spans="1:34" x14ac:dyDescent="0.25">
      <c r="E12" s="87" t="s">
        <v>15</v>
      </c>
      <c r="F12" s="87"/>
      <c r="G12" s="88"/>
      <c r="H12" s="88"/>
      <c r="I12" s="88"/>
      <c r="J12" s="88"/>
      <c r="K12" s="87"/>
      <c r="L12" s="87"/>
    </row>
    <row r="13" spans="1:34" ht="20.25" customHeight="1" x14ac:dyDescent="0.25">
      <c r="E13" s="89"/>
      <c r="F13" s="89"/>
      <c r="G13" s="89"/>
      <c r="H13" s="89"/>
      <c r="I13" s="89"/>
      <c r="J13" s="89"/>
      <c r="K13" s="89"/>
      <c r="L13" s="89"/>
    </row>
    <row r="14" spans="1:34" ht="20.25" customHeight="1" x14ac:dyDescent="0.25">
      <c r="E14" s="67"/>
      <c r="F14" s="67"/>
      <c r="G14" s="67"/>
      <c r="H14" s="67"/>
      <c r="I14" s="67"/>
      <c r="J14" s="67"/>
      <c r="K14" s="67"/>
      <c r="L14" s="67"/>
    </row>
    <row r="15" spans="1:34" ht="20.25" customHeight="1" thickBot="1" x14ac:dyDescent="0.4">
      <c r="A15" s="67"/>
      <c r="B15" s="67"/>
      <c r="C15" s="67"/>
      <c r="D15" s="67"/>
      <c r="E15" s="67"/>
      <c r="F15" s="67"/>
      <c r="G15" s="48" t="s">
        <v>27</v>
      </c>
      <c r="H15" s="67"/>
      <c r="S15" s="60">
        <f t="shared" ref="S15:AH15" si="0">$D$27</f>
        <v>0.5</v>
      </c>
      <c r="T15" s="60">
        <f t="shared" si="0"/>
        <v>0.5</v>
      </c>
      <c r="U15" s="60">
        <f t="shared" si="0"/>
        <v>0.5</v>
      </c>
      <c r="V15" s="60">
        <f t="shared" si="0"/>
        <v>0.5</v>
      </c>
      <c r="W15" s="60">
        <f t="shared" si="0"/>
        <v>0.5</v>
      </c>
      <c r="X15" s="60">
        <f t="shared" si="0"/>
        <v>0.5</v>
      </c>
      <c r="Y15" s="60">
        <f t="shared" si="0"/>
        <v>0.5</v>
      </c>
      <c r="Z15" s="60">
        <f t="shared" si="0"/>
        <v>0.5</v>
      </c>
      <c r="AA15" s="60">
        <f t="shared" si="0"/>
        <v>0.5</v>
      </c>
      <c r="AB15" s="60">
        <f t="shared" si="0"/>
        <v>0.5</v>
      </c>
      <c r="AC15" s="60">
        <f t="shared" si="0"/>
        <v>0.5</v>
      </c>
      <c r="AD15" s="60">
        <f t="shared" si="0"/>
        <v>0.5</v>
      </c>
      <c r="AE15" s="60">
        <f t="shared" si="0"/>
        <v>0.5</v>
      </c>
      <c r="AF15" s="60">
        <f t="shared" si="0"/>
        <v>0.5</v>
      </c>
      <c r="AG15" s="60">
        <f t="shared" si="0"/>
        <v>0.5</v>
      </c>
      <c r="AH15" s="60">
        <f t="shared" si="0"/>
        <v>0.5</v>
      </c>
    </row>
    <row r="16" spans="1:34" ht="21" customHeight="1" thickBot="1" x14ac:dyDescent="0.3">
      <c r="B16" s="115" t="s">
        <v>28</v>
      </c>
      <c r="C16" s="116"/>
      <c r="S16" s="60">
        <f t="shared" ref="S16:AH16" si="1">$D$28</f>
        <v>-0.5</v>
      </c>
      <c r="T16" s="60">
        <f t="shared" si="1"/>
        <v>-0.5</v>
      </c>
      <c r="U16" s="60">
        <f t="shared" si="1"/>
        <v>-0.5</v>
      </c>
      <c r="V16" s="60">
        <f t="shared" si="1"/>
        <v>-0.5</v>
      </c>
      <c r="W16" s="60">
        <f t="shared" si="1"/>
        <v>-0.5</v>
      </c>
      <c r="X16" s="60">
        <f t="shared" si="1"/>
        <v>-0.5</v>
      </c>
      <c r="Y16" s="60">
        <f t="shared" si="1"/>
        <v>-0.5</v>
      </c>
      <c r="Z16" s="60">
        <f t="shared" si="1"/>
        <v>-0.5</v>
      </c>
      <c r="AA16" s="60">
        <f t="shared" si="1"/>
        <v>-0.5</v>
      </c>
      <c r="AB16" s="60">
        <f t="shared" si="1"/>
        <v>-0.5</v>
      </c>
      <c r="AC16" s="60">
        <f t="shared" si="1"/>
        <v>-0.5</v>
      </c>
      <c r="AD16" s="60">
        <f t="shared" si="1"/>
        <v>-0.5</v>
      </c>
      <c r="AE16" s="60">
        <f t="shared" si="1"/>
        <v>-0.5</v>
      </c>
      <c r="AF16" s="60">
        <f t="shared" si="1"/>
        <v>-0.5</v>
      </c>
      <c r="AG16" s="60">
        <f t="shared" si="1"/>
        <v>-0.5</v>
      </c>
      <c r="AH16" s="60">
        <f t="shared" si="1"/>
        <v>-0.5</v>
      </c>
    </row>
    <row r="17" spans="1:34" ht="21" customHeight="1" thickBot="1" x14ac:dyDescent="0.3">
      <c r="A17" s="27" t="s">
        <v>9</v>
      </c>
      <c r="B17" s="70">
        <f>IF(D17="","",D17-2)</f>
        <v>2023</v>
      </c>
      <c r="C17" s="70">
        <f>IF(D17="","",D17-1)</f>
        <v>2024</v>
      </c>
      <c r="D17" s="63">
        <f>IF($I$11="","",$I$11)</f>
        <v>2025</v>
      </c>
      <c r="E17" s="34">
        <f t="shared" ref="E17:Q17" si="2">IF(D17="","",D17+1)</f>
        <v>2026</v>
      </c>
      <c r="F17" s="34">
        <f t="shared" si="2"/>
        <v>2027</v>
      </c>
      <c r="G17" s="34">
        <f t="shared" si="2"/>
        <v>2028</v>
      </c>
      <c r="H17" s="34">
        <f t="shared" si="2"/>
        <v>2029</v>
      </c>
      <c r="I17" s="34">
        <f t="shared" si="2"/>
        <v>2030</v>
      </c>
      <c r="J17" s="34">
        <f>IF(I17="","",I17+1)</f>
        <v>2031</v>
      </c>
      <c r="K17" s="34">
        <f t="shared" si="2"/>
        <v>2032</v>
      </c>
      <c r="L17" s="34">
        <f t="shared" si="2"/>
        <v>2033</v>
      </c>
      <c r="M17" s="34">
        <f t="shared" si="2"/>
        <v>2034</v>
      </c>
      <c r="N17" s="34">
        <f t="shared" si="2"/>
        <v>2035</v>
      </c>
      <c r="O17" s="34">
        <f t="shared" si="2"/>
        <v>2036</v>
      </c>
      <c r="P17" s="34">
        <f t="shared" si="2"/>
        <v>2037</v>
      </c>
      <c r="Q17" s="35">
        <f t="shared" si="2"/>
        <v>2038</v>
      </c>
      <c r="S17" s="60">
        <f t="shared" ref="S17:AH17" ca="1" si="3">$D$31</f>
        <v>0.31999999999999995</v>
      </c>
      <c r="T17" s="60">
        <f t="shared" ca="1" si="3"/>
        <v>0.31999999999999995</v>
      </c>
      <c r="U17" s="60">
        <f t="shared" ca="1" si="3"/>
        <v>0.31999999999999995</v>
      </c>
      <c r="V17" s="60">
        <f t="shared" ca="1" si="3"/>
        <v>0.31999999999999995</v>
      </c>
      <c r="W17" s="60">
        <f t="shared" ca="1" si="3"/>
        <v>0.31999999999999995</v>
      </c>
      <c r="X17" s="60">
        <f t="shared" ca="1" si="3"/>
        <v>0.31999999999999995</v>
      </c>
      <c r="Y17" s="60">
        <f t="shared" ca="1" si="3"/>
        <v>0.31999999999999995</v>
      </c>
      <c r="Z17" s="60">
        <f t="shared" ca="1" si="3"/>
        <v>0.31999999999999995</v>
      </c>
      <c r="AA17" s="60">
        <f t="shared" ca="1" si="3"/>
        <v>0.31999999999999995</v>
      </c>
      <c r="AB17" s="60">
        <f t="shared" ca="1" si="3"/>
        <v>0.31999999999999995</v>
      </c>
      <c r="AC17" s="60">
        <f t="shared" ca="1" si="3"/>
        <v>0.31999999999999995</v>
      </c>
      <c r="AD17" s="60">
        <f t="shared" ca="1" si="3"/>
        <v>0.31999999999999995</v>
      </c>
      <c r="AE17" s="60">
        <f t="shared" ca="1" si="3"/>
        <v>0.31999999999999995</v>
      </c>
      <c r="AF17" s="60">
        <f t="shared" ca="1" si="3"/>
        <v>0.31999999999999995</v>
      </c>
      <c r="AG17" s="60">
        <f t="shared" ca="1" si="3"/>
        <v>0.31999999999999995</v>
      </c>
      <c r="AH17" s="60">
        <f t="shared" ca="1" si="3"/>
        <v>0.31999999999999995</v>
      </c>
    </row>
    <row r="18" spans="1:34" ht="21" customHeight="1" x14ac:dyDescent="0.25">
      <c r="A18" s="33" t="s">
        <v>14</v>
      </c>
      <c r="B18" s="77">
        <v>0.18</v>
      </c>
      <c r="C18" s="78">
        <v>0.19</v>
      </c>
      <c r="D18" s="36">
        <v>0.19</v>
      </c>
      <c r="E18" s="36">
        <v>0.2</v>
      </c>
      <c r="F18" s="36">
        <v>0.27</v>
      </c>
      <c r="G18" s="36"/>
      <c r="H18" s="36">
        <v>0.26</v>
      </c>
      <c r="I18" s="36"/>
      <c r="J18" s="36">
        <v>0.4</v>
      </c>
      <c r="K18" s="36">
        <v>0.22</v>
      </c>
      <c r="L18" s="36">
        <v>0.25</v>
      </c>
      <c r="M18" s="36">
        <v>0.28000000000000003</v>
      </c>
      <c r="N18" s="36"/>
      <c r="O18" s="36">
        <v>0.35</v>
      </c>
      <c r="P18" s="36">
        <v>0.44</v>
      </c>
      <c r="Q18" s="37"/>
      <c r="S18" s="60">
        <f t="shared" ref="S18:AH18" ca="1" si="4">$D$32</f>
        <v>-0.31999999999999995</v>
      </c>
      <c r="T18" s="60">
        <f t="shared" ca="1" si="4"/>
        <v>-0.31999999999999995</v>
      </c>
      <c r="U18" s="60">
        <f t="shared" ca="1" si="4"/>
        <v>-0.31999999999999995</v>
      </c>
      <c r="V18" s="60">
        <f t="shared" ca="1" si="4"/>
        <v>-0.31999999999999995</v>
      </c>
      <c r="W18" s="60">
        <f t="shared" ca="1" si="4"/>
        <v>-0.31999999999999995</v>
      </c>
      <c r="X18" s="60">
        <f t="shared" ca="1" si="4"/>
        <v>-0.31999999999999995</v>
      </c>
      <c r="Y18" s="60">
        <f t="shared" ca="1" si="4"/>
        <v>-0.31999999999999995</v>
      </c>
      <c r="Z18" s="60">
        <f t="shared" ca="1" si="4"/>
        <v>-0.31999999999999995</v>
      </c>
      <c r="AA18" s="60">
        <f t="shared" ca="1" si="4"/>
        <v>-0.31999999999999995</v>
      </c>
      <c r="AB18" s="60">
        <f t="shared" ca="1" si="4"/>
        <v>-0.31999999999999995</v>
      </c>
      <c r="AC18" s="60">
        <f t="shared" ca="1" si="4"/>
        <v>-0.31999999999999995</v>
      </c>
      <c r="AD18" s="60">
        <f t="shared" ca="1" si="4"/>
        <v>-0.31999999999999995</v>
      </c>
      <c r="AE18" s="60">
        <f t="shared" ca="1" si="4"/>
        <v>-0.31999999999999995</v>
      </c>
      <c r="AF18" s="60">
        <f t="shared" ca="1" si="4"/>
        <v>-0.31999999999999995</v>
      </c>
      <c r="AG18" s="60">
        <f t="shared" ca="1" si="4"/>
        <v>-0.31999999999999995</v>
      </c>
      <c r="AH18" s="60">
        <f t="shared" ca="1" si="4"/>
        <v>-0.31999999999999995</v>
      </c>
    </row>
    <row r="19" spans="1:34" ht="21" customHeight="1" thickBot="1" x14ac:dyDescent="0.3">
      <c r="A19" s="32" t="s">
        <v>10</v>
      </c>
      <c r="B19" s="38" t="str">
        <f>IF(ISBLANK(B18),"",IF(ABS(B18)&gt;ABS($D$28),"Non conforme","Acceptable"))</f>
        <v>Acceptable</v>
      </c>
      <c r="C19" s="28" t="str">
        <f ca="1">IF(ISBLANK(C18),"",IF(ISERR($H$28)=TRUE,"",IF((B18=""),IF(ABS(C18)&gt;ABS($D$28),"Non conforme",IF(ABS(C18)&gt;=ABS(D28),"Alerte","Acceptable")),IF(ABS(C18)&gt;ABS($D$28),"Non conforme",IF(ABS(C18)&gt;=ABS(C21),"Alerte","Acceptable")))))</f>
        <v>Acceptable</v>
      </c>
      <c r="D19" s="28" t="str">
        <f ca="1">IF(ISBLANK(D18),"",IF(ISERR($H$28)=TRUE,"",IF(ABS(D18)&gt;ABS($D$28),"Non conforme",IF(ABS(D18)&gt;=ABS(D21),"Alerte","Acceptable"))))</f>
        <v>Acceptable</v>
      </c>
      <c r="E19" s="28" t="str">
        <f ca="1">IF(ISBLANK(E18),"",IF(ISERR($H$28)=TRUE,"",IF(ABS(E18)&gt;ABS($D$28),"Non conforme",IF(ABS(E18)&gt;=ABS(E21),"Alerte","Acceptable"))))</f>
        <v>Acceptable</v>
      </c>
      <c r="F19" s="28" t="str">
        <f ca="1">IF(ISBLANK(F18),"",IF(ISERR($H$28)=TRUE,"",IF(ABS(F18)&gt;ABS($D$28),"Non conforme",IF(ABS(F18)&gt;=ABS(F21),"Alerte","Acceptable"))))</f>
        <v>Acceptable</v>
      </c>
      <c r="G19" s="28" t="str">
        <f>IF(ISBLANK(G18),"",IF(ISERR($H$28)=TRUE,"",IF(ABS(G18)&gt;ABS($D$28),"Non conforme",IF(ABS(G18)&gt;=ABS(G21),"Alerte","Acceptable"))))</f>
        <v/>
      </c>
      <c r="H19" s="28" t="str">
        <f ca="1">IF(ISBLANK(H18),"",IF(ISERR($H$28)=TRUE,"",IF(ABS(H18)&gt;ABS($D$28),"Non conforme",IF(ABS(H18)&gt;=ABS(H21),"Alerte","Acceptable"))))</f>
        <v>Acceptable</v>
      </c>
      <c r="I19" s="28" t="str">
        <f>IF(ISBLANK(I18),"",IF(ISERR($H$28)=TRUE,"",IF(ABS(I18)&gt;ABS($D$28),"Non conforme",IF(ABS(I18)&gt;=ABS(I21),"Alerte","Acceptable"))))</f>
        <v/>
      </c>
      <c r="J19" s="28" t="str">
        <f ca="1">IF(ISBLANK(J18),"",IF(ISERR($H$28)=TRUE,"",IF(ABS(J18)&gt;ABS($D$28),"Non conforme",IF(ABS(J18)&gt;=ABS(J21),"Alerte","Acceptable"))))</f>
        <v>Alerte</v>
      </c>
      <c r="K19" s="28" t="str">
        <f ca="1">IF(ISBLANK(K18),"",IF(ISERR($H$28)=TRUE,"",IF(ABS(K18)&gt;ABS($D$28),"Non conforme",IF(ABS(K18)&gt;=ABS(K21),"Alerte","Acceptable"))))</f>
        <v>Acceptable</v>
      </c>
      <c r="L19" s="28" t="str">
        <f ca="1">IF(ISBLANK(L18),"",IF(ISERR($H$28)=TRUE,"",IF(ABS(L18)&gt;ABS($D$28),"Non conforme",IF(ABS(L18)&gt;=ABS(L21),"Alerte","Acceptable"))))</f>
        <v>Acceptable</v>
      </c>
      <c r="M19" s="28" t="str">
        <f ca="1">IF(ISBLANK(M18),"",IF(ISERR($H$28)=TRUE,"",IF(ABS(M18)&gt;ABS($D$28),"Non conforme",IF(ABS(M18)&gt;=ABS(M21),"Alerte","Acceptable"))))</f>
        <v>Acceptable</v>
      </c>
      <c r="N19" s="28" t="str">
        <f>IF(ISBLANK(N18),"",IF(ISERR($H$28)=TRUE,"",IF(ABS(N18)&gt;ABS($D$28),"Non conforme",IF(ABS(N18)&gt;=ABS(N21),"Alerte","Acceptable"))))</f>
        <v/>
      </c>
      <c r="O19" s="28" t="str">
        <f ca="1">IF(ISBLANK(O18),"",IF(ISERR($H$28)=TRUE,"",IF(ABS(O18)&gt;ABS($D$28),"Non conforme",IF(ABS(O18)&gt;=ABS(O21),"Alerte","Acceptable"))))</f>
        <v>Acceptable</v>
      </c>
      <c r="P19" s="28" t="str">
        <f ca="1">IF(ISBLANK(P18),"",IF(ISERR($H$28)=TRUE,"",IF(ABS(P18)&gt;ABS($D$28),"Non conforme",IF(ABS(P18)&gt;=ABS(P21),"Alerte","Acceptable"))))</f>
        <v>Alerte</v>
      </c>
      <c r="Q19" s="18" t="str">
        <f>IF(ISBLANK(Q18),"",IF(ISERR($H$28)=TRUE,"",IF(ABS(Q18)&gt;ABS($D$28),"Non conforme",IF(ABS(Q18)&gt;=ABS(Q21),"Alerte","Acceptable"))))</f>
        <v/>
      </c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</row>
    <row r="20" spans="1:34" x14ac:dyDescent="0.25">
      <c r="A20" s="71" t="s">
        <v>16</v>
      </c>
      <c r="B20" s="73"/>
      <c r="C20" s="57">
        <f>IF(OR((B18=""),C18=""),"",ABS(C18-LOOKUP(9^9,$B18))/(C17-(MAX(B17*(B17&lt;&gt;"")))))</f>
        <v>1.0000000000000009E-2</v>
      </c>
      <c r="D20" s="57" cm="1">
        <f t="array" aca="1" ref="D20" ca="1">IF(AND((B18=""),(C18="")),"",IF(D18="","",IF(AND(ISNUMBER(SEARCH("Alerte",C19)),D18&lt;ABS($D$28)),0,ABS(D18-LOOKUP(9^9,$B18:C18))/(D17-(MAX(B17:C17*(B18:C18&lt;&gt;"")))))))</f>
        <v>0</v>
      </c>
      <c r="E20" s="57" cm="1">
        <f t="array" aca="1" ref="E20" ca="1">IF((E18=""),"",IF(AND(ISNUMBER(SEARCH("Alerte",D19)),E18&lt;ABS($D$28)),0,ABS(E18-LOOKUP(9^9,$B18:D18))/(E17-(MAX(B17:D17*(B18:D18&lt;&gt;""))))))</f>
        <v>1.0000000000000009E-2</v>
      </c>
      <c r="F20" s="57" cm="1">
        <f t="array" aca="1" ref="F20" ca="1">IF((F18=""),"",IF(AND(ISNUMBER(SEARCH("Alerte",E19)),F18&lt;ABS($D$28)),0,ABS(F18-LOOKUP(9^9,$B18:E18))/(F17-(MAX(C17:E17*(C18:E18&lt;&gt;""))))))</f>
        <v>7.0000000000000007E-2</v>
      </c>
      <c r="G20" s="57" t="str" cm="1">
        <f t="array" ref="G20">IF((G18=""),"",IF(AND(ISNUMBER(SEARCH("Alerte",F19)),G18&lt;ABS($D$28)),0,ABS(G18-LOOKUP(9^9,$B18:F18))/(G17-(MAX(D17:F17*(D18:F18&lt;&gt;""))))))</f>
        <v/>
      </c>
      <c r="H20" s="57" cm="1">
        <f t="array" ref="H20">IF((H18=""),"",IF(AND(ISNUMBER(SEARCH("Alerte",G19)),H18&lt;ABS($D$28)),0,ABS(H18-LOOKUP(9^9,$B18:G18))/(H17-(MAX(E17:G17*(E18:G18&lt;&gt;""))))))</f>
        <v>5.0000000000000044E-3</v>
      </c>
      <c r="I20" s="57" t="str" cm="1">
        <f t="array" ref="I20">IF((I18=""),"",IF(AND(ISNUMBER(SEARCH("Alerte",H19)),I18&lt;ABS($D$28)),0,ABS(I18-LOOKUP(9^9,$B18:H18))/(I17-(MAX(F17:H17*(F18:H18&lt;&gt;""))))))</f>
        <v/>
      </c>
      <c r="J20" s="57" cm="1">
        <f t="array" ref="J20">IF((J18=""),"",IF(AND(ISNUMBER(SEARCH("Alerte",I19)),J18&lt;ABS($D$28)),0,ABS(J18-LOOKUP(9^9,$B18:I18))/(J17-(MAX(G17:I17*(G18:I18&lt;&gt;""))))))</f>
        <v>7.0000000000000007E-2</v>
      </c>
      <c r="K20" s="57" cm="1">
        <f t="array" aca="1" ref="K20" ca="1">IF((K18=""),"",IF(AND(ISNUMBER(SEARCH("Alerte",J19)),K18&lt;ABS($D$28)),0,ABS(K18-LOOKUP(9^9,$B18:J18))/(K17-(MAX(H17:J17*(H18:J18&lt;&gt;""))))))</f>
        <v>0</v>
      </c>
      <c r="L20" s="57" cm="1">
        <f t="array" aca="1" ref="L20" ca="1">IF((L18=""),"",IF(AND(ISNUMBER(SEARCH("Alerte",K19)),L18&lt;ABS($D$28)),0,ABS(L18-LOOKUP(9^9,$B18:K18))/(L17-(MAX(I17:K17*(I18:K18&lt;&gt;""))))))</f>
        <v>0.03</v>
      </c>
      <c r="M20" s="57" cm="1">
        <f t="array" aca="1" ref="M20" ca="1">IF((M18=""),"",IF(AND(ISNUMBER(SEARCH("Alerte",L19)),M18&lt;ABS($D$28)),0,ABS(M18-LOOKUP(9^9,$B18:L18))/(M17-(MAX(J17:L17*(J18:L18&lt;&gt;""))))))</f>
        <v>3.0000000000000027E-2</v>
      </c>
      <c r="N20" s="57" t="str" cm="1">
        <f t="array" ref="N20">IF((N18=""),"",IF(AND(ISNUMBER(SEARCH("Alerte",M19)),N18&lt;ABS($D$28)),0,ABS(N18-LOOKUP(9^9,$B18:M18))/(N17-(MAX(K17:M17*(K18:M18&lt;&gt;""))))))</f>
        <v/>
      </c>
      <c r="O20" s="57" cm="1">
        <f t="array" ref="O20">IF((O18=""),"",IF(AND(ISNUMBER(SEARCH("Alerte",N19)),O18&lt;ABS($D$28)),0,ABS(O18-LOOKUP(9^9,$B18:N18))/(O17-(MAX(L17:N17*(L18:N18&lt;&gt;""))))))</f>
        <v>3.4999999999999976E-2</v>
      </c>
      <c r="P20" s="57" cm="1">
        <f t="array" aca="1" ref="P20" ca="1">IF((P18=""),"",IF(AND(ISNUMBER(SEARCH("Alerte",O19)),P18&lt;ABS($D$28)),0,ABS(P18-LOOKUP(9^9,$B18:O18))/(P17-(MAX(M17:O17*(M18:O18&lt;&gt;""))))))</f>
        <v>9.0000000000000024E-2</v>
      </c>
      <c r="Q20" s="57" t="str" cm="1">
        <f t="array" ref="Q20">IF((Q18=""),"",IF(AND(ISNUMBER(SEARCH("Alerte",P19)),Q18&lt;ABS($D$28)),0,ABS(Q18-LOOKUP(9^9,$B18:P18))/(Q17-(MAX(N17:P17*(N18:P18&lt;&gt;""))))))</f>
        <v/>
      </c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</row>
    <row r="21" spans="1:34" ht="15.75" thickBot="1" x14ac:dyDescent="0.3">
      <c r="A21" s="75" t="s">
        <v>24</v>
      </c>
      <c r="B21" s="74"/>
      <c r="C21" s="28">
        <f>IF(OR((B18=""),(C18="")),"",ABS($D$28+ABS(2*C20)))</f>
        <v>0.48</v>
      </c>
      <c r="D21" s="28">
        <f ca="1">IF(AND((B18=""),(C18="")),"",IF(D18="","",ABS($D$28+ABS(2*D20))))</f>
        <v>0.5</v>
      </c>
      <c r="E21" s="28">
        <f ca="1">IF(E18="","",ABS($D$28+ABS(2*E20)))</f>
        <v>0.48</v>
      </c>
      <c r="F21" s="28">
        <f ca="1">IF(F18="","",ABS($D$28+ABS(2*F20)))</f>
        <v>0.36</v>
      </c>
      <c r="G21" s="28" t="str">
        <f>IF(G18="","",ABS($D$28+ABS(2*G20)))</f>
        <v/>
      </c>
      <c r="H21" s="28">
        <f>IF(H18="","",ABS($D$28+ABS(2*H20)))</f>
        <v>0.49</v>
      </c>
      <c r="I21" s="28" t="str">
        <f>IF(I18="","",ABS($D$28+ABS(2*I20)))</f>
        <v/>
      </c>
      <c r="J21" s="28">
        <f>IF(J18="","",ABS($D$28+ABS(2*J20)))</f>
        <v>0.36</v>
      </c>
      <c r="K21" s="28">
        <f ca="1">IF(K18="","",ABS($D$28+ABS(2*K20)))</f>
        <v>0.5</v>
      </c>
      <c r="L21" s="28">
        <f ca="1">IF(L18="","",ABS($D$28+ABS(2*L20)))</f>
        <v>0.44</v>
      </c>
      <c r="M21" s="28">
        <f ca="1">IF(M18="","",ABS($D$28+ABS(2*M20)))</f>
        <v>0.43999999999999995</v>
      </c>
      <c r="N21" s="28" t="str">
        <f>IF(N18="","",ABS($D$28+ABS(2*N20)))</f>
        <v/>
      </c>
      <c r="O21" s="28">
        <f>IF(O18="","",ABS($D$28+ABS(2*O20)))</f>
        <v>0.43000000000000005</v>
      </c>
      <c r="P21" s="28">
        <f ca="1">IF(P18="","",ABS($D$28+ABS(2*P20)))</f>
        <v>0.31999999999999995</v>
      </c>
      <c r="Q21" s="18" t="str">
        <f>IF(Q18="","",ABS($D$28+ABS(2*Q20)))</f>
        <v/>
      </c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</row>
    <row r="22" spans="1:34" ht="15.75" customHeight="1" x14ac:dyDescent="0.25"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</row>
    <row r="23" spans="1:34" ht="15" customHeight="1" x14ac:dyDescent="0.25"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</row>
    <row r="24" spans="1:34" ht="15.75" customHeight="1" thickBot="1" x14ac:dyDescent="0.3">
      <c r="S24" s="61"/>
      <c r="T24" s="61"/>
      <c r="U24" s="61"/>
      <c r="V24" s="61"/>
      <c r="W24" s="61"/>
      <c r="X24" s="61"/>
      <c r="Y24" s="61"/>
      <c r="Z24" s="60"/>
      <c r="AA24" s="60"/>
      <c r="AB24" s="60"/>
      <c r="AC24" s="60"/>
      <c r="AD24" s="60"/>
      <c r="AE24" s="60"/>
      <c r="AF24" s="60"/>
      <c r="AG24" s="60"/>
      <c r="AH24" s="60"/>
    </row>
    <row r="25" spans="1:34" ht="15" customHeight="1" x14ac:dyDescent="0.25">
      <c r="B25" s="109" t="s">
        <v>11</v>
      </c>
      <c r="C25" s="110"/>
      <c r="D25" s="111"/>
      <c r="S25" s="61"/>
      <c r="T25" s="61"/>
      <c r="U25" s="61"/>
      <c r="V25" s="61"/>
      <c r="W25" s="61"/>
      <c r="X25" s="61"/>
      <c r="Y25" s="61"/>
      <c r="Z25" s="60"/>
      <c r="AA25" s="60"/>
      <c r="AB25" s="60"/>
      <c r="AC25" s="60"/>
      <c r="AD25" s="60"/>
      <c r="AE25" s="60"/>
      <c r="AF25" s="60"/>
      <c r="AG25" s="60"/>
      <c r="AH25" s="60"/>
    </row>
    <row r="26" spans="1:34" ht="15.75" thickBot="1" x14ac:dyDescent="0.3">
      <c r="B26" s="112"/>
      <c r="C26" s="113"/>
      <c r="D26" s="114"/>
      <c r="M26" s="19"/>
      <c r="S26" s="61"/>
      <c r="T26" s="61"/>
      <c r="U26" s="61"/>
      <c r="V26" s="61"/>
      <c r="W26" s="61"/>
      <c r="X26" s="61"/>
      <c r="Y26" s="61"/>
      <c r="Z26" s="60"/>
      <c r="AA26" s="60"/>
      <c r="AB26" s="60"/>
      <c r="AC26" s="60"/>
      <c r="AD26" s="60"/>
      <c r="AE26" s="60"/>
      <c r="AF26" s="60"/>
      <c r="AG26" s="60"/>
      <c r="AH26" s="60"/>
    </row>
    <row r="27" spans="1:34" ht="21.75" customHeight="1" thickBot="1" x14ac:dyDescent="0.3">
      <c r="B27" s="103" t="s">
        <v>12</v>
      </c>
      <c r="C27" s="104"/>
      <c r="D27" s="17">
        <f>IF(K9="","",K9*0.25)</f>
        <v>0.5</v>
      </c>
      <c r="S27" s="61"/>
      <c r="T27" s="61"/>
      <c r="U27" s="61"/>
      <c r="V27" s="61"/>
      <c r="W27" s="61"/>
      <c r="X27" s="61"/>
      <c r="Y27" s="61"/>
      <c r="Z27" s="60"/>
      <c r="AA27" s="60"/>
      <c r="AB27" s="60"/>
      <c r="AC27" s="60"/>
      <c r="AD27" s="60"/>
      <c r="AE27" s="60"/>
      <c r="AF27" s="60"/>
      <c r="AG27" s="60"/>
      <c r="AH27" s="60"/>
    </row>
    <row r="28" spans="1:34" ht="22.5" customHeight="1" thickBot="1" x14ac:dyDescent="0.3">
      <c r="B28" s="105" t="s">
        <v>13</v>
      </c>
      <c r="C28" s="106"/>
      <c r="D28" s="18">
        <f>IF(K9="","",-0.25*K9)</f>
        <v>-0.5</v>
      </c>
      <c r="H28" s="39" cm="1">
        <f t="array" aca="1" ref="H28" ca="1">IF(COUNTA(B18:Q18)&lt;2,"",IF(OR(COUNTIF(B19:Q19,"Alerte")&gt;0,COUNTIF(B19:Q19,"Non conforme")&gt;0),MAX(B17:Q17*(B19:Q19&lt;&gt;"")+1),IF(OR(COUNTIF(B48:Q48,"Alerte")&gt;0,COUNTIF(B48:Q48,"Non conforme")&gt;0),MAX(B46:Q46*(B48:Q48&lt;&gt;"")),IF(SLOPE(B18:Q18,B17:Q17)&gt;0,(D27-(INTERCEPT(B18:Q18,B17:Q17)))/(SLOPE(B18:Q18,B17:Q17)),(D28-(INTERCEPT(B18:Q18,B17:Q17)))/(SLOPE(B18:Q18,B17:Q17))))))</f>
        <v>2038</v>
      </c>
      <c r="L28" s="90" t="str">
        <f ca="1">IF(OR(COUNTIF($B$19:$Q$19,"Non conforme")&gt;0,COUNTIF($B$48:$Q$48,"Non conforme")&gt;0),"Sonde à remplacer",IF(OR(COUNTIF($B$19:Q19,"Alerte")&gt;0,COUNTIF($B$48:$Q$48,"Alerte")&gt;0),"A étalonner en","Année potentioelle de non-conformité"))</f>
        <v>A étalonner en</v>
      </c>
      <c r="M28" s="91"/>
      <c r="N28" s="92"/>
      <c r="S28" s="61"/>
      <c r="T28" s="61"/>
      <c r="U28" s="61"/>
      <c r="V28" s="61"/>
      <c r="W28" s="61"/>
      <c r="X28" s="61"/>
      <c r="Y28" s="61"/>
      <c r="Z28" s="60"/>
      <c r="AA28" s="60"/>
      <c r="AB28" s="60"/>
      <c r="AC28" s="60"/>
      <c r="AD28" s="60"/>
      <c r="AE28" s="60"/>
      <c r="AF28" s="60"/>
      <c r="AG28" s="60"/>
      <c r="AH28" s="60"/>
    </row>
    <row r="29" spans="1:34" ht="22.5" customHeight="1" thickBot="1" x14ac:dyDescent="0.4">
      <c r="C29" s="43"/>
      <c r="D29" s="44"/>
      <c r="G29" s="58"/>
      <c r="L29" s="84">
        <f ca="1">IF(H28="","",H28)</f>
        <v>2038</v>
      </c>
      <c r="M29" s="85"/>
      <c r="N29" s="86"/>
      <c r="S29" s="61"/>
      <c r="T29" s="61"/>
      <c r="U29" s="61"/>
      <c r="V29" s="61"/>
      <c r="W29" s="61"/>
      <c r="X29" s="61"/>
      <c r="Y29" s="61"/>
      <c r="Z29" s="60"/>
      <c r="AA29" s="60"/>
      <c r="AB29" s="60"/>
      <c r="AC29" s="60"/>
      <c r="AD29" s="60"/>
      <c r="AE29" s="60"/>
      <c r="AF29" s="60"/>
      <c r="AG29" s="60"/>
      <c r="AH29" s="60"/>
    </row>
    <row r="30" spans="1:34" ht="21.75" customHeight="1" thickBot="1" x14ac:dyDescent="0.4">
      <c r="B30" s="52"/>
      <c r="C30" s="45" t="str">
        <f>"Bornes d'alerte de la sonde en "</f>
        <v xml:space="preserve">Bornes d'alerte de la sonde en </v>
      </c>
      <c r="D30" s="46" cm="1">
        <f t="array" ref="D30">IF(C18="","",MAX(B17:Q17*(B18:Q18&lt;&gt;"")))</f>
        <v>2037</v>
      </c>
      <c r="S30" s="61"/>
      <c r="T30" s="61"/>
      <c r="U30" s="61"/>
      <c r="V30" s="61"/>
      <c r="W30" s="61"/>
      <c r="X30" s="61"/>
      <c r="Y30" s="61"/>
      <c r="Z30" s="60"/>
      <c r="AA30" s="60"/>
      <c r="AB30" s="60"/>
      <c r="AC30" s="60"/>
      <c r="AD30" s="60"/>
      <c r="AE30" s="60"/>
      <c r="AF30" s="60"/>
      <c r="AG30" s="60"/>
      <c r="AH30" s="60"/>
    </row>
    <row r="31" spans="1:34" ht="18" x14ac:dyDescent="0.25">
      <c r="B31" s="103" t="s">
        <v>18</v>
      </c>
      <c r="C31" s="104"/>
      <c r="D31" s="64">
        <f ca="1">IF(H28="","",D27-(2*LOOKUP(9^9,20:20)))</f>
        <v>0.31999999999999995</v>
      </c>
      <c r="S31" s="61"/>
      <c r="T31" s="61"/>
      <c r="U31" s="61"/>
      <c r="V31" s="61"/>
      <c r="W31" s="61"/>
      <c r="X31" s="61"/>
      <c r="Y31" s="61"/>
      <c r="Z31" s="60"/>
      <c r="AA31" s="60"/>
      <c r="AB31" s="60"/>
      <c r="AC31" s="60"/>
      <c r="AD31" s="60"/>
      <c r="AE31" s="60"/>
      <c r="AF31" s="60"/>
      <c r="AG31" s="60"/>
      <c r="AH31" s="60"/>
    </row>
    <row r="32" spans="1:34" ht="18" customHeight="1" thickBot="1" x14ac:dyDescent="0.3">
      <c r="B32" s="105" t="s">
        <v>19</v>
      </c>
      <c r="C32" s="106"/>
      <c r="D32" s="65">
        <f ca="1">IF(H28="","",D28+(2*LOOKUP(9^9,20:20)))</f>
        <v>-0.31999999999999995</v>
      </c>
      <c r="S32" s="61"/>
      <c r="T32" s="61"/>
      <c r="U32" s="61"/>
      <c r="V32" s="61"/>
      <c r="W32" s="61"/>
      <c r="X32" s="61"/>
      <c r="Y32" s="61"/>
      <c r="Z32" s="60"/>
      <c r="AA32" s="60"/>
      <c r="AB32" s="60"/>
      <c r="AC32" s="60"/>
      <c r="AD32" s="60"/>
      <c r="AE32" s="60"/>
      <c r="AF32" s="60"/>
      <c r="AG32" s="60"/>
      <c r="AH32" s="60"/>
    </row>
    <row r="33" spans="1:34" x14ac:dyDescent="0.25">
      <c r="B33" s="41" t="s">
        <v>22</v>
      </c>
      <c r="S33" s="61"/>
      <c r="T33" s="61"/>
      <c r="U33" s="61"/>
      <c r="V33" s="61"/>
      <c r="W33" s="61"/>
      <c r="X33" s="61"/>
      <c r="Y33" s="61"/>
      <c r="Z33" s="60"/>
      <c r="AA33" s="60"/>
      <c r="AB33" s="60"/>
      <c r="AC33" s="60"/>
      <c r="AD33" s="60"/>
      <c r="AE33" s="60"/>
      <c r="AF33" s="60"/>
      <c r="AG33" s="60"/>
      <c r="AH33" s="60"/>
    </row>
    <row r="34" spans="1:34" x14ac:dyDescent="0.25">
      <c r="S34" s="61"/>
      <c r="T34" s="61"/>
      <c r="U34" s="61"/>
      <c r="V34" s="61"/>
      <c r="W34" s="61"/>
      <c r="X34" s="61"/>
      <c r="Y34" s="61"/>
      <c r="Z34" s="60"/>
      <c r="AA34" s="60"/>
      <c r="AB34" s="60"/>
      <c r="AC34" s="60"/>
      <c r="AD34" s="60"/>
      <c r="AE34" s="60"/>
      <c r="AF34" s="60"/>
      <c r="AG34" s="60"/>
      <c r="AH34" s="60"/>
    </row>
    <row r="35" spans="1:34" x14ac:dyDescent="0.25">
      <c r="S35" s="61"/>
      <c r="T35" s="61"/>
      <c r="U35" s="61"/>
      <c r="V35" s="61"/>
      <c r="W35" s="61"/>
      <c r="X35" s="61"/>
      <c r="Y35" s="61"/>
      <c r="Z35" s="60"/>
      <c r="AA35" s="60"/>
      <c r="AB35" s="60"/>
      <c r="AC35" s="60"/>
      <c r="AD35" s="60"/>
      <c r="AE35" s="60"/>
      <c r="AF35" s="60"/>
      <c r="AG35" s="60"/>
      <c r="AH35" s="60"/>
    </row>
    <row r="36" spans="1:34" x14ac:dyDescent="0.25">
      <c r="S36" s="61"/>
      <c r="T36" s="61"/>
      <c r="U36" s="61"/>
      <c r="V36" s="61"/>
      <c r="W36" s="61"/>
      <c r="X36" s="61"/>
      <c r="Y36" s="61"/>
      <c r="Z36" s="60"/>
      <c r="AA36" s="60"/>
      <c r="AB36" s="60"/>
      <c r="AC36" s="60"/>
      <c r="AD36" s="60"/>
      <c r="AE36" s="60"/>
      <c r="AF36" s="60"/>
      <c r="AG36" s="60"/>
      <c r="AH36" s="60"/>
    </row>
    <row r="37" spans="1:34" x14ac:dyDescent="0.25"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</row>
    <row r="38" spans="1:34" x14ac:dyDescent="0.25"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</row>
    <row r="39" spans="1:34" x14ac:dyDescent="0.25">
      <c r="S39" s="60"/>
      <c r="T39" s="60"/>
      <c r="U39" s="60"/>
      <c r="V39" s="60"/>
      <c r="W39" s="60"/>
      <c r="X39" s="60"/>
      <c r="Y39" s="60"/>
      <c r="Z39" s="60"/>
      <c r="AA39" s="60"/>
      <c r="AB39" s="60"/>
      <c r="AC39" s="60"/>
      <c r="AD39" s="60"/>
      <c r="AE39" s="60"/>
      <c r="AF39" s="60"/>
      <c r="AG39" s="60"/>
      <c r="AH39" s="60"/>
    </row>
    <row r="40" spans="1:34" x14ac:dyDescent="0.25"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</row>
    <row r="41" spans="1:34" x14ac:dyDescent="0.25">
      <c r="S41" s="60"/>
      <c r="T41" s="60"/>
      <c r="U41" s="60"/>
      <c r="V41" s="60"/>
      <c r="W41" s="60"/>
      <c r="X41" s="60"/>
      <c r="Y41" s="60"/>
      <c r="Z41" s="60"/>
      <c r="AA41" s="60"/>
      <c r="AB41" s="60"/>
      <c r="AC41" s="60"/>
      <c r="AD41" s="60"/>
      <c r="AE41" s="60"/>
      <c r="AF41" s="60"/>
      <c r="AG41" s="60"/>
      <c r="AH41" s="60"/>
    </row>
    <row r="42" spans="1:34" x14ac:dyDescent="0.25">
      <c r="S42" s="60"/>
      <c r="T42" s="60"/>
      <c r="U42" s="60"/>
      <c r="V42" s="60"/>
      <c r="W42" s="60"/>
      <c r="X42" s="60"/>
      <c r="Y42" s="60"/>
      <c r="Z42" s="60"/>
      <c r="AA42" s="60"/>
      <c r="AB42" s="60"/>
      <c r="AC42" s="60"/>
      <c r="AD42" s="60"/>
      <c r="AE42" s="60"/>
      <c r="AF42" s="60"/>
      <c r="AG42" s="60"/>
      <c r="AH42" s="60"/>
    </row>
    <row r="43" spans="1:34" x14ac:dyDescent="0.25">
      <c r="S43" s="60"/>
      <c r="T43" s="60"/>
      <c r="U43" s="60"/>
      <c r="V43" s="60"/>
      <c r="W43" s="60"/>
      <c r="X43" s="60"/>
      <c r="Y43" s="60"/>
      <c r="Z43" s="60"/>
      <c r="AA43" s="60"/>
      <c r="AB43" s="60"/>
      <c r="AC43" s="60"/>
      <c r="AD43" s="60"/>
      <c r="AE43" s="60"/>
      <c r="AF43" s="60"/>
      <c r="AG43" s="60"/>
      <c r="AH43" s="60"/>
    </row>
    <row r="44" spans="1:34" ht="27" thickBot="1" x14ac:dyDescent="0.45">
      <c r="G44" s="49" t="s">
        <v>26</v>
      </c>
      <c r="S44" s="60"/>
      <c r="T44" s="60"/>
      <c r="U44" s="60"/>
      <c r="V44" s="60"/>
      <c r="W44" s="60"/>
      <c r="X44" s="60"/>
      <c r="Y44" s="60"/>
      <c r="Z44" s="60"/>
      <c r="AA44" s="60"/>
      <c r="AB44" s="60"/>
      <c r="AC44" s="60"/>
      <c r="AD44" s="60"/>
      <c r="AE44" s="60"/>
      <c r="AF44" s="60"/>
      <c r="AG44" s="60"/>
      <c r="AH44" s="60"/>
    </row>
    <row r="45" spans="1:34" ht="21" customHeight="1" thickBot="1" x14ac:dyDescent="0.3">
      <c r="B45" s="115" t="s">
        <v>28</v>
      </c>
      <c r="C45" s="116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60"/>
      <c r="AH45" s="60"/>
    </row>
    <row r="46" spans="1:34" ht="21" customHeight="1" thickBot="1" x14ac:dyDescent="0.3">
      <c r="A46" s="30" t="s">
        <v>9</v>
      </c>
      <c r="B46" s="70">
        <f>IF(D46="","",D46-2)</f>
        <v>2023</v>
      </c>
      <c r="C46" s="70">
        <f>IF(D46="","",D46-1)</f>
        <v>2024</v>
      </c>
      <c r="D46" s="63">
        <f>IF($I$11="","",$I$11)</f>
        <v>2025</v>
      </c>
      <c r="E46" s="34">
        <f t="shared" ref="E46:Q46" si="5">IF(D46="","",D46+1)</f>
        <v>2026</v>
      </c>
      <c r="F46" s="34">
        <f t="shared" si="5"/>
        <v>2027</v>
      </c>
      <c r="G46" s="34">
        <f t="shared" si="5"/>
        <v>2028</v>
      </c>
      <c r="H46" s="34">
        <f t="shared" si="5"/>
        <v>2029</v>
      </c>
      <c r="I46" s="34">
        <f>IF(H46="","",H46+1)</f>
        <v>2030</v>
      </c>
      <c r="J46" s="34">
        <f>IF(I46="","",I46+1)</f>
        <v>2031</v>
      </c>
      <c r="K46" s="34">
        <f>IF(J46="","",J46+1)</f>
        <v>2032</v>
      </c>
      <c r="L46" s="34">
        <f>IF(K46="","",K46+1)</f>
        <v>2033</v>
      </c>
      <c r="M46" s="34">
        <f t="shared" si="5"/>
        <v>2034</v>
      </c>
      <c r="N46" s="34">
        <f t="shared" si="5"/>
        <v>2035</v>
      </c>
      <c r="O46" s="34">
        <f t="shared" si="5"/>
        <v>2036</v>
      </c>
      <c r="P46" s="34">
        <f t="shared" si="5"/>
        <v>2037</v>
      </c>
      <c r="Q46" s="35">
        <f t="shared" si="5"/>
        <v>2038</v>
      </c>
      <c r="S46" s="60"/>
      <c r="T46" s="60"/>
      <c r="U46" s="60"/>
      <c r="V46" s="60"/>
      <c r="W46" s="60"/>
      <c r="X46" s="60"/>
      <c r="Y46" s="60"/>
      <c r="Z46" s="60"/>
      <c r="AA46" s="60"/>
      <c r="AB46" s="60"/>
      <c r="AC46" s="60"/>
      <c r="AD46" s="60"/>
      <c r="AE46" s="60"/>
      <c r="AF46" s="60"/>
      <c r="AG46" s="60"/>
      <c r="AH46" s="60"/>
    </row>
    <row r="47" spans="1:34" ht="21" customHeight="1" x14ac:dyDescent="0.25">
      <c r="A47" s="31" t="s">
        <v>14</v>
      </c>
      <c r="B47" s="77">
        <v>0.18</v>
      </c>
      <c r="C47" s="78">
        <v>0.19</v>
      </c>
      <c r="D47" s="36">
        <v>0.19</v>
      </c>
      <c r="E47" s="36">
        <v>0.2</v>
      </c>
      <c r="F47" s="36">
        <v>0.27</v>
      </c>
      <c r="G47" s="36"/>
      <c r="H47" s="36">
        <v>0.26</v>
      </c>
      <c r="I47" s="36"/>
      <c r="J47" s="36">
        <v>0.4</v>
      </c>
      <c r="K47" s="36">
        <v>0.22</v>
      </c>
      <c r="L47" s="36">
        <v>0.25</v>
      </c>
      <c r="M47" s="36">
        <v>0.28000000000000003</v>
      </c>
      <c r="N47" s="36"/>
      <c r="O47" s="36">
        <v>0.35</v>
      </c>
      <c r="P47" s="36">
        <v>0.44</v>
      </c>
      <c r="Q47" s="37">
        <v>0.22</v>
      </c>
      <c r="S47" s="60"/>
      <c r="T47" s="60"/>
      <c r="U47" s="60"/>
      <c r="V47" s="60"/>
      <c r="W47" s="60"/>
      <c r="X47" s="60"/>
      <c r="Y47" s="60"/>
      <c r="Z47" s="60"/>
      <c r="AA47" s="60"/>
      <c r="AB47" s="60"/>
      <c r="AC47" s="60"/>
      <c r="AD47" s="60"/>
      <c r="AE47" s="60"/>
      <c r="AF47" s="60"/>
      <c r="AG47" s="60"/>
      <c r="AH47" s="60"/>
    </row>
    <row r="48" spans="1:34" ht="21" customHeight="1" thickBot="1" x14ac:dyDescent="0.3">
      <c r="A48" s="32" t="s">
        <v>10</v>
      </c>
      <c r="B48" s="40" t="str">
        <f>IF(ISBLANK(B47),"",IF(ABS(B47)&gt;ABS($D$58),"Non conforme","Acceptable"))</f>
        <v>Acceptable</v>
      </c>
      <c r="C48" s="28" t="str">
        <f ca="1">IF(ISBLANK(C47),"",IF(ISERR($H$28)=TRUE,"",IF((B47=""),IF(ABS(C47)&gt;ABS($D$58),"Non conforme",IF(ABS(C47)&gt;=ABS(D57),"Alerte","Acceptable")),IF(ABS(C47)&gt;ABS($D$58),"Non conforme",IF(ABS(C47)&gt;=ABS(C50),"Alerte","Acceptable")))))</f>
        <v>Acceptable</v>
      </c>
      <c r="D48" s="28" t="str">
        <f ca="1">IF(ISBLANK(D47),"",IF(ISERR($H$28)=TRUE,"",IF(ABS(D47)&gt;ABS($D$58),"Non conforme",IF(ABS(D47)&gt;=ABS(D50),"Alerte","Acceptable"))))</f>
        <v>Acceptable</v>
      </c>
      <c r="E48" s="28" t="str">
        <f ca="1">IF(ISBLANK(E47),"",IF(ISERR($H$28)=TRUE,"",IF(ABS(E47)&gt;ABS($D$28),"Non conforme",IF(ABS(E47)&gt;=ABS(E50),"Alerte","Acceptable"))))</f>
        <v>Acceptable</v>
      </c>
      <c r="F48" s="28" t="str">
        <f ca="1">IF(ISBLANK(F47),"",IF(ISERR($H$28)=TRUE,"",IF(ABS(F47)&gt;ABS($D$28),"Non conforme",IF(ABS(F47)&gt;=ABS(F50),"Alerte","Acceptable"))))</f>
        <v>Acceptable</v>
      </c>
      <c r="G48" s="28" t="str">
        <f>IF(ISBLANK(G47),"",IF(ISERR($H$28)=TRUE,"",IF(ABS(G47)&gt;ABS($D$28),"Non conforme",IF(ABS(G47)&gt;=ABS(G50),"Alerte","Acceptable"))))</f>
        <v/>
      </c>
      <c r="H48" s="28" t="str">
        <f ca="1">IF(ISBLANK(H47),"",IF(ISERR($H$28)=TRUE,"",IF(ABS(H47)&gt;ABS($D$28),"Non conforme",IF(ABS(H47)&gt;=ABS(H50),"Alerte","Acceptable"))))</f>
        <v>Acceptable</v>
      </c>
      <c r="I48" s="28" t="str">
        <f>IF(ISBLANK(I47),"",IF(ISERR($H$28)=TRUE,"",IF(ABS(I47)&gt;ABS($D$28),"Non conforme",IF(ABS(I47)&gt;=ABS(I50),"Alerte","Acceptable"))))</f>
        <v/>
      </c>
      <c r="J48" s="28" t="str">
        <f ca="1">IF(ISBLANK(J47),"",IF(ISERR($H$28)=TRUE,"",IF(ABS(J47)&gt;ABS($D$28),"Non conforme",IF(ABS(J47)&gt;=ABS(J50),"Alerte","Acceptable"))))</f>
        <v>Alerte</v>
      </c>
      <c r="K48" s="28" t="str">
        <f ca="1">IF(ISBLANK(K47),"",IF(ISERR($H$28)=TRUE,"",IF(ABS(K47)&gt;ABS($D$28),"Non conforme",IF(ABS(K47)&gt;=ABS(K50),"Alerte","Acceptable"))))</f>
        <v>Acceptable</v>
      </c>
      <c r="L48" s="28" t="str">
        <f ca="1">IF(ISBLANK(L47),"",IF(ISERR($H$28)=TRUE,"",IF(ABS(L47)&gt;ABS($D$28),"Non conforme",IF(ABS(L47)&gt;=ABS(L50),"Alerte","Acceptable"))))</f>
        <v>Acceptable</v>
      </c>
      <c r="M48" s="28" t="str">
        <f ca="1">IF(ISBLANK(M47),"",IF(ISERR($H$28)=TRUE,"",IF(ABS(M47)&gt;ABS($D$28),"Non conforme",IF(ABS(M47)&gt;=ABS(M50),"Alerte","Acceptable"))))</f>
        <v>Acceptable</v>
      </c>
      <c r="N48" s="28" t="str">
        <f>IF(ISBLANK(N47),"",IF(ISERR($H$28)=TRUE,"",IF(ABS(N47)&gt;ABS($D$28),"Non conforme",IF(ABS(N47)&gt;=ABS(N50),"Alerte","Acceptable"))))</f>
        <v/>
      </c>
      <c r="O48" s="28" t="str">
        <f ca="1">IF(ISBLANK(O47),"",IF(ISERR($H$28)=TRUE,"",IF(ABS(O47)&gt;ABS($D$28),"Non conforme",IF(ABS(O47)&gt;=ABS(O50),"Alerte","Acceptable"))))</f>
        <v>Acceptable</v>
      </c>
      <c r="P48" s="28" t="str">
        <f ca="1">IF(ISBLANK(P47),"",IF(ISERR($H$28)=TRUE,"",IF(ABS(P47)&gt;ABS($D$28),"Non conforme",IF(ABS(P47)&gt;=ABS(P50),"Alerte","Acceptable"))))</f>
        <v>Alerte</v>
      </c>
      <c r="Q48" s="28" t="str">
        <f ca="1">IF(ISBLANK(Q47),"",IF(ISERR($H$28)=TRUE,"",IF(ABS(Q47)&gt;ABS($D$28),"Non conforme",IF(ABS(Q47)&gt;=ABS(Q50),"Alerte","Acceptable"))))</f>
        <v>Acceptable</v>
      </c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</row>
    <row r="49" spans="1:34" x14ac:dyDescent="0.25">
      <c r="A49" s="71" t="s">
        <v>16</v>
      </c>
      <c r="B49" s="73"/>
      <c r="C49" s="57">
        <f>IF(OR((B47=""),C47=""),"",ABS(C47-LOOKUP(9^9,$B47))/(C46-(MAX(B46*(B46&lt;&gt;"")))))</f>
        <v>1.0000000000000009E-2</v>
      </c>
      <c r="D49" s="57" cm="1">
        <f t="array" aca="1" ref="D49" ca="1">IF(AND((B47=""),(C47="")),"",IF(D47="","",IF(AND(ISNUMBER(SEARCH("Alerte",C48)),D47&lt;ABS($D$58)),0,ABS(D47-LOOKUP(9^9,$B47:C47))/(D46-(MAX(B46:C46*(B47:C47&lt;&gt;"")))))))</f>
        <v>0</v>
      </c>
      <c r="E49" s="57" cm="1">
        <f t="array" aca="1" ref="E49" ca="1">IF(AND((C47=""),(D47="")),"",IF(E47="","",IF(AND(ISNUMBER(SEARCH("Alerte",D48)),E47&lt;ABS($D$58)),0,ABS(E47-LOOKUP(9^9,$B47:D47))/(E46-(MAX(C46:D46*(C47:D47&lt;&gt;"")))))))</f>
        <v>1.0000000000000009E-2</v>
      </c>
      <c r="F49" s="57" cm="1">
        <f t="array" aca="1" ref="F49" ca="1">IF(AND((D47=""),(E47="")),"",IF(F47="","",IF(AND(ISNUMBER(SEARCH("Alerte",E48)),F47&lt;ABS($D$58)),0,ABS(F47-LOOKUP(9^9,$B47:E47))/(F46-(MAX(D46:E46*(D47:E47&lt;&gt;"")))))))</f>
        <v>7.0000000000000007E-2</v>
      </c>
      <c r="G49" s="57" t="str" cm="1">
        <f t="array" ref="G49">IF(AND((E47=""),(F47="")),"",IF(G47="","",IF(AND(ISNUMBER(SEARCH("Alerte",F48)),G47&lt;ABS($D$58)),0,ABS(G47-LOOKUP(9^9,$B47:F47))/(G46-(MAX(E46:F46*(E47:F47&lt;&gt;"")))))))</f>
        <v/>
      </c>
      <c r="H49" s="57" cm="1">
        <f t="array" ref="H49">IF(AND((F47=""),(G47="")),"",IF(H47="","",IF(AND(ISNUMBER(SEARCH("Alerte",G48)),H47&lt;ABS($D$58)),0,ABS(H47-LOOKUP(9^9,$B47:G47))/(H46-(MAX(F46:G46*(F47:G47&lt;&gt;"")))))))</f>
        <v>5.0000000000000044E-3</v>
      </c>
      <c r="I49" s="57" t="str" cm="1">
        <f t="array" ref="I49">IF(AND((G47=""),(H47="")),"",IF(I47="","",IF(AND(ISNUMBER(SEARCH("Alerte",H48)),I47&lt;ABS($D$58)),0,ABS(I47-LOOKUP(9^9,$B47:H47))/(I46-(MAX(G46:H46*(G47:H47&lt;&gt;"")))))))</f>
        <v/>
      </c>
      <c r="J49" s="57" cm="1">
        <f t="array" ref="J49">IF(AND((H47=""),(I47="")),"",IF(J47="","",IF(AND(ISNUMBER(SEARCH("Alerte",I48)),J47&lt;ABS($D$58)),0,ABS(J47-LOOKUP(9^9,$B47:I47))/(J46-(MAX(H46:I46*(H47:I47&lt;&gt;"")))))))</f>
        <v>7.0000000000000007E-2</v>
      </c>
      <c r="K49" s="57" cm="1">
        <f t="array" aca="1" ref="K49" ca="1">IF(AND((I47=""),(J47="")),"",IF(K47="","",IF(AND(ISNUMBER(SEARCH("Alerte",J48)),K47&lt;ABS($D$58)),0,ABS(K47-LOOKUP(9^9,$B47:J47))/(K46-(MAX(I46:J46*(I47:J47&lt;&gt;"")))))))</f>
        <v>0</v>
      </c>
      <c r="L49" s="57" cm="1">
        <f t="array" aca="1" ref="L49" ca="1">IF(AND((J47=""),(K47="")),"",IF(L47="","",IF(AND(ISNUMBER(SEARCH("Alerte",K48)),L47&lt;ABS($D$58)),0,ABS(L47-LOOKUP(9^9,$B47:K47))/(L46-(MAX(J46:K46*(J47:K47&lt;&gt;"")))))))</f>
        <v>0.03</v>
      </c>
      <c r="M49" s="57" cm="1">
        <f t="array" aca="1" ref="M49" ca="1">IF(AND((K47=""),(L47="")),"",IF(M47="","",IF(AND(ISNUMBER(SEARCH("Alerte",L48)),M47&lt;ABS($D$58)),0,ABS(M47-LOOKUP(9^9,$B47:L47))/(M46-(MAX(K46:L46*(K47:L47&lt;&gt;"")))))))</f>
        <v>3.0000000000000027E-2</v>
      </c>
      <c r="N49" s="57" t="str" cm="1">
        <f t="array" ref="N49">IF(AND((L47=""),(M47="")),"",IF(N47="","",IF(AND(ISNUMBER(SEARCH("Alerte",M48)),N47&lt;ABS($D$58)),0,ABS(N47-LOOKUP(9^9,$B47:M47))/(N46-(MAX(L46:M46*(L47:M47&lt;&gt;"")))))))</f>
        <v/>
      </c>
      <c r="O49" s="57" cm="1">
        <f t="array" ref="O49">IF(AND((M47=""),(N47="")),"",IF(O47="","",IF(AND(ISNUMBER(SEARCH("Alerte",N48)),O47&lt;ABS($D$58)),0,ABS(O47-LOOKUP(9^9,$B47:N47))/(O46-(MAX(M46:N46*(M47:N47&lt;&gt;"")))))))</f>
        <v>3.4999999999999976E-2</v>
      </c>
      <c r="P49" s="57" cm="1">
        <f t="array" aca="1" ref="P49" ca="1">IF(AND((N47=""),(O47="")),"",IF(P47="","",IF(AND(ISNUMBER(SEARCH("Alerte",O48)),P47&lt;ABS($D$58)),0,ABS(P47-LOOKUP(9^9,$B47:O47))/(P46-(MAX(N46:O46*(N47:O47&lt;&gt;"")))))))</f>
        <v>9.0000000000000024E-2</v>
      </c>
      <c r="Q49" s="57" cm="1">
        <f t="array" aca="1" ref="Q49" ca="1">IF(AND((O47=""),(P47="")),"",IF(Q47="","",IF(AND(ISNUMBER(SEARCH("Alerte",P48)),Q47&lt;ABS($D$58)),0,ABS(Q47-LOOKUP(9^9,$B47:P47))/(Q46-(MAX(O46:P46*(O47:P47&lt;&gt;"")))))))</f>
        <v>0</v>
      </c>
      <c r="S49" s="60"/>
      <c r="T49" s="60"/>
      <c r="U49" s="60"/>
      <c r="V49" s="60"/>
      <c r="W49" s="60"/>
      <c r="X49" s="60"/>
      <c r="Y49" s="60"/>
      <c r="Z49" s="60"/>
      <c r="AA49" s="60"/>
      <c r="AB49" s="60"/>
      <c r="AC49" s="60"/>
      <c r="AD49" s="60"/>
      <c r="AE49" s="60"/>
      <c r="AF49" s="60"/>
      <c r="AG49" s="60"/>
      <c r="AH49" s="60"/>
    </row>
    <row r="50" spans="1:34" ht="15.75" thickBot="1" x14ac:dyDescent="0.3">
      <c r="A50" s="72" t="s">
        <v>24</v>
      </c>
      <c r="B50" s="74"/>
      <c r="C50" s="28">
        <f>IF(OR((B47=""),(C47="")),"",ABS($D$58+ABS(2*C49)))</f>
        <v>0.48</v>
      </c>
      <c r="D50" s="28">
        <f ca="1">IF(AND((B47=""),(C47="")),"",IF(D47="","",ABS($D$58+ABS(2*D49))))</f>
        <v>0.5</v>
      </c>
      <c r="E50" s="28">
        <f ca="1">IF(E47="","",ABS($D$58+ABS(2*E49)))</f>
        <v>0.48</v>
      </c>
      <c r="F50" s="28">
        <f t="shared" ref="F50:Q50" ca="1" si="6">IF(F47="","",ABS($D$58+ABS(2*F49)))</f>
        <v>0.36</v>
      </c>
      <c r="G50" s="28" t="str">
        <f t="shared" si="6"/>
        <v/>
      </c>
      <c r="H50" s="28">
        <f t="shared" si="6"/>
        <v>0.49</v>
      </c>
      <c r="I50" s="28" t="str">
        <f t="shared" si="6"/>
        <v/>
      </c>
      <c r="J50" s="28">
        <f t="shared" si="6"/>
        <v>0.36</v>
      </c>
      <c r="K50" s="28">
        <f t="shared" ca="1" si="6"/>
        <v>0.5</v>
      </c>
      <c r="L50" s="28">
        <f t="shared" ca="1" si="6"/>
        <v>0.44</v>
      </c>
      <c r="M50" s="28">
        <f t="shared" ca="1" si="6"/>
        <v>0.43999999999999995</v>
      </c>
      <c r="N50" s="28" t="str">
        <f t="shared" si="6"/>
        <v/>
      </c>
      <c r="O50" s="28">
        <f t="shared" si="6"/>
        <v>0.43000000000000005</v>
      </c>
      <c r="P50" s="28">
        <f t="shared" ca="1" si="6"/>
        <v>0.31999999999999995</v>
      </c>
      <c r="Q50" s="18">
        <f t="shared" ca="1" si="6"/>
        <v>0.5</v>
      </c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</row>
    <row r="51" spans="1:34" x14ac:dyDescent="0.25">
      <c r="A51" s="44"/>
      <c r="B51" s="58"/>
      <c r="C51" s="44"/>
      <c r="D51" s="44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S51" s="60"/>
      <c r="T51" s="60"/>
      <c r="U51" s="60"/>
      <c r="V51" s="60"/>
      <c r="W51" s="60"/>
      <c r="X51" s="60"/>
      <c r="Y51" s="60"/>
      <c r="Z51" s="60"/>
      <c r="AA51" s="60"/>
      <c r="AB51" s="60"/>
      <c r="AC51" s="60"/>
      <c r="AD51" s="60"/>
      <c r="AE51" s="60"/>
      <c r="AF51" s="60"/>
      <c r="AG51" s="60"/>
      <c r="AH51" s="60"/>
    </row>
    <row r="52" spans="1:34" x14ac:dyDescent="0.25"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60"/>
    </row>
    <row r="53" spans="1:34" x14ac:dyDescent="0.25">
      <c r="S53" s="60"/>
      <c r="T53" s="60"/>
      <c r="U53" s="60"/>
      <c r="V53" s="60"/>
      <c r="W53" s="60"/>
      <c r="X53" s="60"/>
      <c r="Y53" s="60"/>
      <c r="Z53" s="60"/>
      <c r="AA53" s="60"/>
      <c r="AB53" s="60"/>
      <c r="AC53" s="60"/>
      <c r="AD53" s="60"/>
      <c r="AE53" s="60"/>
      <c r="AF53" s="60"/>
      <c r="AG53" s="60"/>
      <c r="AH53" s="60"/>
    </row>
    <row r="54" spans="1:34" ht="15.75" thickBot="1" x14ac:dyDescent="0.3">
      <c r="S54" s="60">
        <f t="shared" ref="S54:AH54" si="7">$D$57</f>
        <v>0.5</v>
      </c>
      <c r="T54" s="60">
        <f t="shared" si="7"/>
        <v>0.5</v>
      </c>
      <c r="U54" s="60">
        <f t="shared" si="7"/>
        <v>0.5</v>
      </c>
      <c r="V54" s="60">
        <f t="shared" si="7"/>
        <v>0.5</v>
      </c>
      <c r="W54" s="60">
        <f t="shared" si="7"/>
        <v>0.5</v>
      </c>
      <c r="X54" s="60">
        <f t="shared" si="7"/>
        <v>0.5</v>
      </c>
      <c r="Y54" s="60">
        <f t="shared" si="7"/>
        <v>0.5</v>
      </c>
      <c r="Z54" s="60">
        <f t="shared" si="7"/>
        <v>0.5</v>
      </c>
      <c r="AA54" s="60">
        <f t="shared" si="7"/>
        <v>0.5</v>
      </c>
      <c r="AB54" s="60">
        <f t="shared" si="7"/>
        <v>0.5</v>
      </c>
      <c r="AC54" s="60">
        <f t="shared" si="7"/>
        <v>0.5</v>
      </c>
      <c r="AD54" s="60">
        <f t="shared" si="7"/>
        <v>0.5</v>
      </c>
      <c r="AE54" s="60">
        <f t="shared" si="7"/>
        <v>0.5</v>
      </c>
      <c r="AF54" s="60">
        <f t="shared" si="7"/>
        <v>0.5</v>
      </c>
      <c r="AG54" s="60">
        <f t="shared" si="7"/>
        <v>0.5</v>
      </c>
      <c r="AH54" s="60">
        <f t="shared" si="7"/>
        <v>0.5</v>
      </c>
    </row>
    <row r="55" spans="1:34" ht="15" customHeight="1" x14ac:dyDescent="0.25">
      <c r="B55" s="109" t="s">
        <v>11</v>
      </c>
      <c r="C55" s="110"/>
      <c r="D55" s="111"/>
      <c r="S55" s="60">
        <f t="shared" ref="S55:AH55" si="8">$D$58</f>
        <v>-0.5</v>
      </c>
      <c r="T55" s="60">
        <f t="shared" si="8"/>
        <v>-0.5</v>
      </c>
      <c r="U55" s="60">
        <f t="shared" si="8"/>
        <v>-0.5</v>
      </c>
      <c r="V55" s="60">
        <f t="shared" si="8"/>
        <v>-0.5</v>
      </c>
      <c r="W55" s="60">
        <f t="shared" si="8"/>
        <v>-0.5</v>
      </c>
      <c r="X55" s="60">
        <f t="shared" si="8"/>
        <v>-0.5</v>
      </c>
      <c r="Y55" s="60">
        <f t="shared" si="8"/>
        <v>-0.5</v>
      </c>
      <c r="Z55" s="60">
        <f t="shared" si="8"/>
        <v>-0.5</v>
      </c>
      <c r="AA55" s="60">
        <f t="shared" si="8"/>
        <v>-0.5</v>
      </c>
      <c r="AB55" s="60">
        <f t="shared" si="8"/>
        <v>-0.5</v>
      </c>
      <c r="AC55" s="60">
        <f t="shared" si="8"/>
        <v>-0.5</v>
      </c>
      <c r="AD55" s="60">
        <f t="shared" si="8"/>
        <v>-0.5</v>
      </c>
      <c r="AE55" s="60">
        <f t="shared" si="8"/>
        <v>-0.5</v>
      </c>
      <c r="AF55" s="60">
        <f t="shared" si="8"/>
        <v>-0.5</v>
      </c>
      <c r="AG55" s="60">
        <f t="shared" si="8"/>
        <v>-0.5</v>
      </c>
      <c r="AH55" s="60">
        <f t="shared" si="8"/>
        <v>-0.5</v>
      </c>
    </row>
    <row r="56" spans="1:34" ht="21.75" customHeight="1" thickBot="1" x14ac:dyDescent="0.3">
      <c r="B56" s="112"/>
      <c r="C56" s="113"/>
      <c r="D56" s="114"/>
      <c r="S56" s="62">
        <f t="shared" ref="S56:AH56" ca="1" si="9">$D$61</f>
        <v>0.5</v>
      </c>
      <c r="T56" s="62">
        <f t="shared" ca="1" si="9"/>
        <v>0.5</v>
      </c>
      <c r="U56" s="62">
        <f t="shared" ca="1" si="9"/>
        <v>0.5</v>
      </c>
      <c r="V56" s="62">
        <f t="shared" ca="1" si="9"/>
        <v>0.5</v>
      </c>
      <c r="W56" s="62">
        <f t="shared" ca="1" si="9"/>
        <v>0.5</v>
      </c>
      <c r="X56" s="62">
        <f t="shared" ca="1" si="9"/>
        <v>0.5</v>
      </c>
      <c r="Y56" s="62">
        <f t="shared" ca="1" si="9"/>
        <v>0.5</v>
      </c>
      <c r="Z56" s="62">
        <f t="shared" ca="1" si="9"/>
        <v>0.5</v>
      </c>
      <c r="AA56" s="62">
        <f t="shared" ca="1" si="9"/>
        <v>0.5</v>
      </c>
      <c r="AB56" s="62">
        <f t="shared" ca="1" si="9"/>
        <v>0.5</v>
      </c>
      <c r="AC56" s="62">
        <f t="shared" ca="1" si="9"/>
        <v>0.5</v>
      </c>
      <c r="AD56" s="62">
        <f t="shared" ca="1" si="9"/>
        <v>0.5</v>
      </c>
      <c r="AE56" s="62">
        <f t="shared" ca="1" si="9"/>
        <v>0.5</v>
      </c>
      <c r="AF56" s="62">
        <f t="shared" ca="1" si="9"/>
        <v>0.5</v>
      </c>
      <c r="AG56" s="62">
        <f t="shared" ca="1" si="9"/>
        <v>0.5</v>
      </c>
      <c r="AH56" s="62">
        <f t="shared" ca="1" si="9"/>
        <v>0.5</v>
      </c>
    </row>
    <row r="57" spans="1:34" ht="22.5" customHeight="1" thickBot="1" x14ac:dyDescent="0.3">
      <c r="B57" s="103" t="s">
        <v>12</v>
      </c>
      <c r="C57" s="104"/>
      <c r="D57" s="17">
        <f>IF(K9="","",K9*0.25)</f>
        <v>0.5</v>
      </c>
      <c r="S57" s="62">
        <f t="shared" ref="S57:AH57" ca="1" si="10">$D$62</f>
        <v>-0.5</v>
      </c>
      <c r="T57" s="62">
        <f t="shared" ca="1" si="10"/>
        <v>-0.5</v>
      </c>
      <c r="U57" s="62">
        <f t="shared" ca="1" si="10"/>
        <v>-0.5</v>
      </c>
      <c r="V57" s="62">
        <f t="shared" ca="1" si="10"/>
        <v>-0.5</v>
      </c>
      <c r="W57" s="62">
        <f t="shared" ca="1" si="10"/>
        <v>-0.5</v>
      </c>
      <c r="X57" s="62">
        <f t="shared" ca="1" si="10"/>
        <v>-0.5</v>
      </c>
      <c r="Y57" s="62">
        <f t="shared" ca="1" si="10"/>
        <v>-0.5</v>
      </c>
      <c r="Z57" s="62">
        <f t="shared" ca="1" si="10"/>
        <v>-0.5</v>
      </c>
      <c r="AA57" s="62">
        <f t="shared" ca="1" si="10"/>
        <v>-0.5</v>
      </c>
      <c r="AB57" s="62">
        <f t="shared" ca="1" si="10"/>
        <v>-0.5</v>
      </c>
      <c r="AC57" s="62">
        <f t="shared" ca="1" si="10"/>
        <v>-0.5</v>
      </c>
      <c r="AD57" s="62">
        <f t="shared" ca="1" si="10"/>
        <v>-0.5</v>
      </c>
      <c r="AE57" s="62">
        <f t="shared" ca="1" si="10"/>
        <v>-0.5</v>
      </c>
      <c r="AF57" s="62">
        <f t="shared" ca="1" si="10"/>
        <v>-0.5</v>
      </c>
      <c r="AG57" s="62">
        <f t="shared" ca="1" si="10"/>
        <v>-0.5</v>
      </c>
      <c r="AH57" s="62">
        <f t="shared" ca="1" si="10"/>
        <v>-0.5</v>
      </c>
    </row>
    <row r="58" spans="1:34" ht="22.5" customHeight="1" thickBot="1" x14ac:dyDescent="0.4">
      <c r="B58" s="105" t="s">
        <v>13</v>
      </c>
      <c r="C58" s="106"/>
      <c r="D58" s="18">
        <f>IF(K9="","",-0.25*K9)</f>
        <v>-0.5</v>
      </c>
      <c r="H58" s="39" cm="1">
        <f t="array" aca="1" ref="H58" ca="1">IF(COUNTA(B47:Q47)&lt;2,"",IF(OR(COUNTIF(B19:Q19,"Alerte")&gt;0,COUNTIF(B19:Q19,"Non conforme")&gt;0),MAX(B17:Q17*(B19:Q19&lt;&gt;"")+1),IF(OR(COUNTIF(B48:Q48,"Alerte")&gt;0,COUNTIF(B48:Q48,"Non conforme")&gt;0),MAX(B46:Q46*(B48:Q48&lt;&gt;"")+1),IF(SLOPE(B47:Q47,B46:Q46)&gt;0,(D57-(INTERCEPT(B47:Q47,B46:Q46)))/(SLOPE(B47:Q47,B46:Q46)),(D58-(INTERCEPT(B47:Q47,B46:Q46)))/(SLOPE(B47:Q47,B46:Q46))))))</f>
        <v>2038</v>
      </c>
      <c r="I58" s="47"/>
      <c r="J58" s="47"/>
      <c r="K58" s="47"/>
      <c r="L58" s="90" t="str">
        <f ca="1">IF(OR(COUNTIF($B$19:$Q$19,"Non Conforme")&gt;0,COUNTIF($B$48:$Q$48,"Non Conforme")&gt;0),"Sonde à remplacer",IF(OR(COUNTIF($B$19:Q49,"Alerte")&gt;0,COUNTIF($B$48:$Q$48,"Alerte")&gt;0),"A étalonner en","Année potentioelle de non-conformité"))</f>
        <v>A étalonner en</v>
      </c>
      <c r="M58" s="91"/>
      <c r="N58" s="92"/>
      <c r="S58" s="62"/>
      <c r="T58" s="62"/>
      <c r="U58" s="62"/>
      <c r="V58" s="62"/>
      <c r="W58" s="62"/>
      <c r="X58" s="62"/>
      <c r="Y58" s="62"/>
      <c r="Z58" s="62"/>
      <c r="AA58" s="62"/>
      <c r="AB58" s="62"/>
      <c r="AC58" s="62"/>
      <c r="AD58" s="62"/>
      <c r="AE58" s="62"/>
      <c r="AF58" s="62"/>
      <c r="AG58" s="62"/>
      <c r="AH58" s="62"/>
    </row>
    <row r="59" spans="1:34" ht="24" thickBot="1" x14ac:dyDescent="0.4">
      <c r="C59" s="43"/>
      <c r="D59" s="44"/>
      <c r="L59" s="84">
        <f ca="1">IF(ISERR(H58=""),"",H58)</f>
        <v>2038</v>
      </c>
      <c r="M59" s="85"/>
      <c r="N59" s="86"/>
      <c r="Q59" s="29"/>
    </row>
    <row r="60" spans="1:34" ht="21.75" thickBot="1" x14ac:dyDescent="0.4">
      <c r="B60" s="52"/>
      <c r="C60" s="45" t="s">
        <v>25</v>
      </c>
      <c r="D60" s="46" cm="1">
        <f t="array" ref="D60">IF(C47="","",MAX(B46:Q46*(B47:Q47&lt;&gt;"")))</f>
        <v>2038</v>
      </c>
    </row>
    <row r="61" spans="1:34" ht="18" x14ac:dyDescent="0.25">
      <c r="B61" s="103" t="s">
        <v>20</v>
      </c>
      <c r="C61" s="104"/>
      <c r="D61" s="17">
        <f ca="1">IF(H58="","",D57-(2*LOOKUP(9^9,49:49)))</f>
        <v>0.5</v>
      </c>
    </row>
    <row r="62" spans="1:34" ht="18.75" thickBot="1" x14ac:dyDescent="0.3">
      <c r="B62" s="105" t="s">
        <v>21</v>
      </c>
      <c r="C62" s="106"/>
      <c r="D62" s="18">
        <f ca="1">IF(H58="","",D58+(2*LOOKUP(9^9,49:49)))</f>
        <v>-0.5</v>
      </c>
    </row>
    <row r="63" spans="1:34" x14ac:dyDescent="0.25">
      <c r="B63" s="41" t="s">
        <v>22</v>
      </c>
    </row>
  </sheetData>
  <sheetProtection formatCells="0" formatColumns="0" formatRows="0" insertColumns="0" selectLockedCells="1" autoFilter="0"/>
  <mergeCells count="27">
    <mergeCell ref="B61:C61"/>
    <mergeCell ref="B62:C62"/>
    <mergeCell ref="I11:J11"/>
    <mergeCell ref="B25:D26"/>
    <mergeCell ref="B27:C27"/>
    <mergeCell ref="B28:C28"/>
    <mergeCell ref="B31:C31"/>
    <mergeCell ref="B32:C32"/>
    <mergeCell ref="B55:D56"/>
    <mergeCell ref="B57:C57"/>
    <mergeCell ref="B58:C58"/>
    <mergeCell ref="B16:C16"/>
    <mergeCell ref="B45:C45"/>
    <mergeCell ref="B1:O1"/>
    <mergeCell ref="P1:Q1"/>
    <mergeCell ref="L59:N59"/>
    <mergeCell ref="E12:L13"/>
    <mergeCell ref="L28:N28"/>
    <mergeCell ref="L29:N29"/>
    <mergeCell ref="L58:N58"/>
    <mergeCell ref="D3:H3"/>
    <mergeCell ref="E5:F5"/>
    <mergeCell ref="I9:J9"/>
    <mergeCell ref="I3:L3"/>
    <mergeCell ref="I7:J7"/>
    <mergeCell ref="I5:J5"/>
    <mergeCell ref="E9:F9"/>
  </mergeCells>
  <conditionalFormatting sqref="H5">
    <cfRule type="expression" dxfId="12" priority="28">
      <formula>$G$5="Autre, Précisez :"</formula>
    </cfRule>
  </conditionalFormatting>
  <conditionalFormatting sqref="H9">
    <cfRule type="expression" dxfId="11" priority="18">
      <formula>$G$9="Autre, Précisez :"</formula>
    </cfRule>
  </conditionalFormatting>
  <conditionalFormatting sqref="D47:Q48">
    <cfRule type="expression" dxfId="10" priority="29">
      <formula>IF(AND(COUNTIF($D$48:$Q$48,"Non conforme")&gt;0,LEN(D48)&lt;1),1,0)</formula>
    </cfRule>
  </conditionalFormatting>
  <conditionalFormatting sqref="B18:C18">
    <cfRule type="containsBlanks" dxfId="9" priority="12">
      <formula>LEN(TRIM(B18))=0</formula>
    </cfRule>
  </conditionalFormatting>
  <conditionalFormatting sqref="L29:N29">
    <cfRule type="expression" dxfId="8" priority="7">
      <formula>IF(ISNUMBER(SEARCH("*rempla*",L28)),1,0)</formula>
    </cfRule>
  </conditionalFormatting>
  <conditionalFormatting sqref="L59:N59">
    <cfRule type="expression" dxfId="7" priority="6">
      <formula>IF(ISNUMBER(SEARCH("*rempla*",L58)),1,0)</formula>
    </cfRule>
  </conditionalFormatting>
  <conditionalFormatting sqref="L28:N28 L58:N58">
    <cfRule type="containsText" dxfId="6" priority="5" operator="containsText" text="A étalonner en">
      <formula>NOT(ISERROR(SEARCH("A étalonner en",L28)))</formula>
    </cfRule>
  </conditionalFormatting>
  <conditionalFormatting sqref="L58:N58 L28:N28">
    <cfRule type="containsText" dxfId="5" priority="4" stopIfTrue="1" operator="containsText" text="Sonde à remplacer">
      <formula>NOT(ISERROR(SEARCH("Sonde à remplacer",L28)))</formula>
    </cfRule>
  </conditionalFormatting>
  <conditionalFormatting sqref="D18:Q19">
    <cfRule type="expression" dxfId="4" priority="3">
      <formula>IF(AND(COUNTIF($D$19:$Q$19,"Non conforme")&gt;0,LEN(D18)&lt;1),1,0)</formula>
    </cfRule>
  </conditionalFormatting>
  <conditionalFormatting sqref="B19:Q19 B48:Q48">
    <cfRule type="cellIs" dxfId="3" priority="25" operator="equal">
      <formula>"Non conforme"</formula>
    </cfRule>
    <cfRule type="cellIs" dxfId="2" priority="26" operator="equal">
      <formula>"Alerte"</formula>
    </cfRule>
    <cfRule type="cellIs" dxfId="1" priority="27" operator="equal">
      <formula>"Acceptable"</formula>
    </cfRule>
  </conditionalFormatting>
  <conditionalFormatting sqref="D48:Q48">
    <cfRule type="expression" dxfId="0" priority="2">
      <formula>IF(AND(COUNTIF($D$19:$Q$19,"Non conforme")&gt;0,LEN(D48)&lt;1),1,0)</formula>
    </cfRule>
  </conditionalFormatting>
  <dataValidations disablePrompts="1" count="2">
    <dataValidation type="list" allowBlank="1" showInputMessage="1" showErrorMessage="1" sqref="G9" xr:uid="{00000000-0002-0000-0000-000000000000}">
      <mc:AlternateContent xmlns:x12ac="http://schemas.microsoft.com/office/spreadsheetml/2011/1/ac" xmlns:mc="http://schemas.openxmlformats.org/markup-compatibility/2006">
        <mc:Choice Requires="x12ac">
          <x12ac:list>Température,Hygrométrie,%CO2,Pa,"Autre, Précisez :"</x12ac:list>
        </mc:Choice>
        <mc:Fallback>
          <formula1>"Température,Hygrométrie,%CO2,Pa,Autre, Précisez :"</formula1>
        </mc:Fallback>
      </mc:AlternateContent>
    </dataValidation>
    <dataValidation type="list" allowBlank="1" showInputMessage="1" showErrorMessage="1" sqref="G5" xr:uid="{00000000-0002-0000-0000-000001000000}">
      <mc:AlternateContent xmlns:x12ac="http://schemas.microsoft.com/office/spreadsheetml/2011/1/ac" xmlns:mc="http://schemas.openxmlformats.org/markup-compatibility/2006">
        <mc:Choice Requires="x12ac">
          <x12ac:list>Ambiant,Réfrigérateur,Congélateur -20°C,Congélateur -80°C,Cuve azote,Chambre froide +4°C,Chambre froide -20°C,Etuve 30°C ,Etuve 37°C ,Etuve C02,Bain-marie,"Autre, Précisez :"</x12ac:list>
        </mc:Choice>
        <mc:Fallback>
          <formula1>"Ambiant,Réfrigérateur,Congélateur -20°C,Congélateur -80°C,Cuve azote,Chambre froide +4°C,Chambre froide -20°C,Etuve 30°C ,Etuve 37°C ,Etuve C02,Bain-marie,Autre, Précisez :"</formula1>
        </mc:Fallback>
      </mc:AlternateContent>
    </dataValidation>
  </dataValidations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de dérive d'une sonde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G-BJN-5322714</dc:creator>
  <cp:lastModifiedBy>LAFITTE Philippe</cp:lastModifiedBy>
  <dcterms:created xsi:type="dcterms:W3CDTF">2023-06-12T11:00:45Z</dcterms:created>
  <dcterms:modified xsi:type="dcterms:W3CDTF">2025-06-13T10:17:50Z</dcterms:modified>
</cp:coreProperties>
</file>