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\RD$\RDLLN$\omar59373\Documents\"/>
    </mc:Choice>
  </mc:AlternateContent>
  <xr:revisionPtr revIDLastSave="0" documentId="8_{103CB537-26D7-40B6-AC0E-8786DA4E98E8}" xr6:coauthVersionLast="36" xr6:coauthVersionMax="36" xr10:uidLastSave="{00000000-0000-0000-0000-000000000000}"/>
  <bookViews>
    <workbookView xWindow="0" yWindow="0" windowWidth="21600" windowHeight="9525" tabRatio="795" xr2:uid="{9FF007A1-5D7D-4B95-A463-C1A6C16BB6AA}"/>
  </bookViews>
  <sheets>
    <sheet name="Cashflowtabel" sheetId="17" r:id="rId1"/>
    <sheet name="Vaste Kosten" sheetId="1" r:id="rId2"/>
    <sheet name="Financiele kosten" sheetId="15" r:id="rId3"/>
    <sheet name="Investeringen" sheetId="2" r:id="rId4"/>
    <sheet name="afschrijvingsperiode" sheetId="10" r:id="rId5"/>
    <sheet name="Eigen inbreng" sheetId="11" r:id="rId6"/>
    <sheet name="Marges" sheetId="12" r:id="rId7"/>
    <sheet name="Menu Verkoop" sheetId="14" r:id="rId8"/>
    <sheet name="opbrengsten en kosten" sheetId="13" r:id="rId9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7" l="1"/>
  <c r="B5" i="17"/>
  <c r="F5" i="17"/>
  <c r="G5" i="17"/>
  <c r="C36" i="1" l="1"/>
  <c r="D36" i="1"/>
  <c r="E36" i="1"/>
  <c r="F36" i="1"/>
  <c r="B36" i="1"/>
  <c r="B30" i="1"/>
  <c r="C28" i="1"/>
  <c r="D28" i="1"/>
  <c r="E28" i="1"/>
  <c r="F28" i="1"/>
  <c r="B28" i="1"/>
  <c r="C22" i="1"/>
  <c r="D22" i="1"/>
  <c r="E22" i="1"/>
  <c r="F22" i="1"/>
  <c r="B22" i="1"/>
  <c r="N23" i="17"/>
  <c r="N6" i="17"/>
  <c r="C20" i="1"/>
  <c r="D20" i="1"/>
  <c r="E20" i="1"/>
  <c r="F20" i="1"/>
  <c r="B20" i="1"/>
  <c r="C19" i="1"/>
  <c r="D19" i="1"/>
  <c r="E19" i="1"/>
  <c r="F19" i="1"/>
  <c r="B19" i="1"/>
  <c r="C18" i="1"/>
  <c r="D18" i="1"/>
  <c r="E18" i="1"/>
  <c r="F18" i="1"/>
  <c r="B18" i="1"/>
  <c r="C17" i="1"/>
  <c r="D17" i="1"/>
  <c r="E17" i="1"/>
  <c r="F17" i="1"/>
  <c r="B17" i="1"/>
  <c r="C16" i="1"/>
  <c r="D16" i="1"/>
  <c r="E16" i="1"/>
  <c r="F16" i="1"/>
  <c r="B16" i="1"/>
  <c r="C4" i="1"/>
  <c r="D4" i="1"/>
  <c r="E4" i="1"/>
  <c r="F4" i="1"/>
  <c r="B4" i="1"/>
  <c r="C22" i="17" l="1"/>
  <c r="D22" i="17"/>
  <c r="E22" i="17"/>
  <c r="F22" i="17"/>
  <c r="G22" i="17"/>
  <c r="H22" i="17"/>
  <c r="I22" i="17"/>
  <c r="J22" i="17"/>
  <c r="K22" i="17"/>
  <c r="L22" i="17"/>
  <c r="M22" i="17"/>
  <c r="B22" i="17"/>
  <c r="E67" i="17"/>
  <c r="N5" i="13"/>
  <c r="B59" i="2" l="1"/>
  <c r="D8" i="13"/>
  <c r="C8" i="13"/>
  <c r="E29" i="15"/>
  <c r="K38" i="17" l="1"/>
  <c r="L19" i="17" l="1"/>
  <c r="L20" i="17"/>
  <c r="N45" i="17" l="1"/>
  <c r="N44" i="17"/>
  <c r="N43" i="17"/>
  <c r="C10" i="15"/>
  <c r="C11" i="15" s="1"/>
  <c r="C12" i="15" s="1"/>
  <c r="C13" i="15" s="1"/>
  <c r="C14" i="15" s="1"/>
  <c r="C15" i="15" s="1"/>
  <c r="C16" i="15" s="1"/>
  <c r="C17" i="15" s="1"/>
  <c r="C18" i="15" s="1"/>
  <c r="C19" i="15" s="1"/>
  <c r="C20" i="15" s="1"/>
  <c r="C21" i="15" s="1"/>
  <c r="C22" i="15" s="1"/>
  <c r="C23" i="15" s="1"/>
  <c r="C24" i="15" s="1"/>
  <c r="C25" i="15" s="1"/>
  <c r="C26" i="15" s="1"/>
  <c r="B17" i="17"/>
  <c r="B14" i="17"/>
  <c r="N54" i="17"/>
  <c r="E54" i="17" s="1"/>
  <c r="E53" i="17" s="1"/>
  <c r="B37" i="17"/>
  <c r="C49" i="17"/>
  <c r="D49" i="17"/>
  <c r="E49" i="17"/>
  <c r="F49" i="17"/>
  <c r="G49" i="17"/>
  <c r="H49" i="17"/>
  <c r="I49" i="17"/>
  <c r="J49" i="17"/>
  <c r="K49" i="17"/>
  <c r="L49" i="17"/>
  <c r="M49" i="17"/>
  <c r="B49" i="17"/>
  <c r="B48" i="17" s="1"/>
  <c r="N32" i="17"/>
  <c r="B32" i="17" s="1"/>
  <c r="M34" i="17"/>
  <c r="L34" i="17"/>
  <c r="K34" i="17"/>
  <c r="J34" i="17"/>
  <c r="I34" i="17"/>
  <c r="H34" i="17"/>
  <c r="G34" i="17"/>
  <c r="F34" i="17"/>
  <c r="E34" i="17"/>
  <c r="D34" i="17"/>
  <c r="C34" i="17"/>
  <c r="B34" i="17"/>
  <c r="C28" i="17"/>
  <c r="D28" i="17"/>
  <c r="B28" i="17"/>
  <c r="B25" i="17" s="1"/>
  <c r="N53" i="17" l="1"/>
  <c r="J54" i="17"/>
  <c r="J53" i="17" s="1"/>
  <c r="L54" i="17"/>
  <c r="L53" i="17" s="1"/>
  <c r="H54" i="17"/>
  <c r="H53" i="17" s="1"/>
  <c r="D54" i="17"/>
  <c r="D53" i="17" s="1"/>
  <c r="B54" i="17"/>
  <c r="B53" i="17" s="1"/>
  <c r="K54" i="17"/>
  <c r="K53" i="17" s="1"/>
  <c r="G54" i="17"/>
  <c r="G53" i="17" s="1"/>
  <c r="C54" i="17"/>
  <c r="C53" i="17" s="1"/>
  <c r="F54" i="17"/>
  <c r="F53" i="17" s="1"/>
  <c r="M54" i="17"/>
  <c r="M53" i="17" s="1"/>
  <c r="I54" i="17"/>
  <c r="I53" i="17" s="1"/>
  <c r="N28" i="17"/>
  <c r="N21" i="17"/>
  <c r="N56" i="17" l="1"/>
  <c r="N55" i="17"/>
  <c r="N52" i="17"/>
  <c r="N51" i="17"/>
  <c r="M48" i="17"/>
  <c r="L48" i="17"/>
  <c r="K48" i="17"/>
  <c r="J48" i="17"/>
  <c r="I48" i="17"/>
  <c r="H48" i="17"/>
  <c r="G48" i="17"/>
  <c r="F48" i="17"/>
  <c r="E48" i="17"/>
  <c r="D48" i="17"/>
  <c r="C48" i="17"/>
  <c r="N47" i="17"/>
  <c r="N46" i="17"/>
  <c r="N40" i="17"/>
  <c r="N39" i="17"/>
  <c r="M37" i="17"/>
  <c r="L37" i="17"/>
  <c r="K37" i="17"/>
  <c r="J37" i="17"/>
  <c r="I37" i="17"/>
  <c r="H37" i="17"/>
  <c r="G37" i="17"/>
  <c r="F37" i="17"/>
  <c r="E37" i="17"/>
  <c r="D37" i="17"/>
  <c r="C37" i="17"/>
  <c r="N36" i="17"/>
  <c r="N29" i="17"/>
  <c r="N27" i="17"/>
  <c r="N26" i="17"/>
  <c r="M25" i="17"/>
  <c r="L25" i="17"/>
  <c r="K25" i="17"/>
  <c r="J25" i="17"/>
  <c r="I25" i="17"/>
  <c r="H25" i="17"/>
  <c r="G25" i="17"/>
  <c r="F25" i="17"/>
  <c r="E25" i="17"/>
  <c r="D25" i="17"/>
  <c r="C25" i="17"/>
  <c r="N24" i="17"/>
  <c r="N18" i="17"/>
  <c r="M17" i="17"/>
  <c r="K17" i="17"/>
  <c r="J17" i="17"/>
  <c r="I17" i="17"/>
  <c r="H17" i="17"/>
  <c r="G17" i="17"/>
  <c r="F17" i="17"/>
  <c r="E17" i="17"/>
  <c r="D17" i="17"/>
  <c r="C17" i="17"/>
  <c r="N16" i="17"/>
  <c r="M14" i="17"/>
  <c r="N15" i="17"/>
  <c r="L14" i="17"/>
  <c r="K14" i="17"/>
  <c r="J14" i="17"/>
  <c r="I14" i="17"/>
  <c r="H14" i="17"/>
  <c r="G14" i="17"/>
  <c r="F14" i="17"/>
  <c r="E14" i="17"/>
  <c r="D14" i="17"/>
  <c r="C14" i="17"/>
  <c r="N7" i="17"/>
  <c r="N37" i="17" l="1"/>
  <c r="N25" i="17"/>
  <c r="N48" i="17"/>
  <c r="N14" i="17"/>
  <c r="C28" i="13" l="1"/>
  <c r="C9" i="14" l="1"/>
  <c r="C11" i="14" s="1"/>
  <c r="C8" i="14"/>
  <c r="E22" i="12"/>
  <c r="D21" i="12"/>
  <c r="D20" i="12"/>
  <c r="D19" i="12"/>
  <c r="D18" i="12"/>
  <c r="D17" i="12"/>
  <c r="D16" i="12"/>
  <c r="D15" i="12"/>
  <c r="D13" i="12"/>
  <c r="D12" i="12"/>
  <c r="D11" i="12"/>
  <c r="D10" i="12"/>
  <c r="D8" i="12"/>
  <c r="D7" i="12"/>
  <c r="D6" i="12"/>
  <c r="D5" i="12"/>
  <c r="C21" i="12"/>
  <c r="C20" i="12"/>
  <c r="C19" i="12"/>
  <c r="C18" i="12"/>
  <c r="C6" i="12"/>
  <c r="B46" i="2"/>
  <c r="N34" i="17" s="1"/>
  <c r="B65" i="2"/>
  <c r="B31" i="17" s="1"/>
  <c r="B21" i="2"/>
  <c r="B19" i="2"/>
  <c r="B18" i="2"/>
  <c r="B17" i="2"/>
  <c r="B16" i="2"/>
  <c r="N31" i="17" l="1"/>
  <c r="H7" i="13"/>
  <c r="H9" i="13" s="1"/>
  <c r="H20" i="13" s="1"/>
  <c r="C10" i="14"/>
  <c r="E7" i="12"/>
  <c r="E17" i="12"/>
  <c r="E16" i="12"/>
  <c r="E15" i="12"/>
  <c r="E13" i="12"/>
  <c r="E12" i="12"/>
  <c r="E11" i="12"/>
  <c r="E10" i="12"/>
  <c r="E8" i="12"/>
  <c r="E5" i="12"/>
  <c r="E18" i="12"/>
  <c r="E19" i="12"/>
  <c r="E11" i="10"/>
  <c r="F11" i="10"/>
  <c r="D11" i="10"/>
  <c r="G8" i="10"/>
  <c r="H8" i="10" s="1"/>
  <c r="G6" i="10"/>
  <c r="H6" i="10" s="1"/>
  <c r="C7" i="10"/>
  <c r="C5" i="10"/>
  <c r="C4" i="10"/>
  <c r="C3" i="10"/>
  <c r="C2" i="10"/>
  <c r="G20" i="13" l="1"/>
  <c r="E6" i="12"/>
  <c r="G7" i="10"/>
  <c r="H7" i="10" s="1"/>
  <c r="G2" i="10"/>
  <c r="H2" i="10"/>
  <c r="G3" i="10"/>
  <c r="H3" i="10" s="1"/>
  <c r="G4" i="10"/>
  <c r="H4" i="10" s="1"/>
  <c r="G5" i="10"/>
  <c r="H5" i="10" s="1"/>
  <c r="B60" i="2"/>
  <c r="E20" i="12"/>
  <c r="E21" i="12"/>
  <c r="C11" i="10"/>
  <c r="B31" i="2"/>
  <c r="B9" i="2"/>
  <c r="N42" i="17" s="1"/>
  <c r="C71" i="1"/>
  <c r="D71" i="1"/>
  <c r="E71" i="1"/>
  <c r="F71" i="1"/>
  <c r="B71" i="1"/>
  <c r="D80" i="1"/>
  <c r="E80" i="1"/>
  <c r="F80" i="1"/>
  <c r="D61" i="1"/>
  <c r="E61" i="1"/>
  <c r="F61" i="1"/>
  <c r="D50" i="1"/>
  <c r="E50" i="1"/>
  <c r="F50" i="1"/>
  <c r="D38" i="1"/>
  <c r="E38" i="1"/>
  <c r="F38" i="1"/>
  <c r="D25" i="1"/>
  <c r="E25" i="1"/>
  <c r="F25" i="1"/>
  <c r="D13" i="1"/>
  <c r="E13" i="1"/>
  <c r="F13" i="1"/>
  <c r="C80" i="1"/>
  <c r="B80" i="1"/>
  <c r="C61" i="1"/>
  <c r="B61" i="1"/>
  <c r="C50" i="1"/>
  <c r="B50" i="1"/>
  <c r="C38" i="1"/>
  <c r="B38" i="1"/>
  <c r="C25" i="1"/>
  <c r="B25" i="1"/>
  <c r="C13" i="1"/>
  <c r="B13" i="1"/>
  <c r="N35" i="17" l="1"/>
  <c r="D7" i="13"/>
  <c r="E42" i="17"/>
  <c r="E41" i="17" s="1"/>
  <c r="B42" i="17"/>
  <c r="B41" i="17" s="1"/>
  <c r="H42" i="17"/>
  <c r="H41" i="17" s="1"/>
  <c r="I42" i="17"/>
  <c r="I41" i="17" s="1"/>
  <c r="J42" i="17"/>
  <c r="J41" i="17" s="1"/>
  <c r="D42" i="17"/>
  <c r="D41" i="17" s="1"/>
  <c r="K42" i="17"/>
  <c r="K41" i="17" s="1"/>
  <c r="F42" i="17"/>
  <c r="F41" i="17" s="1"/>
  <c r="C42" i="17"/>
  <c r="C41" i="17" s="1"/>
  <c r="G42" i="17"/>
  <c r="G41" i="17" s="1"/>
  <c r="L42" i="17"/>
  <c r="L41" i="17" s="1"/>
  <c r="M42" i="17"/>
  <c r="M41" i="17" s="1"/>
  <c r="C6" i="17"/>
  <c r="C5" i="17" s="1"/>
  <c r="J6" i="17"/>
  <c r="J5" i="17" s="1"/>
  <c r="E6" i="17"/>
  <c r="E5" i="17" s="1"/>
  <c r="K6" i="17"/>
  <c r="K5" i="17" s="1"/>
  <c r="I6" i="17"/>
  <c r="I5" i="17" s="1"/>
  <c r="D6" i="17"/>
  <c r="D5" i="17" s="1"/>
  <c r="F6" i="17"/>
  <c r="L6" i="17"/>
  <c r="L5" i="17" s="1"/>
  <c r="G6" i="17"/>
  <c r="M6" i="17"/>
  <c r="M5" i="17" s="1"/>
  <c r="H6" i="17"/>
  <c r="H5" i="17" s="1"/>
  <c r="N5" i="17"/>
  <c r="E82" i="1"/>
  <c r="C82" i="1"/>
  <c r="F82" i="1"/>
  <c r="D6" i="13" s="1"/>
  <c r="D82" i="1"/>
  <c r="B82" i="1"/>
  <c r="C6" i="13" s="1"/>
  <c r="B69" i="2"/>
  <c r="C7" i="13" s="1"/>
  <c r="G11" i="10"/>
  <c r="H11" i="10" s="1"/>
  <c r="B33" i="17" s="1"/>
  <c r="C35" i="17" l="1"/>
  <c r="G35" i="17"/>
  <c r="K35" i="17"/>
  <c r="D35" i="17"/>
  <c r="H35" i="17"/>
  <c r="L35" i="17"/>
  <c r="J35" i="17"/>
  <c r="B35" i="17"/>
  <c r="E35" i="17"/>
  <c r="I35" i="17"/>
  <c r="M35" i="17"/>
  <c r="F35" i="17"/>
  <c r="D9" i="13"/>
  <c r="C9" i="13"/>
  <c r="N41" i="17"/>
  <c r="N33" i="17"/>
  <c r="H19" i="13" l="1"/>
  <c r="H21" i="13" s="1"/>
  <c r="I30" i="17"/>
  <c r="I13" i="17" s="1"/>
  <c r="C30" i="17"/>
  <c r="C13" i="17" s="1"/>
  <c r="C11" i="17" s="1"/>
  <c r="C57" i="17" s="1"/>
  <c r="M30" i="17"/>
  <c r="M13" i="17" s="1"/>
  <c r="L30" i="17"/>
  <c r="F30" i="17"/>
  <c r="F13" i="17" s="1"/>
  <c r="K30" i="17"/>
  <c r="K13" i="17" s="1"/>
  <c r="D30" i="17"/>
  <c r="D13" i="17" s="1"/>
  <c r="B30" i="17"/>
  <c r="B13" i="17" s="1"/>
  <c r="B11" i="17" s="1"/>
  <c r="G19" i="13"/>
  <c r="G21" i="13" s="1"/>
  <c r="C24" i="13" s="1"/>
  <c r="I11" i="17" l="1"/>
  <c r="I57" i="17" s="1"/>
  <c r="K11" i="17"/>
  <c r="K57" i="17" s="1"/>
  <c r="F11" i="17"/>
  <c r="F57" i="17" s="1"/>
  <c r="M11" i="17"/>
  <c r="M57" i="17" s="1"/>
  <c r="D11" i="17"/>
  <c r="D57" i="17" s="1"/>
  <c r="G30" i="17"/>
  <c r="G13" i="17" s="1"/>
  <c r="G11" i="17" s="1"/>
  <c r="E30" i="17"/>
  <c r="H30" i="17"/>
  <c r="H13" i="17" s="1"/>
  <c r="J30" i="17"/>
  <c r="J13" i="17" s="1"/>
  <c r="H11" i="17" l="1"/>
  <c r="H57" i="17" s="1"/>
  <c r="J11" i="17"/>
  <c r="J57" i="17" s="1"/>
  <c r="N30" i="17"/>
  <c r="E13" i="17"/>
  <c r="E11" i="17" s="1"/>
  <c r="B57" i="17"/>
  <c r="B60" i="17" s="1"/>
  <c r="C3" i="17" s="1"/>
  <c r="C60" i="17" l="1"/>
  <c r="D3" i="17" s="1"/>
  <c r="D60" i="17" s="1"/>
  <c r="E3" i="17" s="1"/>
  <c r="E57" i="17"/>
  <c r="G57" i="17"/>
  <c r="E60" i="17" l="1"/>
  <c r="F3" i="17" s="1"/>
  <c r="F60" i="17" s="1"/>
  <c r="G3" i="17" s="1"/>
  <c r="G60" i="17" s="1"/>
  <c r="H3" i="17" s="1"/>
  <c r="H60" i="17" s="1"/>
  <c r="I3" i="17" s="1"/>
  <c r="I60" i="17" s="1"/>
  <c r="J3" i="17" s="1"/>
  <c r="J60" i="17" s="1"/>
  <c r="K3" i="17" s="1"/>
  <c r="K60" i="17" s="1"/>
  <c r="L3" i="17" s="1"/>
  <c r="L17" i="17"/>
  <c r="N17" i="17" s="1"/>
  <c r="L13" i="17" l="1"/>
  <c r="L11" i="17" l="1"/>
  <c r="L57" i="17" s="1"/>
  <c r="L60" i="17" s="1"/>
  <c r="M3" i="17" s="1"/>
  <c r="M60" i="17" s="1"/>
  <c r="N13" i="17"/>
  <c r="N11" i="17" s="1"/>
  <c r="N57" i="17" s="1"/>
  <c r="N60" i="17" s="1"/>
</calcChain>
</file>

<file path=xl/sharedStrings.xml><?xml version="1.0" encoding="utf-8"?>
<sst xmlns="http://schemas.openxmlformats.org/spreadsheetml/2006/main" count="287" uniqueCount="240">
  <si>
    <t>onroerende voorheffing</t>
  </si>
  <si>
    <t>elektriciteit</t>
  </si>
  <si>
    <t>water</t>
  </si>
  <si>
    <t>gas,stookolie</t>
  </si>
  <si>
    <t>onderhoud en herstellingen gebouw</t>
  </si>
  <si>
    <t>bawaking</t>
  </si>
  <si>
    <t>onderhoudsproducten</t>
  </si>
  <si>
    <t>andere</t>
  </si>
  <si>
    <t>brandstof</t>
  </si>
  <si>
    <t>verkeersbelasting</t>
  </si>
  <si>
    <t>odnerhoud en herstellingen</t>
  </si>
  <si>
    <t>parkeerkosten</t>
  </si>
  <si>
    <t>lidgeld pechverhelping</t>
  </si>
  <si>
    <t>vignetten autoweg</t>
  </si>
  <si>
    <t>postzegels</t>
  </si>
  <si>
    <t>bureelbenodigdheden</t>
  </si>
  <si>
    <t>drukwerk</t>
  </si>
  <si>
    <t>abonnement vaktijdschriften</t>
  </si>
  <si>
    <t>lidmaatcshapsgelden</t>
  </si>
  <si>
    <t>boeken en cursussen</t>
  </si>
  <si>
    <t>ereloon</t>
  </si>
  <si>
    <t>kosten sociaal secretariaat</t>
  </si>
  <si>
    <t>alle risisco's</t>
  </si>
  <si>
    <t>burgerlijke aansprakelijkheid uitbating</t>
  </si>
  <si>
    <t>burgerlijke aansprakelijkheid na levering</t>
  </si>
  <si>
    <t>transport</t>
  </si>
  <si>
    <t>rechtsbijstand</t>
  </si>
  <si>
    <t>gewaardborg inkomen</t>
  </si>
  <si>
    <t>krediet</t>
  </si>
  <si>
    <t>receptiekosten</t>
  </si>
  <si>
    <t>geschenken/stalen</t>
  </si>
  <si>
    <t>etalage/showroom</t>
  </si>
  <si>
    <t>versieringen inrichting</t>
  </si>
  <si>
    <t>sponsoring</t>
  </si>
  <si>
    <t>promotie</t>
  </si>
  <si>
    <t>personeelsfeest</t>
  </si>
  <si>
    <t>brutolonen en -wedden</t>
  </si>
  <si>
    <t>vakantiegeld</t>
  </si>
  <si>
    <t>vorming en opleiding</t>
  </si>
  <si>
    <t>provincie - en gemeentebelastingen</t>
  </si>
  <si>
    <t>milieubelastingen</t>
  </si>
  <si>
    <t>accijnzen</t>
  </si>
  <si>
    <t>bedrijfsafval</t>
  </si>
  <si>
    <t>jaar 1</t>
  </si>
  <si>
    <t>jaar 2</t>
  </si>
  <si>
    <t>Vaste activa</t>
  </si>
  <si>
    <t xml:space="preserve">kosten oprichting vennootschap </t>
  </si>
  <si>
    <t xml:space="preserve">andere (o.a. ondernemingsloket,startersadvies) </t>
  </si>
  <si>
    <t>notariskosten</t>
  </si>
  <si>
    <t>*Oprichtingskosten</t>
  </si>
  <si>
    <t>*Materiële vaste activa</t>
  </si>
  <si>
    <t xml:space="preserve">grond </t>
  </si>
  <si>
    <t xml:space="preserve">aankoop gebouwen </t>
  </si>
  <si>
    <t xml:space="preserve">inrichting </t>
  </si>
  <si>
    <t>machines, toestellen</t>
  </si>
  <si>
    <t>meubilair</t>
  </si>
  <si>
    <t xml:space="preserve">(bedrijfs)wagens </t>
  </si>
  <si>
    <t>gereedschap, klein materiaal</t>
  </si>
  <si>
    <t xml:space="preserve">computermateriaal </t>
  </si>
  <si>
    <t xml:space="preserve">kantoorbenodigdheden </t>
  </si>
  <si>
    <t>*huisvestigingskosten</t>
  </si>
  <si>
    <t>*autokosten</t>
  </si>
  <si>
    <t>*administratiekosten</t>
  </si>
  <si>
    <t>*verzekeringen</t>
  </si>
  <si>
    <t>*representatiekosten</t>
  </si>
  <si>
    <t>*restaurantkosten</t>
  </si>
  <si>
    <t>*personeelskosten</t>
  </si>
  <si>
    <t>*andere bedrijfskosten</t>
  </si>
  <si>
    <t>arbeidsongevallen</t>
  </si>
  <si>
    <t>telefoon en communicatie</t>
  </si>
  <si>
    <t>totaal</t>
  </si>
  <si>
    <t xml:space="preserve">jaar 3 </t>
  </si>
  <si>
    <t>jaar 4</t>
  </si>
  <si>
    <t>jaar 5</t>
  </si>
  <si>
    <t>koelkast</t>
  </si>
  <si>
    <t>diepfries</t>
  </si>
  <si>
    <t>koffiezetapparaat</t>
  </si>
  <si>
    <t>wafelijzer</t>
  </si>
  <si>
    <t>paninigrill</t>
  </si>
  <si>
    <t>mixer</t>
  </si>
  <si>
    <t>Afschrijvingsperiode in jaren</t>
  </si>
  <si>
    <t>MaterIële vaste activa- machines en toetsellen</t>
  </si>
  <si>
    <t>fritues</t>
  </si>
  <si>
    <t>jaar 1 (excl. btw)</t>
  </si>
  <si>
    <t xml:space="preserve">Totaal </t>
  </si>
  <si>
    <t>Totale vaste kosten</t>
  </si>
  <si>
    <t>jaar 2(excl. btw)</t>
  </si>
  <si>
    <t>jaar 3(excl. btw)</t>
  </si>
  <si>
    <t xml:space="preserve">btw </t>
  </si>
  <si>
    <t>Bedrag</t>
  </si>
  <si>
    <t>huur(garage)</t>
  </si>
  <si>
    <t>vouwtent</t>
  </si>
  <si>
    <t>tafels</t>
  </si>
  <si>
    <t>kuisgerief</t>
  </si>
  <si>
    <t>Vlottende Activa</t>
  </si>
  <si>
    <t>Investeringen</t>
  </si>
  <si>
    <t>*Voorraad grondstoffen</t>
  </si>
  <si>
    <t>vlees</t>
  </si>
  <si>
    <t>kip</t>
  </si>
  <si>
    <t>brood</t>
  </si>
  <si>
    <t xml:space="preserve">kaas </t>
  </si>
  <si>
    <t>boter</t>
  </si>
  <si>
    <t>eieren</t>
  </si>
  <si>
    <t>sauce</t>
  </si>
  <si>
    <t>tomaat/sla</t>
  </si>
  <si>
    <t>*voorraad handelsgoederen</t>
  </si>
  <si>
    <t>frisdranken</t>
  </si>
  <si>
    <t xml:space="preserve">coca cola </t>
  </si>
  <si>
    <t xml:space="preserve">sprite </t>
  </si>
  <si>
    <t>ice tea</t>
  </si>
  <si>
    <t>fanta</t>
  </si>
  <si>
    <t>smoothie</t>
  </si>
  <si>
    <t>cafe</t>
  </si>
  <si>
    <t>dessert</t>
  </si>
  <si>
    <t>Tiramisu</t>
  </si>
  <si>
    <t>ijs</t>
  </si>
  <si>
    <t>jaar1</t>
  </si>
  <si>
    <t>jaar2</t>
  </si>
  <si>
    <t>Totaal investeringen:</t>
  </si>
  <si>
    <t>eigen inbreng</t>
  </si>
  <si>
    <t xml:space="preserve">jaar 1 </t>
  </si>
  <si>
    <t xml:space="preserve">Omar </t>
  </si>
  <si>
    <t xml:space="preserve">Mohamed </t>
  </si>
  <si>
    <t>Marges</t>
  </si>
  <si>
    <t>omschrijving</t>
  </si>
  <si>
    <t>BTW percentage per product/dienst</t>
  </si>
  <si>
    <t>Cornet</t>
  </si>
  <si>
    <t>Kaas Bolletjes</t>
  </si>
  <si>
    <t>Burito</t>
  </si>
  <si>
    <t xml:space="preserve"> chicken Tenders</t>
  </si>
  <si>
    <t>Burger</t>
  </si>
  <si>
    <t>Mitraillete</t>
  </si>
  <si>
    <t>Tiramisu oreo</t>
  </si>
  <si>
    <t>frisdrank</t>
  </si>
  <si>
    <t>Cafe</t>
  </si>
  <si>
    <t xml:space="preserve">Brutowinstmarge </t>
  </si>
  <si>
    <t>special</t>
  </si>
  <si>
    <t>classic</t>
  </si>
  <si>
    <t>veggie</t>
  </si>
  <si>
    <t>bbq</t>
  </si>
  <si>
    <t>le chevre</t>
  </si>
  <si>
    <t>atomic</t>
  </si>
  <si>
    <t>Kosten</t>
  </si>
  <si>
    <t>menus</t>
  </si>
  <si>
    <t>prijs/menu</t>
  </si>
  <si>
    <t>dagen</t>
  </si>
  <si>
    <t>weken</t>
  </si>
  <si>
    <t>verzekering (all risico)</t>
  </si>
  <si>
    <t>all risico werknemers</t>
  </si>
  <si>
    <t>(incl. btw)</t>
  </si>
  <si>
    <t>Rollend Materieel</t>
  </si>
  <si>
    <t>Wagen</t>
  </si>
  <si>
    <t>gas,elektriciteit</t>
  </si>
  <si>
    <t>olie</t>
  </si>
  <si>
    <t>eindejaarspremies</t>
  </si>
  <si>
    <t xml:space="preserve">Aankoop- of
kostprijs incl.
BTW
</t>
  </si>
  <si>
    <t>Verkoopprijs incl. BTW</t>
  </si>
  <si>
    <t>dag</t>
  </si>
  <si>
    <t xml:space="preserve">week </t>
  </si>
  <si>
    <t>maand</t>
  </si>
  <si>
    <t>jaar</t>
  </si>
  <si>
    <t>all risico (omnium)</t>
  </si>
  <si>
    <t>btw-percentage</t>
  </si>
  <si>
    <t>Winst</t>
  </si>
  <si>
    <t>Lenig op lange termijn</t>
  </si>
  <si>
    <t>Intrest</t>
  </si>
  <si>
    <t>Maanden</t>
  </si>
  <si>
    <r>
      <rPr>
        <b/>
        <u/>
        <sz val="10"/>
        <rFont val="Trebuchet MS"/>
        <family val="2"/>
      </rPr>
      <t>Eindsaldo (B2+B73)</t>
    </r>
  </si>
  <si>
    <t>Resultaat van de beschouwde periode</t>
  </si>
  <si>
    <t>Kosten sociaal secretariaat</t>
  </si>
  <si>
    <r>
      <rPr>
        <sz val="10"/>
        <rFont val="Trebuchet MS"/>
        <family val="2"/>
      </rPr>
      <t>Bruto bezoldigingen</t>
    </r>
  </si>
  <si>
    <r>
      <rPr>
        <b/>
        <u/>
        <sz val="10"/>
        <rFont val="Trebuchet MS"/>
        <family val="2"/>
      </rPr>
      <t>7.Bezoldigingen</t>
    </r>
  </si>
  <si>
    <r>
      <rPr>
        <b/>
        <u/>
        <sz val="10"/>
        <rFont val="Trebuchet MS"/>
        <family val="2"/>
      </rPr>
      <t>6. Belastingen en financiële kosten</t>
    </r>
  </si>
  <si>
    <r>
      <rPr>
        <b/>
        <u/>
        <sz val="10"/>
        <rFont val="Trebuchet MS"/>
        <family val="2"/>
      </rPr>
      <t>5. Verzekeringen</t>
    </r>
  </si>
  <si>
    <t>Meubilair</t>
  </si>
  <si>
    <t>4. Investeringen</t>
  </si>
  <si>
    <r>
      <rPr>
        <sz val="10"/>
        <rFont val="Trebuchet MS"/>
        <family val="2"/>
      </rPr>
      <t>Bureaubenodigdheden</t>
    </r>
  </si>
  <si>
    <r>
      <rPr>
        <b/>
        <u/>
        <sz val="10"/>
        <rFont val="Trebuchet MS"/>
        <family val="2"/>
      </rPr>
      <t>3. Bureaukosten, restaurant.....</t>
    </r>
  </si>
  <si>
    <r>
      <rPr>
        <sz val="10"/>
        <rFont val="Trebuchet MS"/>
        <family val="2"/>
      </rPr>
      <t>Brandstof</t>
    </r>
  </si>
  <si>
    <r>
      <rPr>
        <b/>
        <u/>
        <sz val="10"/>
        <rFont val="Trebuchet MS"/>
        <family val="2"/>
      </rPr>
      <t>2. Voertuigen</t>
    </r>
  </si>
  <si>
    <r>
      <rPr>
        <sz val="10"/>
        <rFont val="Trebuchet MS"/>
        <family val="2"/>
      </rPr>
      <t>Huur en huurlasten</t>
    </r>
  </si>
  <si>
    <t>1. Bedrijfspand</t>
  </si>
  <si>
    <t>Bedrijfskosten</t>
  </si>
  <si>
    <t>Aankopen en onderaanneming</t>
  </si>
  <si>
    <t>Uitgaven inclusief BTW</t>
  </si>
  <si>
    <r>
      <rPr>
        <sz val="10"/>
        <rFont val="Trebuchet MS"/>
        <family val="2"/>
      </rPr>
      <t>Andere ontvangsten</t>
    </r>
  </si>
  <si>
    <t xml:space="preserve">Verkopen </t>
  </si>
  <si>
    <t xml:space="preserve">Ontvangsten inclusief BTW </t>
  </si>
  <si>
    <t>Beginsaldo</t>
  </si>
  <si>
    <t>Totaal</t>
  </si>
  <si>
    <r>
      <rPr>
        <b/>
        <sz val="8"/>
        <rFont val="Trebuchet MS"/>
        <family val="2"/>
      </rPr>
      <t>December</t>
    </r>
  </si>
  <si>
    <r>
      <rPr>
        <b/>
        <sz val="8"/>
        <rFont val="Trebuchet MS"/>
        <family val="2"/>
      </rPr>
      <t>November</t>
    </r>
  </si>
  <si>
    <r>
      <rPr>
        <b/>
        <sz val="8"/>
        <rFont val="Trebuchet MS"/>
        <family val="2"/>
      </rPr>
      <t>Oktober</t>
    </r>
  </si>
  <si>
    <r>
      <rPr>
        <b/>
        <sz val="8"/>
        <rFont val="Trebuchet MS"/>
        <family val="2"/>
      </rPr>
      <t>September</t>
    </r>
  </si>
  <si>
    <r>
      <rPr>
        <b/>
        <sz val="8"/>
        <rFont val="Trebuchet MS"/>
        <family val="2"/>
      </rPr>
      <t>Augustus</t>
    </r>
  </si>
  <si>
    <r>
      <rPr>
        <b/>
        <sz val="8"/>
        <rFont val="Trebuchet MS"/>
        <family val="2"/>
      </rPr>
      <t>Juli</t>
    </r>
  </si>
  <si>
    <r>
      <rPr>
        <b/>
        <sz val="8"/>
        <rFont val="Trebuchet MS"/>
        <family val="2"/>
      </rPr>
      <t>Juni</t>
    </r>
  </si>
  <si>
    <r>
      <rPr>
        <b/>
        <sz val="8"/>
        <rFont val="Trebuchet MS"/>
        <family val="2"/>
      </rPr>
      <t>Mei</t>
    </r>
  </si>
  <si>
    <r>
      <rPr>
        <b/>
        <sz val="8"/>
        <rFont val="Trebuchet MS"/>
        <family val="2"/>
      </rPr>
      <t>April</t>
    </r>
  </si>
  <si>
    <r>
      <rPr>
        <b/>
        <sz val="8"/>
        <rFont val="Trebuchet MS"/>
        <family val="2"/>
      </rPr>
      <t>Maart</t>
    </r>
  </si>
  <si>
    <r>
      <rPr>
        <b/>
        <sz val="8"/>
        <rFont val="Trebuchet MS"/>
        <family val="2"/>
      </rPr>
      <t>Februari</t>
    </r>
  </si>
  <si>
    <r>
      <rPr>
        <b/>
        <sz val="8"/>
        <rFont val="Trebuchet MS"/>
        <family val="2"/>
      </rPr>
      <t>Januari</t>
    </r>
  </si>
  <si>
    <t>Kasstroom</t>
  </si>
  <si>
    <t>Grondstoffen</t>
  </si>
  <si>
    <t>Handelsgoederen</t>
  </si>
  <si>
    <t>machines</t>
  </si>
  <si>
    <t>Eindejaars premies</t>
  </si>
  <si>
    <t>Arbeidsongeval</t>
  </si>
  <si>
    <t>8.Andere Bedrijfskosten</t>
  </si>
  <si>
    <t>Bedrijfsafval</t>
  </si>
  <si>
    <t>Oprichtingskosten</t>
  </si>
  <si>
    <t>3.283,06 </t>
  </si>
  <si>
    <t>Familie Omar</t>
  </si>
  <si>
    <t>Familie Mohamed</t>
  </si>
  <si>
    <t>Maand 1</t>
  </si>
  <si>
    <t>Maand 2</t>
  </si>
  <si>
    <t>Maand 3</t>
  </si>
  <si>
    <t>Maand 4</t>
  </si>
  <si>
    <t>Maand 5</t>
  </si>
  <si>
    <t>Maand 6</t>
  </si>
  <si>
    <t>Maand 7</t>
  </si>
  <si>
    <t>Maand 8</t>
  </si>
  <si>
    <t>Maand 9</t>
  </si>
  <si>
    <t>Maand 10</t>
  </si>
  <si>
    <t>Maand 11</t>
  </si>
  <si>
    <t>Maand 12</t>
  </si>
  <si>
    <t>Maand 13</t>
  </si>
  <si>
    <t>Maand 14</t>
  </si>
  <si>
    <t>Maand 15</t>
  </si>
  <si>
    <t>Maand 16</t>
  </si>
  <si>
    <t>Maand 17</t>
  </si>
  <si>
    <t>Maand 18</t>
  </si>
  <si>
    <t>Lening</t>
  </si>
  <si>
    <t>Familie Lening</t>
  </si>
  <si>
    <t>Variabele kosten</t>
  </si>
  <si>
    <t>Voertuig</t>
  </si>
  <si>
    <t>notaris</t>
  </si>
  <si>
    <t>Opbrengsten</t>
  </si>
  <si>
    <t>Ontvangst</t>
  </si>
  <si>
    <t>j'aimerais que le budget de 129.542,40 soit divisé en 12 mais que ce e soit pas lineair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</si>
</sst>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_-* #,##0.00\ [$€-80C]_-;\-* #,##0.00\ [$€-80C]_-;_-* &quot;-&quot;??\ [$€-80C]_-;_-@_-"/>
    <numFmt numFmtId="166" formatCode="&quot;€&quot;\ #,##0.00"/>
    <numFmt numFmtId="167" formatCode="_-* #,##0\ &quot;€&quot;_-;\-* #,##0\ &quot;€&quot;_-;_-* &quot;-&quot;??\ &quot;€&quot;_-;_-@_-"/>
  </numFmts>
  <fonts count="22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 "/>
    </font>
    <font>
      <sz val="11"/>
      <color theme="1"/>
      <name val="Calibri "/>
    </font>
    <font>
      <sz val="11"/>
      <color rgb="FF000000"/>
      <name val="Calibri "/>
    </font>
    <font>
      <u/>
      <sz val="11"/>
      <color rgb="FF000000"/>
      <name val="Calibri 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 "/>
    </font>
    <font>
      <sz val="8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0"/>
      <name val="Trebuchet MS"/>
      <family val="2"/>
    </font>
    <font>
      <sz val="8"/>
      <name val="Trebuchet MS"/>
      <family val="2"/>
    </font>
    <font>
      <sz val="10"/>
      <name val="Century Gothic"/>
      <family val="2"/>
    </font>
    <font>
      <b/>
      <u/>
      <sz val="10"/>
      <name val="Trebuchet MS"/>
      <family val="2"/>
    </font>
    <font>
      <b/>
      <sz val="8"/>
      <name val="Trebuchet MS"/>
      <family val="2"/>
    </font>
    <font>
      <b/>
      <u/>
      <sz val="12"/>
      <name val="Trebuchet MS"/>
      <family val="2"/>
    </font>
    <font>
      <b/>
      <sz val="8"/>
      <color indexed="18"/>
      <name val="Trebuchet MS"/>
      <family val="2"/>
    </font>
    <font>
      <b/>
      <u/>
      <sz val="14"/>
      <color theme="1"/>
      <name val="Calibri"/>
      <family val="2"/>
      <scheme val="minor"/>
    </font>
    <font>
      <sz val="8"/>
      <color theme="1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5" fillId="0" borderId="0" applyFont="0" applyFill="0" applyBorder="0" applyAlignment="0" applyProtection="0"/>
  </cellStyleXfs>
  <cellXfs count="119">
    <xf numFmtId="0" fontId="0" fillId="0" borderId="0" xfId="0"/>
    <xf numFmtId="0" fontId="1" fillId="0" borderId="0" xfId="0" applyFont="1"/>
    <xf numFmtId="165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2" applyNumberFormat="1" applyFont="1"/>
    <xf numFmtId="44" fontId="0" fillId="0" borderId="0" xfId="2" applyNumberFormat="1" applyFont="1"/>
    <xf numFmtId="0" fontId="0" fillId="0" borderId="0" xfId="0" applyFill="1"/>
    <xf numFmtId="165" fontId="0" fillId="0" borderId="0" xfId="0" applyNumberFormat="1" applyAlignment="1"/>
    <xf numFmtId="44" fontId="0" fillId="0" borderId="0" xfId="1" applyFont="1" applyAlignment="1"/>
    <xf numFmtId="0" fontId="0" fillId="0" borderId="2" xfId="0" applyBorder="1"/>
    <xf numFmtId="0" fontId="0" fillId="0" borderId="3" xfId="0" applyBorder="1"/>
    <xf numFmtId="0" fontId="0" fillId="0" borderId="2" xfId="0" applyFill="1" applyBorder="1"/>
    <xf numFmtId="0" fontId="0" fillId="0" borderId="2" xfId="0" applyFont="1" applyBorder="1"/>
    <xf numFmtId="0" fontId="0" fillId="0" borderId="3" xfId="0" applyFont="1" applyBorder="1"/>
    <xf numFmtId="0" fontId="0" fillId="0" borderId="1" xfId="0" applyBorder="1"/>
    <xf numFmtId="44" fontId="0" fillId="0" borderId="1" xfId="1" applyFont="1" applyBorder="1"/>
    <xf numFmtId="165" fontId="0" fillId="0" borderId="1" xfId="0" applyNumberFormat="1" applyBorder="1"/>
    <xf numFmtId="165" fontId="0" fillId="0" borderId="1" xfId="0" applyNumberFormat="1" applyFill="1" applyBorder="1"/>
    <xf numFmtId="0" fontId="0" fillId="0" borderId="0" xfId="0" applyBorder="1"/>
    <xf numFmtId="0" fontId="5" fillId="0" borderId="2" xfId="0" applyFont="1" applyBorder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2" xfId="0" applyFont="1" applyBorder="1"/>
    <xf numFmtId="0" fontId="4" fillId="0" borderId="2" xfId="0" applyFont="1" applyBorder="1"/>
    <xf numFmtId="0" fontId="4" fillId="0" borderId="3" xfId="0" applyFont="1" applyBorder="1"/>
    <xf numFmtId="0" fontId="10" fillId="0" borderId="2" xfId="0" applyFont="1" applyBorder="1"/>
    <xf numFmtId="0" fontId="10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0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8" fillId="0" borderId="3" xfId="0" applyFont="1" applyBorder="1"/>
    <xf numFmtId="166" fontId="0" fillId="0" borderId="1" xfId="0" applyNumberFormat="1" applyBorder="1"/>
    <xf numFmtId="44" fontId="0" fillId="0" borderId="1" xfId="0" applyNumberFormat="1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10" fontId="0" fillId="0" borderId="1" xfId="0" applyNumberFormat="1" applyBorder="1"/>
    <xf numFmtId="9" fontId="0" fillId="0" borderId="1" xfId="0" applyNumberFormat="1" applyBorder="1"/>
    <xf numFmtId="44" fontId="7" fillId="0" borderId="1" xfId="1" applyFont="1" applyBorder="1"/>
    <xf numFmtId="0" fontId="12" fillId="0" borderId="1" xfId="0" applyFont="1" applyBorder="1"/>
    <xf numFmtId="0" fontId="0" fillId="0" borderId="1" xfId="0" applyFill="1" applyBorder="1"/>
    <xf numFmtId="44" fontId="0" fillId="0" borderId="1" xfId="1" applyFont="1" applyFill="1" applyBorder="1"/>
    <xf numFmtId="0" fontId="12" fillId="0" borderId="1" xfId="0" applyFont="1" applyFill="1" applyBorder="1"/>
    <xf numFmtId="44" fontId="0" fillId="2" borderId="1" xfId="0" applyNumberFormat="1" applyFill="1" applyBorder="1"/>
    <xf numFmtId="44" fontId="0" fillId="2" borderId="1" xfId="1" applyFont="1" applyFill="1" applyBorder="1"/>
    <xf numFmtId="165" fontId="0" fillId="0" borderId="3" xfId="0" applyNumberFormat="1" applyBorder="1"/>
    <xf numFmtId="0" fontId="1" fillId="3" borderId="1" xfId="0" applyFont="1" applyFill="1" applyBorder="1"/>
    <xf numFmtId="165" fontId="0" fillId="3" borderId="1" xfId="0" applyNumberFormat="1" applyFill="1" applyBorder="1"/>
    <xf numFmtId="0" fontId="0" fillId="3" borderId="1" xfId="0" applyFill="1" applyBorder="1"/>
    <xf numFmtId="0" fontId="0" fillId="3" borderId="1" xfId="0" applyFont="1" applyFill="1" applyBorder="1"/>
    <xf numFmtId="44" fontId="0" fillId="3" borderId="1" xfId="1" applyFont="1" applyFill="1" applyBorder="1"/>
    <xf numFmtId="44" fontId="0" fillId="0" borderId="3" xfId="1" applyFont="1" applyBorder="1"/>
    <xf numFmtId="0" fontId="6" fillId="3" borderId="1" xfId="0" applyFont="1" applyFill="1" applyBorder="1" applyAlignment="1">
      <alignment vertical="center" wrapText="1"/>
    </xf>
    <xf numFmtId="0" fontId="4" fillId="3" borderId="1" xfId="0" applyFont="1" applyFill="1" applyBorder="1"/>
    <xf numFmtId="0" fontId="5" fillId="3" borderId="1" xfId="0" applyFont="1" applyFill="1" applyBorder="1" applyAlignment="1">
      <alignment vertical="center" wrapText="1"/>
    </xf>
    <xf numFmtId="44" fontId="0" fillId="3" borderId="1" xfId="0" applyNumberFormat="1" applyFill="1" applyBorder="1"/>
    <xf numFmtId="0" fontId="5" fillId="3" borderId="2" xfId="0" applyFont="1" applyFill="1" applyBorder="1" applyAlignment="1">
      <alignment vertical="center" wrapText="1"/>
    </xf>
    <xf numFmtId="0" fontId="3" fillId="3" borderId="0" xfId="0" applyFont="1" applyFill="1" applyAlignment="1">
      <alignment vertical="center" wrapText="1"/>
    </xf>
    <xf numFmtId="0" fontId="10" fillId="3" borderId="0" xfId="0" applyFont="1" applyFill="1"/>
    <xf numFmtId="0" fontId="8" fillId="3" borderId="1" xfId="0" applyFont="1" applyFill="1" applyBorder="1"/>
    <xf numFmtId="0" fontId="0" fillId="3" borderId="1" xfId="0" applyFill="1" applyBorder="1" applyAlignment="1">
      <alignment horizontal="center"/>
    </xf>
    <xf numFmtId="166" fontId="0" fillId="3" borderId="1" xfId="0" applyNumberFormat="1" applyFill="1" applyBorder="1"/>
    <xf numFmtId="164" fontId="0" fillId="3" borderId="1" xfId="0" applyNumberFormat="1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/>
    <xf numFmtId="9" fontId="0" fillId="3" borderId="1" xfId="0" applyNumberFormat="1" applyFill="1" applyBorder="1"/>
    <xf numFmtId="0" fontId="0" fillId="3" borderId="0" xfId="0" applyFill="1" applyBorder="1"/>
    <xf numFmtId="0" fontId="0" fillId="3" borderId="4" xfId="0" applyFill="1" applyBorder="1"/>
    <xf numFmtId="44" fontId="0" fillId="0" borderId="0" xfId="1" applyFont="1" applyBorder="1"/>
    <xf numFmtId="44" fontId="0" fillId="0" borderId="0" xfId="1" applyFont="1" applyFill="1" applyBorder="1"/>
    <xf numFmtId="0" fontId="0" fillId="3" borderId="5" xfId="0" applyFill="1" applyBorder="1" applyAlignment="1">
      <alignment horizontal="center"/>
    </xf>
    <xf numFmtId="44" fontId="0" fillId="0" borderId="0" xfId="0" applyNumberFormat="1"/>
    <xf numFmtId="0" fontId="8" fillId="0" borderId="0" xfId="0" applyFont="1"/>
    <xf numFmtId="0" fontId="0" fillId="0" borderId="0" xfId="0" applyProtection="1">
      <protection locked="0"/>
    </xf>
    <xf numFmtId="0" fontId="13" fillId="0" borderId="0" xfId="0" applyFont="1" applyProtection="1">
      <protection locked="0"/>
    </xf>
    <xf numFmtId="0" fontId="16" fillId="4" borderId="0" xfId="0" applyFont="1" applyFill="1" applyProtection="1">
      <protection locked="0"/>
    </xf>
    <xf numFmtId="44" fontId="14" fillId="4" borderId="6" xfId="0" applyNumberFormat="1" applyFont="1" applyFill="1" applyBorder="1" applyProtection="1">
      <protection locked="0"/>
    </xf>
    <xf numFmtId="44" fontId="14" fillId="0" borderId="8" xfId="3" applyFont="1" applyBorder="1" applyProtection="1">
      <protection locked="0"/>
    </xf>
    <xf numFmtId="44" fontId="17" fillId="4" borderId="6" xfId="3" applyFont="1" applyFill="1" applyBorder="1" applyProtection="1"/>
    <xf numFmtId="44" fontId="17" fillId="4" borderId="8" xfId="3" applyFont="1" applyFill="1" applyBorder="1" applyProtection="1"/>
    <xf numFmtId="0" fontId="13" fillId="4" borderId="0" xfId="0" applyFont="1" applyFill="1" applyProtection="1">
      <protection locked="0"/>
    </xf>
    <xf numFmtId="44" fontId="14" fillId="4" borderId="9" xfId="0" applyNumberFormat="1" applyFont="1" applyFill="1" applyBorder="1"/>
    <xf numFmtId="44" fontId="14" fillId="4" borderId="6" xfId="0" applyNumberFormat="1" applyFont="1" applyFill="1" applyBorder="1"/>
    <xf numFmtId="44" fontId="14" fillId="4" borderId="8" xfId="3" applyFont="1" applyFill="1" applyBorder="1" applyProtection="1"/>
    <xf numFmtId="44" fontId="17" fillId="4" borderId="9" xfId="3" applyFont="1" applyFill="1" applyBorder="1" applyProtection="1"/>
    <xf numFmtId="44" fontId="17" fillId="4" borderId="8" xfId="3" applyFont="1" applyFill="1" applyBorder="1" applyProtection="1">
      <protection locked="0"/>
    </xf>
    <xf numFmtId="0" fontId="18" fillId="4" borderId="0" xfId="0" applyFont="1" applyFill="1" applyProtection="1">
      <protection locked="0"/>
    </xf>
    <xf numFmtId="0" fontId="14" fillId="0" borderId="9" xfId="0" applyFont="1" applyBorder="1" applyProtection="1">
      <protection locked="0"/>
    </xf>
    <xf numFmtId="44" fontId="14" fillId="0" borderId="8" xfId="3" applyFont="1" applyFill="1" applyBorder="1" applyProtection="1">
      <protection locked="0"/>
    </xf>
    <xf numFmtId="44" fontId="17" fillId="4" borderId="10" xfId="3" applyFont="1" applyFill="1" applyBorder="1" applyProtection="1">
      <protection locked="0"/>
    </xf>
    <xf numFmtId="0" fontId="17" fillId="0" borderId="11" xfId="0" applyFont="1" applyBorder="1" applyAlignment="1" applyProtection="1">
      <alignment horizontal="center"/>
      <protection locked="0"/>
    </xf>
    <xf numFmtId="0" fontId="19" fillId="0" borderId="12" xfId="0" applyFont="1" applyBorder="1" applyAlignment="1" applyProtection="1">
      <alignment horizontal="center"/>
      <protection locked="0"/>
    </xf>
    <xf numFmtId="0" fontId="19" fillId="0" borderId="13" xfId="0" applyFont="1" applyBorder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44" fontId="14" fillId="4" borderId="9" xfId="1" applyFont="1" applyFill="1" applyBorder="1"/>
    <xf numFmtId="167" fontId="14" fillId="4" borderId="9" xfId="0" applyNumberFormat="1" applyFont="1" applyFill="1" applyBorder="1"/>
    <xf numFmtId="167" fontId="14" fillId="4" borderId="6" xfId="0" applyNumberFormat="1" applyFont="1" applyFill="1" applyBorder="1"/>
    <xf numFmtId="44" fontId="17" fillId="4" borderId="7" xfId="3" applyFont="1" applyFill="1" applyBorder="1" applyProtection="1"/>
    <xf numFmtId="44" fontId="17" fillId="4" borderId="6" xfId="3" applyFont="1" applyFill="1" applyBorder="1" applyProtection="1">
      <protection locked="0"/>
    </xf>
    <xf numFmtId="0" fontId="16" fillId="0" borderId="0" xfId="0" applyFont="1" applyProtection="1">
      <protection locked="0"/>
    </xf>
    <xf numFmtId="165" fontId="0" fillId="0" borderId="1" xfId="0" applyNumberFormat="1" applyFont="1" applyFill="1" applyBorder="1"/>
    <xf numFmtId="166" fontId="0" fillId="0" borderId="0" xfId="0" applyNumberFormat="1"/>
    <xf numFmtId="44" fontId="0" fillId="0" borderId="3" xfId="1" applyFont="1" applyFill="1" applyBorder="1"/>
    <xf numFmtId="0" fontId="0" fillId="0" borderId="0" xfId="0" applyAlignment="1">
      <alignment horizontal="center"/>
    </xf>
    <xf numFmtId="2" fontId="0" fillId="0" borderId="0" xfId="0" applyNumberFormat="1"/>
    <xf numFmtId="44" fontId="0" fillId="0" borderId="0" xfId="1" applyFont="1" applyFill="1"/>
    <xf numFmtId="2" fontId="0" fillId="0" borderId="1" xfId="0" applyNumberFormat="1" applyBorder="1"/>
    <xf numFmtId="0" fontId="13" fillId="0" borderId="0" xfId="0" applyFont="1" applyFill="1" applyProtection="1">
      <protection locked="0"/>
    </xf>
    <xf numFmtId="44" fontId="21" fillId="5" borderId="6" xfId="0" applyNumberFormat="1" applyFont="1" applyFill="1" applyBorder="1"/>
    <xf numFmtId="44" fontId="14" fillId="5" borderId="6" xfId="0" applyNumberFormat="1" applyFont="1" applyFill="1" applyBorder="1"/>
    <xf numFmtId="44" fontId="14" fillId="5" borderId="9" xfId="0" applyNumberFormat="1" applyFont="1" applyFill="1" applyBorder="1"/>
    <xf numFmtId="44" fontId="21" fillId="6" borderId="8" xfId="3" applyFont="1" applyFill="1" applyBorder="1" applyProtection="1">
      <protection locked="0"/>
    </xf>
    <xf numFmtId="167" fontId="14" fillId="5" borderId="9" xfId="0" applyNumberFormat="1" applyFont="1" applyFill="1" applyBorder="1"/>
    <xf numFmtId="0" fontId="14" fillId="5" borderId="9" xfId="0" applyFont="1" applyFill="1" applyBorder="1" applyProtection="1">
      <protection locked="0"/>
    </xf>
    <xf numFmtId="0" fontId="9" fillId="0" borderId="0" xfId="0" applyFont="1" applyAlignment="1">
      <alignment horizontal="center" vertical="center"/>
    </xf>
    <xf numFmtId="44" fontId="14" fillId="2" borderId="8" xfId="3" applyFont="1" applyFill="1" applyBorder="1" applyProtection="1">
      <protection locked="0"/>
    </xf>
    <xf numFmtId="44" fontId="14" fillId="2" borderId="9" xfId="0" applyNumberFormat="1" applyFont="1" applyFill="1" applyBorder="1"/>
  </cellXfs>
  <cellStyles count="4">
    <cellStyle name="Euro" xfId="3" xr:uid="{00746D54-D520-41A4-8B0D-E8E4D150C763}"/>
    <cellStyle name="Procent" xfId="2" builtinId="5"/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9D0A1-E856-4A33-B18B-81FF96585AC5}">
  <dimension ref="A1:N67"/>
  <sheetViews>
    <sheetView tabSelected="1" zoomScale="90" zoomScaleNormal="90" workbookViewId="0">
      <selection activeCell="C6" sqref="C6"/>
    </sheetView>
  </sheetViews>
  <sheetFormatPr defaultRowHeight="15"/>
  <cols>
    <col min="1" max="1" width="35.28515625" bestFit="1" customWidth="1"/>
    <col min="2" max="2" width="14" bestFit="1" customWidth="1"/>
    <col min="3" max="5" width="13.5703125" bestFit="1" customWidth="1"/>
    <col min="6" max="6" width="13.28515625" bestFit="1" customWidth="1"/>
    <col min="7" max="8" width="13" bestFit="1" customWidth="1"/>
    <col min="9" max="9" width="13.28515625" bestFit="1" customWidth="1"/>
    <col min="10" max="12" width="13.5703125" bestFit="1" customWidth="1"/>
    <col min="13" max="13" width="14" bestFit="1" customWidth="1"/>
    <col min="14" max="14" width="14.28515625" bestFit="1" customWidth="1"/>
    <col min="15" max="15" width="14.42578125" bestFit="1" customWidth="1"/>
  </cols>
  <sheetData>
    <row r="1" spans="1:14" ht="19.5" thickBot="1">
      <c r="A1" s="95" t="s">
        <v>202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</row>
    <row r="2" spans="1:14" ht="16.5" thickBot="1">
      <c r="A2" s="76"/>
      <c r="B2" s="94" t="s">
        <v>201</v>
      </c>
      <c r="C2" s="94" t="s">
        <v>200</v>
      </c>
      <c r="D2" s="94" t="s">
        <v>199</v>
      </c>
      <c r="E2" s="94" t="s">
        <v>198</v>
      </c>
      <c r="F2" s="94" t="s">
        <v>197</v>
      </c>
      <c r="G2" s="94" t="s">
        <v>196</v>
      </c>
      <c r="H2" s="94" t="s">
        <v>195</v>
      </c>
      <c r="I2" s="94" t="s">
        <v>194</v>
      </c>
      <c r="J2" s="94" t="s">
        <v>193</v>
      </c>
      <c r="K2" s="94" t="s">
        <v>192</v>
      </c>
      <c r="L2" s="94" t="s">
        <v>191</v>
      </c>
      <c r="M2" s="93" t="s">
        <v>190</v>
      </c>
      <c r="N2" s="92" t="s">
        <v>189</v>
      </c>
    </row>
    <row r="3" spans="1:14" ht="18">
      <c r="A3" s="88" t="s">
        <v>188</v>
      </c>
      <c r="B3" s="87">
        <v>150000</v>
      </c>
      <c r="C3" s="81">
        <f>+B60</f>
        <v>101550.98149999999</v>
      </c>
      <c r="D3" s="81">
        <f t="shared" ref="D3:M3" si="0">+C60</f>
        <v>88072.151499999993</v>
      </c>
      <c r="E3" s="81">
        <f t="shared" si="0"/>
        <v>74593.321499999991</v>
      </c>
      <c r="F3" s="81">
        <f t="shared" si="0"/>
        <v>61156.161499999987</v>
      </c>
      <c r="G3" s="81">
        <f t="shared" si="0"/>
        <v>47719.001499999984</v>
      </c>
      <c r="H3" s="81">
        <f t="shared" si="0"/>
        <v>44281.84149999998</v>
      </c>
      <c r="I3" s="81">
        <f t="shared" si="0"/>
        <v>40844.681499999977</v>
      </c>
      <c r="J3" s="81">
        <f t="shared" si="0"/>
        <v>37407.521499999973</v>
      </c>
      <c r="K3" s="81">
        <f t="shared" si="0"/>
        <v>33970.36149999997</v>
      </c>
      <c r="L3" s="81">
        <f t="shared" si="0"/>
        <v>27933.201499999966</v>
      </c>
      <c r="M3" s="81">
        <f t="shared" si="0"/>
        <v>19876.041499999967</v>
      </c>
      <c r="N3" s="91"/>
    </row>
    <row r="4" spans="1:14" ht="15.75">
      <c r="A4" s="76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89"/>
    </row>
    <row r="5" spans="1:14" ht="18">
      <c r="A5" s="88" t="s">
        <v>187</v>
      </c>
      <c r="B5" s="81">
        <f>+B6+B7</f>
        <v>9964.7999999999993</v>
      </c>
      <c r="C5" s="81">
        <f t="shared" ref="C5:M5" si="1">+C6+C7</f>
        <v>9964.7999999999993</v>
      </c>
      <c r="D5" s="81">
        <f t="shared" si="1"/>
        <v>9964.7999999999993</v>
      </c>
      <c r="E5" s="81">
        <f t="shared" si="1"/>
        <v>9964.7999999999993</v>
      </c>
      <c r="F5" s="81">
        <f>+F6+F7</f>
        <v>9964.7999999999993</v>
      </c>
      <c r="G5" s="81">
        <f>+G6+G7</f>
        <v>9964.7999999999993</v>
      </c>
      <c r="H5" s="81">
        <f t="shared" si="1"/>
        <v>9964.7999999999993</v>
      </c>
      <c r="I5" s="81">
        <f t="shared" si="1"/>
        <v>9964.7999999999993</v>
      </c>
      <c r="J5" s="81">
        <f t="shared" si="1"/>
        <v>9964.7999999999993</v>
      </c>
      <c r="K5" s="81">
        <f t="shared" si="1"/>
        <v>9964.7999999999993</v>
      </c>
      <c r="L5" s="81">
        <f t="shared" si="1"/>
        <v>9964.7999999999993</v>
      </c>
      <c r="M5" s="81">
        <f t="shared" si="1"/>
        <v>9964.7999999999993</v>
      </c>
      <c r="N5" s="86">
        <f>+N6+N7</f>
        <v>129542.39999999999</v>
      </c>
    </row>
    <row r="6" spans="1:14" ht="15.75">
      <c r="A6" s="76" t="s">
        <v>186</v>
      </c>
      <c r="B6" s="117">
        <f>$N$6/52*4</f>
        <v>9964.7999999999993</v>
      </c>
      <c r="C6" s="117">
        <f t="shared" ref="C6:M6" si="2">$N$6/52*4</f>
        <v>9964.7999999999993</v>
      </c>
      <c r="D6" s="117">
        <f t="shared" si="2"/>
        <v>9964.7999999999993</v>
      </c>
      <c r="E6" s="117">
        <f t="shared" si="2"/>
        <v>9964.7999999999993</v>
      </c>
      <c r="F6" s="117">
        <f t="shared" si="2"/>
        <v>9964.7999999999993</v>
      </c>
      <c r="G6" s="117">
        <f t="shared" si="2"/>
        <v>9964.7999999999993</v>
      </c>
      <c r="H6" s="117">
        <f t="shared" si="2"/>
        <v>9964.7999999999993</v>
      </c>
      <c r="I6" s="117">
        <f t="shared" si="2"/>
        <v>9964.7999999999993</v>
      </c>
      <c r="J6" s="117">
        <f t="shared" si="2"/>
        <v>9964.7999999999993</v>
      </c>
      <c r="K6" s="117">
        <f t="shared" si="2"/>
        <v>9964.7999999999993</v>
      </c>
      <c r="L6" s="117">
        <f t="shared" si="2"/>
        <v>9964.7999999999993</v>
      </c>
      <c r="M6" s="117">
        <f t="shared" si="2"/>
        <v>9964.7999999999993</v>
      </c>
      <c r="N6" s="118">
        <f>'opbrengsten en kosten'!H7</f>
        <v>129542.39999999999</v>
      </c>
    </row>
    <row r="7" spans="1:14" ht="15.75">
      <c r="A7" s="76" t="s">
        <v>185</v>
      </c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83">
        <f>SUM(B7:M7)</f>
        <v>0</v>
      </c>
    </row>
    <row r="8" spans="1:14" ht="15.75">
      <c r="A8" s="76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83"/>
    </row>
    <row r="9" spans="1:14" ht="15.75">
      <c r="A9" s="76"/>
      <c r="B9" s="79"/>
      <c r="C9" s="79"/>
      <c r="D9" s="79"/>
      <c r="E9" s="79"/>
      <c r="F9" s="79"/>
      <c r="G9" s="79" t="s">
        <v>239</v>
      </c>
      <c r="H9" s="79"/>
      <c r="I9" s="79"/>
      <c r="J9" s="79"/>
      <c r="K9" s="79"/>
      <c r="L9" s="79"/>
      <c r="M9" s="79"/>
      <c r="N9" s="115"/>
    </row>
    <row r="10" spans="1:14" ht="15.75">
      <c r="A10" s="76"/>
      <c r="B10" s="79"/>
      <c r="C10" s="79"/>
      <c r="D10" s="79"/>
      <c r="F10" s="79"/>
      <c r="G10" s="79"/>
      <c r="H10" s="79"/>
      <c r="I10" s="79"/>
      <c r="J10" s="79"/>
      <c r="K10" s="79"/>
      <c r="L10" s="79"/>
      <c r="M10" s="79"/>
      <c r="N10" s="115"/>
    </row>
    <row r="11" spans="1:14" ht="18">
      <c r="A11" s="88" t="s">
        <v>184</v>
      </c>
      <c r="B11" s="81">
        <f>+B12+B13</f>
        <v>58413.818500000008</v>
      </c>
      <c r="C11" s="81">
        <f>+C12+C13</f>
        <v>23443.63</v>
      </c>
      <c r="D11" s="81">
        <f t="shared" ref="D11:N11" si="3">+D12+D13</f>
        <v>23443.63</v>
      </c>
      <c r="E11" s="81">
        <f t="shared" si="3"/>
        <v>23401.96</v>
      </c>
      <c r="F11" s="81">
        <f t="shared" si="3"/>
        <v>23401.96</v>
      </c>
      <c r="G11" s="81">
        <f t="shared" si="3"/>
        <v>13401.960000000001</v>
      </c>
      <c r="H11" s="81">
        <f t="shared" si="3"/>
        <v>13401.960000000001</v>
      </c>
      <c r="I11" s="81">
        <f t="shared" si="3"/>
        <v>13401.960000000001</v>
      </c>
      <c r="J11" s="81">
        <f t="shared" si="3"/>
        <v>13401.960000000001</v>
      </c>
      <c r="K11" s="81">
        <f t="shared" si="3"/>
        <v>16001.960000000001</v>
      </c>
      <c r="L11" s="81">
        <f t="shared" si="3"/>
        <v>18021.96</v>
      </c>
      <c r="M11" s="81">
        <f t="shared" si="3"/>
        <v>15901.960000000001</v>
      </c>
      <c r="N11" s="81">
        <f t="shared" si="3"/>
        <v>255638.71849999996</v>
      </c>
    </row>
    <row r="12" spans="1:14" ht="15.75">
      <c r="A12" s="82" t="s">
        <v>183</v>
      </c>
      <c r="B12" s="87"/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3"/>
    </row>
    <row r="13" spans="1:14" ht="15.75">
      <c r="A13" s="82" t="s">
        <v>182</v>
      </c>
      <c r="B13" s="85">
        <f>B14+B17+B25+B30+B37+B41+B48+B53</f>
        <v>58413.818500000008</v>
      </c>
      <c r="C13" s="85">
        <f t="shared" ref="C13:M13" si="4">C14+C17+C25+C30+C37+C41+C48</f>
        <v>23443.63</v>
      </c>
      <c r="D13" s="85">
        <f t="shared" si="4"/>
        <v>23443.63</v>
      </c>
      <c r="E13" s="85">
        <f t="shared" si="4"/>
        <v>23401.96</v>
      </c>
      <c r="F13" s="85">
        <f t="shared" si="4"/>
        <v>23401.96</v>
      </c>
      <c r="G13" s="85">
        <f t="shared" si="4"/>
        <v>13401.960000000001</v>
      </c>
      <c r="H13" s="85">
        <f t="shared" si="4"/>
        <v>13401.960000000001</v>
      </c>
      <c r="I13" s="85">
        <f t="shared" si="4"/>
        <v>13401.960000000001</v>
      </c>
      <c r="J13" s="85">
        <f t="shared" si="4"/>
        <v>13401.960000000001</v>
      </c>
      <c r="K13" s="85">
        <f t="shared" si="4"/>
        <v>16001.960000000001</v>
      </c>
      <c r="L13" s="85">
        <f t="shared" si="4"/>
        <v>18021.96</v>
      </c>
      <c r="M13" s="85">
        <f t="shared" si="4"/>
        <v>15901.960000000001</v>
      </c>
      <c r="N13" s="86">
        <f>SUM(B13:M13)</f>
        <v>255638.71849999996</v>
      </c>
    </row>
    <row r="14" spans="1:14" ht="15.75">
      <c r="A14" s="77" t="s">
        <v>181</v>
      </c>
      <c r="B14" s="85">
        <f>SUM(B15:B16)</f>
        <v>50</v>
      </c>
      <c r="C14" s="85">
        <f t="shared" ref="C14:M14" si="5">SUM(C15:C16)</f>
        <v>50</v>
      </c>
      <c r="D14" s="85">
        <f t="shared" si="5"/>
        <v>50</v>
      </c>
      <c r="E14" s="85">
        <f t="shared" si="5"/>
        <v>50</v>
      </c>
      <c r="F14" s="85">
        <f t="shared" si="5"/>
        <v>50</v>
      </c>
      <c r="G14" s="85">
        <f t="shared" si="5"/>
        <v>50</v>
      </c>
      <c r="H14" s="85">
        <f t="shared" si="5"/>
        <v>50</v>
      </c>
      <c r="I14" s="85">
        <f t="shared" si="5"/>
        <v>50</v>
      </c>
      <c r="J14" s="85">
        <f t="shared" si="5"/>
        <v>50</v>
      </c>
      <c r="K14" s="85">
        <f t="shared" si="5"/>
        <v>50</v>
      </c>
      <c r="L14" s="85">
        <f t="shared" si="5"/>
        <v>50</v>
      </c>
      <c r="M14" s="85">
        <f t="shared" si="5"/>
        <v>50</v>
      </c>
      <c r="N14" s="83">
        <f>SUM(B14:M14)</f>
        <v>600</v>
      </c>
    </row>
    <row r="15" spans="1:14" ht="15.75">
      <c r="A15" s="76" t="s">
        <v>180</v>
      </c>
      <c r="B15" s="79">
        <v>50</v>
      </c>
      <c r="C15" s="79">
        <v>50</v>
      </c>
      <c r="D15" s="79">
        <v>50</v>
      </c>
      <c r="E15" s="79">
        <v>50</v>
      </c>
      <c r="F15" s="79">
        <v>50</v>
      </c>
      <c r="G15" s="79">
        <v>50</v>
      </c>
      <c r="H15" s="79">
        <v>50</v>
      </c>
      <c r="I15" s="79">
        <v>50</v>
      </c>
      <c r="J15" s="79">
        <v>50</v>
      </c>
      <c r="K15" s="79">
        <v>50</v>
      </c>
      <c r="L15" s="79">
        <v>50</v>
      </c>
      <c r="M15" s="79">
        <v>50</v>
      </c>
      <c r="N15" s="83">
        <f t="shared" ref="N15:N41" si="6">SUM(B15:M15)</f>
        <v>600</v>
      </c>
    </row>
    <row r="16" spans="1:14" ht="15.75">
      <c r="A16" s="76"/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83">
        <f t="shared" si="6"/>
        <v>0</v>
      </c>
    </row>
    <row r="17" spans="1:14" ht="15.75">
      <c r="A17" s="77" t="s">
        <v>179</v>
      </c>
      <c r="B17" s="85">
        <f>SUM(B18:B24)</f>
        <v>2776.67</v>
      </c>
      <c r="C17" s="85">
        <f t="shared" ref="C17:M17" si="7">SUM(C18:C24)</f>
        <v>2776.67</v>
      </c>
      <c r="D17" s="85">
        <f t="shared" si="7"/>
        <v>2776.67</v>
      </c>
      <c r="E17" s="85">
        <f t="shared" si="7"/>
        <v>2776.67</v>
      </c>
      <c r="F17" s="85">
        <f t="shared" si="7"/>
        <v>2776.67</v>
      </c>
      <c r="G17" s="85">
        <f t="shared" si="7"/>
        <v>2776.67</v>
      </c>
      <c r="H17" s="85">
        <f t="shared" si="7"/>
        <v>2776.67</v>
      </c>
      <c r="I17" s="85">
        <f t="shared" si="7"/>
        <v>2776.67</v>
      </c>
      <c r="J17" s="85">
        <f t="shared" si="7"/>
        <v>2776.67</v>
      </c>
      <c r="K17" s="85">
        <f t="shared" si="7"/>
        <v>2776.67</v>
      </c>
      <c r="L17" s="85">
        <f t="shared" si="7"/>
        <v>7396.67</v>
      </c>
      <c r="M17" s="85">
        <f t="shared" si="7"/>
        <v>2776.67</v>
      </c>
      <c r="N17" s="84">
        <f>SUM(B17:M17)</f>
        <v>37940.039999999994</v>
      </c>
    </row>
    <row r="18" spans="1:14" ht="15.75">
      <c r="A18" s="76" t="s">
        <v>178</v>
      </c>
      <c r="B18" s="113">
        <v>150</v>
      </c>
      <c r="C18" s="113">
        <v>150</v>
      </c>
      <c r="D18" s="113">
        <v>150</v>
      </c>
      <c r="E18" s="113">
        <v>150</v>
      </c>
      <c r="F18" s="113">
        <v>150</v>
      </c>
      <c r="G18" s="113">
        <v>150</v>
      </c>
      <c r="H18" s="113">
        <v>150</v>
      </c>
      <c r="I18" s="113">
        <v>150</v>
      </c>
      <c r="J18" s="113">
        <v>150</v>
      </c>
      <c r="K18" s="113">
        <v>150</v>
      </c>
      <c r="L18" s="113">
        <v>150</v>
      </c>
      <c r="M18" s="113">
        <v>150</v>
      </c>
      <c r="N18" s="110">
        <f t="shared" si="6"/>
        <v>1800</v>
      </c>
    </row>
    <row r="19" spans="1:14" ht="15.75">
      <c r="A19" s="12" t="s">
        <v>9</v>
      </c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>
        <f>N19</f>
        <v>1120</v>
      </c>
      <c r="M19" s="79"/>
      <c r="N19" s="97">
        <v>1120</v>
      </c>
    </row>
    <row r="20" spans="1:14" ht="15.75">
      <c r="A20" s="14" t="s">
        <v>147</v>
      </c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>
        <f>N20</f>
        <v>3500</v>
      </c>
      <c r="M20" s="79"/>
      <c r="N20" s="97">
        <v>3500</v>
      </c>
    </row>
    <row r="21" spans="1:14" ht="15.75">
      <c r="A21" s="12" t="s">
        <v>10</v>
      </c>
      <c r="B21" s="79">
        <v>60</v>
      </c>
      <c r="C21" s="79">
        <v>60</v>
      </c>
      <c r="D21" s="79">
        <v>60</v>
      </c>
      <c r="E21" s="79">
        <v>60</v>
      </c>
      <c r="F21" s="79">
        <v>60</v>
      </c>
      <c r="G21" s="79">
        <v>60</v>
      </c>
      <c r="H21" s="79">
        <v>60</v>
      </c>
      <c r="I21" s="79">
        <v>60</v>
      </c>
      <c r="J21" s="79">
        <v>60</v>
      </c>
      <c r="K21" s="79">
        <v>60</v>
      </c>
      <c r="L21" s="79">
        <v>60</v>
      </c>
      <c r="M21" s="79">
        <v>60</v>
      </c>
      <c r="N21" s="97">
        <f t="shared" ref="N21" si="8">SUM(B21:M21)</f>
        <v>720</v>
      </c>
    </row>
    <row r="22" spans="1:14" ht="15.75">
      <c r="A22" s="14" t="s">
        <v>11</v>
      </c>
      <c r="B22" s="90">
        <f>$N$22/12</f>
        <v>2400</v>
      </c>
      <c r="C22" s="90">
        <f t="shared" ref="C22:M22" si="9">$N$22/12</f>
        <v>2400</v>
      </c>
      <c r="D22" s="90">
        <f t="shared" si="9"/>
        <v>2400</v>
      </c>
      <c r="E22" s="90">
        <f t="shared" si="9"/>
        <v>2400</v>
      </c>
      <c r="F22" s="90">
        <f t="shared" si="9"/>
        <v>2400</v>
      </c>
      <c r="G22" s="90">
        <f t="shared" si="9"/>
        <v>2400</v>
      </c>
      <c r="H22" s="90">
        <f t="shared" si="9"/>
        <v>2400</v>
      </c>
      <c r="I22" s="90">
        <f t="shared" si="9"/>
        <v>2400</v>
      </c>
      <c r="J22" s="90">
        <f t="shared" si="9"/>
        <v>2400</v>
      </c>
      <c r="K22" s="90">
        <f t="shared" si="9"/>
        <v>2400</v>
      </c>
      <c r="L22" s="90">
        <f t="shared" si="9"/>
        <v>2400</v>
      </c>
      <c r="M22" s="90">
        <f t="shared" si="9"/>
        <v>2400</v>
      </c>
      <c r="N22" s="114">
        <v>28800</v>
      </c>
    </row>
    <row r="23" spans="1:14" ht="15.75">
      <c r="A23" s="12" t="s">
        <v>152</v>
      </c>
      <c r="B23" s="79">
        <v>166.67</v>
      </c>
      <c r="C23" s="79">
        <v>166.67</v>
      </c>
      <c r="D23" s="79">
        <v>166.67</v>
      </c>
      <c r="E23" s="79">
        <v>166.67</v>
      </c>
      <c r="F23" s="79">
        <v>166.67</v>
      </c>
      <c r="G23" s="79">
        <v>166.67</v>
      </c>
      <c r="H23" s="79">
        <v>166.67</v>
      </c>
      <c r="I23" s="79">
        <v>166.67</v>
      </c>
      <c r="J23" s="79">
        <v>166.67</v>
      </c>
      <c r="K23" s="79">
        <v>166.67</v>
      </c>
      <c r="L23" s="79">
        <v>166.67</v>
      </c>
      <c r="M23" s="79">
        <v>166.67</v>
      </c>
      <c r="N23" s="97">
        <f>SUM(B23:M23)</f>
        <v>2000.0400000000002</v>
      </c>
    </row>
    <row r="24" spans="1:14" ht="15.75">
      <c r="A24" s="76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96">
        <f t="shared" si="6"/>
        <v>0</v>
      </c>
    </row>
    <row r="25" spans="1:14" ht="15.75">
      <c r="A25" s="77" t="s">
        <v>177</v>
      </c>
      <c r="B25" s="85">
        <f t="shared" ref="B25:M25" si="10">SUM(B26:B29)</f>
        <v>150.67000000000002</v>
      </c>
      <c r="C25" s="85">
        <f t="shared" si="10"/>
        <v>61.67</v>
      </c>
      <c r="D25" s="85">
        <f t="shared" si="10"/>
        <v>61.67</v>
      </c>
      <c r="E25" s="85">
        <f t="shared" si="10"/>
        <v>20</v>
      </c>
      <c r="F25" s="85">
        <f t="shared" si="10"/>
        <v>20</v>
      </c>
      <c r="G25" s="85">
        <f t="shared" si="10"/>
        <v>20</v>
      </c>
      <c r="H25" s="85">
        <f t="shared" si="10"/>
        <v>20</v>
      </c>
      <c r="I25" s="85">
        <f t="shared" si="10"/>
        <v>20</v>
      </c>
      <c r="J25" s="85">
        <f t="shared" si="10"/>
        <v>20</v>
      </c>
      <c r="K25" s="85">
        <f t="shared" si="10"/>
        <v>20</v>
      </c>
      <c r="L25" s="85">
        <f t="shared" si="10"/>
        <v>20</v>
      </c>
      <c r="M25" s="85">
        <f t="shared" si="10"/>
        <v>20</v>
      </c>
      <c r="N25" s="98">
        <f>SUM(B25:M25)</f>
        <v>454.01000000000005</v>
      </c>
    </row>
    <row r="26" spans="1:14" ht="15.75">
      <c r="A26" s="76" t="s">
        <v>69</v>
      </c>
      <c r="B26" s="79">
        <v>59</v>
      </c>
      <c r="C26" s="79">
        <v>20</v>
      </c>
      <c r="D26" s="79">
        <v>20</v>
      </c>
      <c r="E26" s="79">
        <v>20</v>
      </c>
      <c r="F26" s="79">
        <v>20</v>
      </c>
      <c r="G26" s="79">
        <v>20</v>
      </c>
      <c r="H26" s="79">
        <v>20</v>
      </c>
      <c r="I26" s="79">
        <v>20</v>
      </c>
      <c r="J26" s="79">
        <v>20</v>
      </c>
      <c r="K26" s="79">
        <v>20</v>
      </c>
      <c r="L26" s="79">
        <v>20</v>
      </c>
      <c r="M26" s="79">
        <v>20</v>
      </c>
      <c r="N26" s="98">
        <f t="shared" si="6"/>
        <v>279</v>
      </c>
    </row>
    <row r="27" spans="1:14" ht="15.75">
      <c r="A27" s="76" t="s">
        <v>176</v>
      </c>
      <c r="B27" s="79">
        <v>50</v>
      </c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98">
        <f t="shared" si="6"/>
        <v>50</v>
      </c>
    </row>
    <row r="28" spans="1:14" ht="15.75">
      <c r="A28" s="76" t="s">
        <v>32</v>
      </c>
      <c r="B28" s="79">
        <f>41.67</f>
        <v>41.67</v>
      </c>
      <c r="C28" s="79">
        <f t="shared" ref="C28:D28" si="11">41.67</f>
        <v>41.67</v>
      </c>
      <c r="D28" s="79">
        <f t="shared" si="11"/>
        <v>41.67</v>
      </c>
      <c r="E28" s="79"/>
      <c r="F28" s="79"/>
      <c r="G28" s="79"/>
      <c r="H28" s="79"/>
      <c r="I28" s="79"/>
      <c r="J28" s="79"/>
      <c r="K28" s="79"/>
      <c r="L28" s="79"/>
      <c r="M28" s="79"/>
      <c r="N28" s="97">
        <f>SUM(B28:M28)</f>
        <v>125.01</v>
      </c>
    </row>
    <row r="29" spans="1:14" ht="15.75">
      <c r="A29" s="76"/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83">
        <f t="shared" si="6"/>
        <v>0</v>
      </c>
    </row>
    <row r="30" spans="1:14" ht="15.75">
      <c r="A30" s="77" t="s">
        <v>175</v>
      </c>
      <c r="B30" s="85">
        <f t="shared" ref="B30:M30" si="12">SUM(B31:B36)</f>
        <v>37169.516833333335</v>
      </c>
      <c r="C30" s="85">
        <f t="shared" si="12"/>
        <v>2113.3633333333337</v>
      </c>
      <c r="D30" s="85">
        <f t="shared" si="12"/>
        <v>2113.3633333333337</v>
      </c>
      <c r="E30" s="85">
        <f t="shared" si="12"/>
        <v>2113.3633333333337</v>
      </c>
      <c r="F30" s="85">
        <f t="shared" si="12"/>
        <v>2113.3633333333337</v>
      </c>
      <c r="G30" s="85">
        <f t="shared" si="12"/>
        <v>2113.3633333333337</v>
      </c>
      <c r="H30" s="85">
        <f t="shared" si="12"/>
        <v>2113.3633333333337</v>
      </c>
      <c r="I30" s="85">
        <f t="shared" si="12"/>
        <v>2113.3633333333337</v>
      </c>
      <c r="J30" s="85">
        <f t="shared" si="12"/>
        <v>2113.3633333333337</v>
      </c>
      <c r="K30" s="85">
        <f t="shared" si="12"/>
        <v>2113.3633333333337</v>
      </c>
      <c r="L30" s="85">
        <f t="shared" si="12"/>
        <v>2113.3633333333337</v>
      </c>
      <c r="M30" s="85">
        <f t="shared" si="12"/>
        <v>2113.3633333333337</v>
      </c>
      <c r="N30" s="111">
        <f>SUM(B30:M30)</f>
        <v>60416.513500000015</v>
      </c>
    </row>
    <row r="31" spans="1:14" ht="15.75">
      <c r="A31" s="76" t="s">
        <v>151</v>
      </c>
      <c r="B31" s="79">
        <f>Investeringen!B65</f>
        <v>30000</v>
      </c>
      <c r="C31" s="79">
        <v>0</v>
      </c>
      <c r="D31" s="79">
        <v>0</v>
      </c>
      <c r="E31" s="79">
        <v>0</v>
      </c>
      <c r="F31" s="79">
        <v>0</v>
      </c>
      <c r="G31" s="79">
        <v>0</v>
      </c>
      <c r="H31" s="79">
        <v>0</v>
      </c>
      <c r="I31" s="79">
        <v>0</v>
      </c>
      <c r="J31" s="79">
        <v>0</v>
      </c>
      <c r="K31" s="79">
        <v>0</v>
      </c>
      <c r="L31" s="79">
        <v>0</v>
      </c>
      <c r="M31" s="79">
        <v>0</v>
      </c>
      <c r="N31" s="111">
        <f t="shared" si="6"/>
        <v>30000</v>
      </c>
    </row>
    <row r="32" spans="1:14" ht="15.75">
      <c r="A32" s="109" t="s">
        <v>174</v>
      </c>
      <c r="B32" s="90">
        <f>N32</f>
        <v>1866.17</v>
      </c>
      <c r="C32" s="90">
        <v>0</v>
      </c>
      <c r="D32" s="90">
        <v>0</v>
      </c>
      <c r="E32" s="90">
        <v>0</v>
      </c>
      <c r="F32" s="90">
        <v>0</v>
      </c>
      <c r="G32" s="90">
        <v>0</v>
      </c>
      <c r="H32" s="90">
        <v>0</v>
      </c>
      <c r="I32" s="90">
        <v>0</v>
      </c>
      <c r="J32" s="90">
        <v>0</v>
      </c>
      <c r="K32" s="90">
        <v>0</v>
      </c>
      <c r="L32" s="90">
        <v>0</v>
      </c>
      <c r="M32" s="90">
        <v>0</v>
      </c>
      <c r="N32" s="111">
        <f>SUM(Investeringen!B25:B26)</f>
        <v>1866.17</v>
      </c>
    </row>
    <row r="33" spans="1:14" ht="15.75">
      <c r="A33" s="109" t="s">
        <v>205</v>
      </c>
      <c r="B33" s="90">
        <f>afschrijvingsperiode!H11</f>
        <v>3189.9834999999994</v>
      </c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111">
        <f>SUM(afschrijvingsperiode!H11)</f>
        <v>3189.9834999999994</v>
      </c>
    </row>
    <row r="34" spans="1:14" ht="15.75">
      <c r="A34" s="76" t="s">
        <v>203</v>
      </c>
      <c r="B34" s="79">
        <f>12000/12</f>
        <v>1000</v>
      </c>
      <c r="C34" s="79">
        <f t="shared" ref="C34:M34" si="13">12000/12</f>
        <v>1000</v>
      </c>
      <c r="D34" s="79">
        <f t="shared" si="13"/>
        <v>1000</v>
      </c>
      <c r="E34" s="79">
        <f t="shared" si="13"/>
        <v>1000</v>
      </c>
      <c r="F34" s="79">
        <f t="shared" si="13"/>
        <v>1000</v>
      </c>
      <c r="G34" s="79">
        <f t="shared" si="13"/>
        <v>1000</v>
      </c>
      <c r="H34" s="79">
        <f t="shared" si="13"/>
        <v>1000</v>
      </c>
      <c r="I34" s="79">
        <f t="shared" si="13"/>
        <v>1000</v>
      </c>
      <c r="J34" s="79">
        <f t="shared" si="13"/>
        <v>1000</v>
      </c>
      <c r="K34" s="79">
        <f t="shared" si="13"/>
        <v>1000</v>
      </c>
      <c r="L34" s="79">
        <f t="shared" si="13"/>
        <v>1000</v>
      </c>
      <c r="M34" s="79">
        <f t="shared" si="13"/>
        <v>1000</v>
      </c>
      <c r="N34" s="112">
        <f>Investeringen!B46</f>
        <v>12000</v>
      </c>
    </row>
    <row r="35" spans="1:14" ht="15.75">
      <c r="A35" s="76" t="s">
        <v>204</v>
      </c>
      <c r="B35" s="79">
        <f>$N$35/12</f>
        <v>1113.3633333333335</v>
      </c>
      <c r="C35" s="79">
        <f t="shared" ref="C35:M35" si="14">$N$35/12</f>
        <v>1113.3633333333335</v>
      </c>
      <c r="D35" s="79">
        <f t="shared" si="14"/>
        <v>1113.3633333333335</v>
      </c>
      <c r="E35" s="79">
        <f t="shared" si="14"/>
        <v>1113.3633333333335</v>
      </c>
      <c r="F35" s="79">
        <f t="shared" si="14"/>
        <v>1113.3633333333335</v>
      </c>
      <c r="G35" s="79">
        <f t="shared" si="14"/>
        <v>1113.3633333333335</v>
      </c>
      <c r="H35" s="79">
        <f t="shared" si="14"/>
        <v>1113.3633333333335</v>
      </c>
      <c r="I35" s="79">
        <f t="shared" si="14"/>
        <v>1113.3633333333335</v>
      </c>
      <c r="J35" s="79">
        <f t="shared" si="14"/>
        <v>1113.3633333333335</v>
      </c>
      <c r="K35" s="79">
        <f t="shared" si="14"/>
        <v>1113.3633333333335</v>
      </c>
      <c r="L35" s="79">
        <f t="shared" si="14"/>
        <v>1113.3633333333335</v>
      </c>
      <c r="M35" s="79">
        <f t="shared" si="14"/>
        <v>1113.3633333333335</v>
      </c>
      <c r="N35" s="83">
        <f>Investeringen!B60</f>
        <v>13360.36</v>
      </c>
    </row>
    <row r="36" spans="1:14" ht="15.75">
      <c r="A36" s="76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79"/>
      <c r="N36" s="83">
        <f t="shared" si="6"/>
        <v>0</v>
      </c>
    </row>
    <row r="37" spans="1:14" ht="15.75">
      <c r="A37" s="77" t="s">
        <v>173</v>
      </c>
      <c r="B37" s="85">
        <f t="shared" ref="B37:M37" si="15">SUM(B38:B40)</f>
        <v>0</v>
      </c>
      <c r="C37" s="85">
        <f t="shared" si="15"/>
        <v>0</v>
      </c>
      <c r="D37" s="85">
        <f t="shared" si="15"/>
        <v>0</v>
      </c>
      <c r="E37" s="85">
        <f t="shared" si="15"/>
        <v>0</v>
      </c>
      <c r="F37" s="85">
        <f t="shared" si="15"/>
        <v>0</v>
      </c>
      <c r="G37" s="85">
        <f t="shared" si="15"/>
        <v>0</v>
      </c>
      <c r="H37" s="85">
        <f t="shared" si="15"/>
        <v>0</v>
      </c>
      <c r="I37" s="85">
        <f t="shared" si="15"/>
        <v>0</v>
      </c>
      <c r="J37" s="85">
        <f t="shared" si="15"/>
        <v>0</v>
      </c>
      <c r="K37" s="85">
        <f t="shared" si="15"/>
        <v>2600</v>
      </c>
      <c r="L37" s="85">
        <f t="shared" si="15"/>
        <v>0</v>
      </c>
      <c r="M37" s="85">
        <f t="shared" si="15"/>
        <v>0</v>
      </c>
      <c r="N37" s="84">
        <f>SUM(B37:M37)</f>
        <v>2600</v>
      </c>
    </row>
    <row r="38" spans="1:14" ht="15.75">
      <c r="A38" s="76" t="s">
        <v>207</v>
      </c>
      <c r="B38" s="79"/>
      <c r="C38" s="79"/>
      <c r="D38" s="79"/>
      <c r="E38" s="79"/>
      <c r="F38" s="79"/>
      <c r="G38" s="79"/>
      <c r="H38" s="79"/>
      <c r="I38" s="79"/>
      <c r="J38" s="79"/>
      <c r="K38" s="79">
        <f>+N38</f>
        <v>2600</v>
      </c>
      <c r="L38" s="79"/>
      <c r="M38" s="79"/>
      <c r="N38" s="83">
        <v>2600</v>
      </c>
    </row>
    <row r="39" spans="1:14" ht="15.75">
      <c r="A39" s="76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83">
        <f t="shared" si="6"/>
        <v>0</v>
      </c>
    </row>
    <row r="40" spans="1:14" ht="15.75">
      <c r="A40" s="76"/>
      <c r="B40" s="79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83">
        <f t="shared" si="6"/>
        <v>0</v>
      </c>
    </row>
    <row r="41" spans="1:14" ht="15.75">
      <c r="A41" s="77" t="s">
        <v>172</v>
      </c>
      <c r="B41" s="85">
        <f t="shared" ref="B41:M41" si="16">SUM(B42:B47)</f>
        <v>13075.336666666666</v>
      </c>
      <c r="C41" s="85">
        <f t="shared" si="16"/>
        <v>13075.336666666666</v>
      </c>
      <c r="D41" s="85">
        <f t="shared" si="16"/>
        <v>13075.336666666666</v>
      </c>
      <c r="E41" s="85">
        <f t="shared" si="16"/>
        <v>13075.336666666666</v>
      </c>
      <c r="F41" s="85">
        <f t="shared" si="16"/>
        <v>13075.336666666666</v>
      </c>
      <c r="G41" s="85">
        <f t="shared" si="16"/>
        <v>3075.3366666666666</v>
      </c>
      <c r="H41" s="85">
        <f t="shared" si="16"/>
        <v>3075.3366666666666</v>
      </c>
      <c r="I41" s="85">
        <f t="shared" si="16"/>
        <v>3075.3366666666666</v>
      </c>
      <c r="J41" s="85">
        <f t="shared" si="16"/>
        <v>3075.3366666666666</v>
      </c>
      <c r="K41" s="85">
        <f t="shared" si="16"/>
        <v>3075.3366666666666</v>
      </c>
      <c r="L41" s="85">
        <f t="shared" si="16"/>
        <v>3075.3366666666666</v>
      </c>
      <c r="M41" s="85">
        <f t="shared" si="16"/>
        <v>3075.3366666666666</v>
      </c>
      <c r="N41" s="84">
        <f t="shared" si="6"/>
        <v>86904.040000000023</v>
      </c>
    </row>
    <row r="42" spans="1:14" ht="15.75">
      <c r="A42" s="76" t="s">
        <v>210</v>
      </c>
      <c r="B42" s="79">
        <f>$N$42/12</f>
        <v>115.16666666666667</v>
      </c>
      <c r="C42" s="79">
        <f t="shared" ref="C42:M42" si="17">$N$42/12</f>
        <v>115.16666666666667</v>
      </c>
      <c r="D42" s="79">
        <f t="shared" si="17"/>
        <v>115.16666666666667</v>
      </c>
      <c r="E42" s="79">
        <f t="shared" si="17"/>
        <v>115.16666666666667</v>
      </c>
      <c r="F42" s="79">
        <f t="shared" si="17"/>
        <v>115.16666666666667</v>
      </c>
      <c r="G42" s="79">
        <f t="shared" si="17"/>
        <v>115.16666666666667</v>
      </c>
      <c r="H42" s="79">
        <f t="shared" si="17"/>
        <v>115.16666666666667</v>
      </c>
      <c r="I42" s="79">
        <f t="shared" si="17"/>
        <v>115.16666666666667</v>
      </c>
      <c r="J42" s="79">
        <f t="shared" si="17"/>
        <v>115.16666666666667</v>
      </c>
      <c r="K42" s="79">
        <f t="shared" si="17"/>
        <v>115.16666666666667</v>
      </c>
      <c r="L42" s="79">
        <f t="shared" si="17"/>
        <v>115.16666666666667</v>
      </c>
      <c r="M42" s="79">
        <f t="shared" si="17"/>
        <v>115.16666666666667</v>
      </c>
      <c r="N42" s="83">
        <f>Investeringen!B9</f>
        <v>1382</v>
      </c>
    </row>
    <row r="43" spans="1:14" ht="15.75">
      <c r="A43" s="76" t="s">
        <v>232</v>
      </c>
      <c r="B43" s="79">
        <v>2777.78</v>
      </c>
      <c r="C43" s="79">
        <v>2777.78</v>
      </c>
      <c r="D43" s="79">
        <v>2777.78</v>
      </c>
      <c r="E43" s="79">
        <v>2777.78</v>
      </c>
      <c r="F43" s="79">
        <v>2777.78</v>
      </c>
      <c r="G43" s="79">
        <v>2777.78</v>
      </c>
      <c r="H43" s="79">
        <v>2777.78</v>
      </c>
      <c r="I43" s="79">
        <v>2777.78</v>
      </c>
      <c r="J43" s="79">
        <v>2777.78</v>
      </c>
      <c r="K43" s="79">
        <v>2777.78</v>
      </c>
      <c r="L43" s="79">
        <v>2777.78</v>
      </c>
      <c r="M43" s="79">
        <v>2777.78</v>
      </c>
      <c r="N43" s="83">
        <f>SUM(B43:M43)</f>
        <v>33333.359999999993</v>
      </c>
    </row>
    <row r="44" spans="1:14" ht="15.75">
      <c r="A44" s="76" t="s">
        <v>165</v>
      </c>
      <c r="B44" s="79">
        <v>182.39</v>
      </c>
      <c r="C44" s="79">
        <v>182.39</v>
      </c>
      <c r="D44" s="79">
        <v>182.39</v>
      </c>
      <c r="E44" s="79">
        <v>182.39</v>
      </c>
      <c r="F44" s="79">
        <v>182.39</v>
      </c>
      <c r="G44" s="79">
        <v>182.39</v>
      </c>
      <c r="H44" s="79">
        <v>182.39</v>
      </c>
      <c r="I44" s="79">
        <v>182.39</v>
      </c>
      <c r="J44" s="79">
        <v>182.39</v>
      </c>
      <c r="K44" s="79">
        <v>182.39</v>
      </c>
      <c r="L44" s="79">
        <v>182.39</v>
      </c>
      <c r="M44" s="79">
        <v>182.39</v>
      </c>
      <c r="N44" s="83">
        <f>SUM(B44:M44)</f>
        <v>2188.6799999999994</v>
      </c>
    </row>
    <row r="45" spans="1:14" ht="15.75">
      <c r="A45" s="76" t="s">
        <v>233</v>
      </c>
      <c r="B45" s="79">
        <v>10000</v>
      </c>
      <c r="C45" s="79">
        <v>10000</v>
      </c>
      <c r="D45" s="79">
        <v>10000</v>
      </c>
      <c r="E45" s="79">
        <v>10000</v>
      </c>
      <c r="F45" s="79">
        <v>10000</v>
      </c>
      <c r="G45" s="79"/>
      <c r="H45" s="79"/>
      <c r="I45" s="79"/>
      <c r="J45" s="79"/>
      <c r="K45" s="79"/>
      <c r="L45" s="79"/>
      <c r="M45" s="79"/>
      <c r="N45" s="83">
        <f>SUM(B45:F45)</f>
        <v>50000</v>
      </c>
    </row>
    <row r="46" spans="1:14" ht="15.75">
      <c r="A46" s="76"/>
      <c r="B46" s="79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83">
        <f t="shared" ref="N46:N56" si="18">SUM(B46:M46)</f>
        <v>0</v>
      </c>
    </row>
    <row r="47" spans="1:14" ht="15.75">
      <c r="A47" s="76"/>
      <c r="B47" s="79"/>
      <c r="C47" s="79"/>
      <c r="D47" s="79"/>
      <c r="E47" s="79"/>
      <c r="F47" s="79"/>
      <c r="G47" s="79"/>
      <c r="H47" s="79"/>
      <c r="I47" s="79"/>
      <c r="J47" s="79"/>
      <c r="K47" s="79"/>
      <c r="L47" s="79"/>
      <c r="M47" s="79"/>
      <c r="N47" s="83">
        <f t="shared" si="18"/>
        <v>0</v>
      </c>
    </row>
    <row r="48" spans="1:14" ht="15.75">
      <c r="A48" s="77" t="s">
        <v>171</v>
      </c>
      <c r="B48" s="85">
        <f>SUM(B49:B52)</f>
        <v>5066.66</v>
      </c>
      <c r="C48" s="85">
        <f t="shared" ref="C48:M48" si="19">SUM(C49:C56)</f>
        <v>5366.59</v>
      </c>
      <c r="D48" s="85">
        <f t="shared" si="19"/>
        <v>5366.59</v>
      </c>
      <c r="E48" s="85">
        <f t="shared" si="19"/>
        <v>5366.59</v>
      </c>
      <c r="F48" s="85">
        <f t="shared" si="19"/>
        <v>5366.59</v>
      </c>
      <c r="G48" s="85">
        <f t="shared" si="19"/>
        <v>5366.59</v>
      </c>
      <c r="H48" s="85">
        <f t="shared" si="19"/>
        <v>5366.59</v>
      </c>
      <c r="I48" s="85">
        <f t="shared" si="19"/>
        <v>5366.59</v>
      </c>
      <c r="J48" s="85">
        <f t="shared" si="19"/>
        <v>5366.59</v>
      </c>
      <c r="K48" s="85">
        <f t="shared" si="19"/>
        <v>5366.59</v>
      </c>
      <c r="L48" s="85">
        <f t="shared" si="19"/>
        <v>5366.59</v>
      </c>
      <c r="M48" s="85">
        <f t="shared" si="19"/>
        <v>7866.59</v>
      </c>
      <c r="N48" s="84">
        <f t="shared" si="18"/>
        <v>66599.14999999998</v>
      </c>
    </row>
    <row r="49" spans="1:14" ht="15.75">
      <c r="A49" s="76" t="s">
        <v>170</v>
      </c>
      <c r="B49" s="79">
        <f>$N$49/12</f>
        <v>5000</v>
      </c>
      <c r="C49" s="79">
        <f t="shared" ref="C49:M49" si="20">$N$49/12</f>
        <v>5000</v>
      </c>
      <c r="D49" s="79">
        <f t="shared" si="20"/>
        <v>5000</v>
      </c>
      <c r="E49" s="79">
        <f t="shared" si="20"/>
        <v>5000</v>
      </c>
      <c r="F49" s="79">
        <f t="shared" si="20"/>
        <v>5000</v>
      </c>
      <c r="G49" s="79">
        <f t="shared" si="20"/>
        <v>5000</v>
      </c>
      <c r="H49" s="79">
        <f t="shared" si="20"/>
        <v>5000</v>
      </c>
      <c r="I49" s="79">
        <f t="shared" si="20"/>
        <v>5000</v>
      </c>
      <c r="J49" s="79">
        <f t="shared" si="20"/>
        <v>5000</v>
      </c>
      <c r="K49" s="79">
        <f t="shared" si="20"/>
        <v>5000</v>
      </c>
      <c r="L49" s="79">
        <f t="shared" si="20"/>
        <v>5000</v>
      </c>
      <c r="M49" s="79">
        <f t="shared" si="20"/>
        <v>5000</v>
      </c>
      <c r="N49" s="84">
        <v>60000</v>
      </c>
    </row>
    <row r="50" spans="1:14" ht="15.75">
      <c r="A50" s="76" t="s">
        <v>206</v>
      </c>
      <c r="B50" s="79">
        <v>0</v>
      </c>
      <c r="C50" s="79">
        <v>0</v>
      </c>
      <c r="D50" s="79">
        <v>0</v>
      </c>
      <c r="E50" s="79">
        <v>0</v>
      </c>
      <c r="F50" s="79">
        <v>0</v>
      </c>
      <c r="G50" s="79">
        <v>0</v>
      </c>
      <c r="H50" s="79">
        <v>0</v>
      </c>
      <c r="I50" s="79">
        <v>0</v>
      </c>
      <c r="J50" s="79">
        <v>0</v>
      </c>
      <c r="K50" s="79">
        <v>0</v>
      </c>
      <c r="L50" s="79">
        <v>0</v>
      </c>
      <c r="M50" s="79">
        <v>2500</v>
      </c>
      <c r="N50" s="84">
        <v>2500</v>
      </c>
    </row>
    <row r="51" spans="1:14" ht="15.75">
      <c r="A51" s="76" t="s">
        <v>169</v>
      </c>
      <c r="B51" s="79">
        <v>66.66</v>
      </c>
      <c r="C51" s="79">
        <v>66.66</v>
      </c>
      <c r="D51" s="79">
        <v>66.66</v>
      </c>
      <c r="E51" s="79">
        <v>66.66</v>
      </c>
      <c r="F51" s="79">
        <v>66.66</v>
      </c>
      <c r="G51" s="79">
        <v>66.66</v>
      </c>
      <c r="H51" s="79">
        <v>66.66</v>
      </c>
      <c r="I51" s="79">
        <v>66.66</v>
      </c>
      <c r="J51" s="79">
        <v>66.66</v>
      </c>
      <c r="K51" s="79">
        <v>66.66</v>
      </c>
      <c r="L51" s="79">
        <v>66.66</v>
      </c>
      <c r="M51" s="79">
        <v>66.66</v>
      </c>
      <c r="N51" s="84">
        <f t="shared" si="18"/>
        <v>799.91999999999973</v>
      </c>
    </row>
    <row r="52" spans="1:14" ht="15.75">
      <c r="A52" s="76"/>
      <c r="B52" s="79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83">
        <f t="shared" si="18"/>
        <v>0</v>
      </c>
    </row>
    <row r="53" spans="1:14" ht="15.75">
      <c r="A53" s="101" t="s">
        <v>208</v>
      </c>
      <c r="B53" s="79">
        <f>SUM(B54)</f>
        <v>124.96499999999999</v>
      </c>
      <c r="C53" s="79">
        <f t="shared" ref="C53:N53" si="21">SUM(C54)</f>
        <v>124.96499999999999</v>
      </c>
      <c r="D53" s="79">
        <f t="shared" si="21"/>
        <v>124.96499999999999</v>
      </c>
      <c r="E53" s="79">
        <f t="shared" si="21"/>
        <v>124.96499999999999</v>
      </c>
      <c r="F53" s="79">
        <f t="shared" si="21"/>
        <v>124.96499999999999</v>
      </c>
      <c r="G53" s="79">
        <f t="shared" si="21"/>
        <v>124.96499999999999</v>
      </c>
      <c r="H53" s="79">
        <f t="shared" si="21"/>
        <v>124.96499999999999</v>
      </c>
      <c r="I53" s="79">
        <f t="shared" si="21"/>
        <v>124.96499999999999</v>
      </c>
      <c r="J53" s="79">
        <f t="shared" si="21"/>
        <v>124.96499999999999</v>
      </c>
      <c r="K53" s="79">
        <f t="shared" si="21"/>
        <v>124.96499999999999</v>
      </c>
      <c r="L53" s="79">
        <f t="shared" si="21"/>
        <v>124.96499999999999</v>
      </c>
      <c r="M53" s="79">
        <f t="shared" si="21"/>
        <v>124.96499999999999</v>
      </c>
      <c r="N53" s="79">
        <f t="shared" si="21"/>
        <v>1499.58</v>
      </c>
    </row>
    <row r="54" spans="1:14" ht="15.75">
      <c r="A54" s="76" t="s">
        <v>209</v>
      </c>
      <c r="B54" s="79">
        <f>$N$54/12</f>
        <v>124.96499999999999</v>
      </c>
      <c r="C54" s="79">
        <f t="shared" ref="C54:M54" si="22">$N$54/12</f>
        <v>124.96499999999999</v>
      </c>
      <c r="D54" s="79">
        <f t="shared" si="22"/>
        <v>124.96499999999999</v>
      </c>
      <c r="E54" s="79">
        <f t="shared" si="22"/>
        <v>124.96499999999999</v>
      </c>
      <c r="F54" s="79">
        <f t="shared" si="22"/>
        <v>124.96499999999999</v>
      </c>
      <c r="G54" s="79">
        <f t="shared" si="22"/>
        <v>124.96499999999999</v>
      </c>
      <c r="H54" s="79">
        <f t="shared" si="22"/>
        <v>124.96499999999999</v>
      </c>
      <c r="I54" s="79">
        <f t="shared" si="22"/>
        <v>124.96499999999999</v>
      </c>
      <c r="J54" s="79">
        <f t="shared" si="22"/>
        <v>124.96499999999999</v>
      </c>
      <c r="K54" s="79">
        <f t="shared" si="22"/>
        <v>124.96499999999999</v>
      </c>
      <c r="L54" s="79">
        <f t="shared" si="22"/>
        <v>124.96499999999999</v>
      </c>
      <c r="M54" s="79">
        <f t="shared" si="22"/>
        <v>124.96499999999999</v>
      </c>
      <c r="N54" s="83">
        <f>'Vaste Kosten'!B77</f>
        <v>1499.58</v>
      </c>
    </row>
    <row r="55" spans="1:14" ht="15.75">
      <c r="A55" s="76" t="s">
        <v>234</v>
      </c>
      <c r="B55" s="79">
        <v>50</v>
      </c>
      <c r="C55" s="79">
        <v>50</v>
      </c>
      <c r="D55" s="79">
        <v>50</v>
      </c>
      <c r="E55" s="79">
        <v>50</v>
      </c>
      <c r="F55" s="79">
        <v>50</v>
      </c>
      <c r="G55" s="79">
        <v>50</v>
      </c>
      <c r="H55" s="79">
        <v>50</v>
      </c>
      <c r="I55" s="79">
        <v>50</v>
      </c>
      <c r="J55" s="79">
        <v>50</v>
      </c>
      <c r="K55" s="79">
        <v>50</v>
      </c>
      <c r="L55" s="79">
        <v>50</v>
      </c>
      <c r="M55" s="79">
        <v>50</v>
      </c>
      <c r="N55" s="83">
        <f t="shared" si="18"/>
        <v>600</v>
      </c>
    </row>
    <row r="56" spans="1:14" ht="15.75">
      <c r="A56" s="76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83">
        <f t="shared" si="18"/>
        <v>0</v>
      </c>
    </row>
    <row r="57" spans="1:14" ht="15.75">
      <c r="A57" s="82" t="s">
        <v>168</v>
      </c>
      <c r="B57" s="81">
        <f t="shared" ref="B57:N57" si="23">+B5-B11</f>
        <v>-48449.018500000006</v>
      </c>
      <c r="C57" s="81">
        <f t="shared" si="23"/>
        <v>-13478.830000000002</v>
      </c>
      <c r="D57" s="81">
        <f t="shared" si="23"/>
        <v>-13478.830000000002</v>
      </c>
      <c r="E57" s="81">
        <f t="shared" si="23"/>
        <v>-13437.16</v>
      </c>
      <c r="F57" s="81">
        <f t="shared" si="23"/>
        <v>-13437.16</v>
      </c>
      <c r="G57" s="81">
        <f t="shared" si="23"/>
        <v>-3437.1600000000017</v>
      </c>
      <c r="H57" s="81">
        <f t="shared" si="23"/>
        <v>-3437.1600000000017</v>
      </c>
      <c r="I57" s="81">
        <f t="shared" si="23"/>
        <v>-3437.1600000000017</v>
      </c>
      <c r="J57" s="81">
        <f t="shared" si="23"/>
        <v>-3437.1600000000017</v>
      </c>
      <c r="K57" s="81">
        <f t="shared" si="23"/>
        <v>-6037.1600000000017</v>
      </c>
      <c r="L57" s="81">
        <f t="shared" si="23"/>
        <v>-8057.16</v>
      </c>
      <c r="M57" s="81">
        <f t="shared" si="23"/>
        <v>-5937.1600000000017</v>
      </c>
      <c r="N57" s="80">
        <f t="shared" si="23"/>
        <v>-126096.31849999996</v>
      </c>
    </row>
    <row r="58" spans="1:14" ht="15.75">
      <c r="A58" s="76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8"/>
    </row>
    <row r="59" spans="1:14" ht="15.75">
      <c r="A59" s="76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8"/>
    </row>
    <row r="60" spans="1:14" ht="15.75">
      <c r="A60" s="77" t="s">
        <v>167</v>
      </c>
      <c r="B60" s="99">
        <f t="shared" ref="B60:N60" si="24">+B3+B57</f>
        <v>101550.98149999999</v>
      </c>
      <c r="C60" s="99">
        <f t="shared" si="24"/>
        <v>88072.151499999993</v>
      </c>
      <c r="D60" s="99">
        <f t="shared" si="24"/>
        <v>74593.321499999991</v>
      </c>
      <c r="E60" s="99">
        <f t="shared" si="24"/>
        <v>61156.161499999987</v>
      </c>
      <c r="F60" s="99">
        <f t="shared" si="24"/>
        <v>47719.001499999984</v>
      </c>
      <c r="G60" s="99">
        <f t="shared" si="24"/>
        <v>44281.84149999998</v>
      </c>
      <c r="H60" s="99">
        <f t="shared" si="24"/>
        <v>40844.681499999977</v>
      </c>
      <c r="I60" s="99">
        <f t="shared" si="24"/>
        <v>37407.521499999973</v>
      </c>
      <c r="J60" s="99">
        <f t="shared" si="24"/>
        <v>33970.36149999997</v>
      </c>
      <c r="K60" s="99">
        <f t="shared" si="24"/>
        <v>27933.201499999966</v>
      </c>
      <c r="L60" s="99">
        <f t="shared" si="24"/>
        <v>19876.041499999967</v>
      </c>
      <c r="M60" s="99">
        <f t="shared" si="24"/>
        <v>13938.881499999965</v>
      </c>
      <c r="N60" s="100">
        <f t="shared" si="24"/>
        <v>-126096.31849999996</v>
      </c>
    </row>
    <row r="67" spans="5:5">
      <c r="E67">
        <f>600*4*12</f>
        <v>28800</v>
      </c>
    </row>
  </sheetData>
  <pageMargins left="0.7" right="0.7" top="0.75" bottom="0.75" header="0.3" footer="0.3"/>
  <pageSetup paperSize="9" orientation="portrait" r:id="rId1"/>
  <ignoredErrors>
    <ignoredError sqref="B28:D28 B31:M32 B56:M56 B49:M51 B58:M59 D57:M57 D60:M60 C41:M41 B39:M40 C37:M37 B54:N54 B42:M42 B34:M34 B36:M36 B52:M52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319FB-CF66-4172-BCCA-773382221E1F}">
  <dimension ref="A2:J82"/>
  <sheetViews>
    <sheetView topLeftCell="A19" zoomScale="90" zoomScaleNormal="90" workbookViewId="0">
      <selection activeCell="B36" sqref="B36:F36"/>
    </sheetView>
  </sheetViews>
  <sheetFormatPr defaultRowHeight="15"/>
  <cols>
    <col min="1" max="1" width="38.140625" bestFit="1" customWidth="1"/>
    <col min="2" max="6" width="12.7109375" bestFit="1" customWidth="1"/>
    <col min="7" max="7" width="22.28515625" bestFit="1" customWidth="1"/>
    <col min="8" max="8" width="10.7109375" bestFit="1" customWidth="1"/>
  </cols>
  <sheetData>
    <row r="2" spans="1:6">
      <c r="B2" s="5" t="s">
        <v>43</v>
      </c>
      <c r="C2" s="5" t="s">
        <v>44</v>
      </c>
      <c r="D2" s="5" t="s">
        <v>71</v>
      </c>
      <c r="E2" s="5" t="s">
        <v>72</v>
      </c>
      <c r="F2" s="5" t="s">
        <v>73</v>
      </c>
    </row>
    <row r="3" spans="1:6">
      <c r="A3" s="48" t="s">
        <v>60</v>
      </c>
      <c r="B3" s="49"/>
      <c r="C3" s="49"/>
      <c r="D3" s="50"/>
      <c r="E3" s="50"/>
      <c r="F3" s="50"/>
    </row>
    <row r="4" spans="1:6">
      <c r="A4" s="12" t="s">
        <v>90</v>
      </c>
      <c r="B4" s="47">
        <f>Cashflowtabel!$N$15</f>
        <v>600</v>
      </c>
      <c r="C4" s="47">
        <f>Cashflowtabel!$N$15</f>
        <v>600</v>
      </c>
      <c r="D4" s="47">
        <f>Cashflowtabel!$N$15</f>
        <v>600</v>
      </c>
      <c r="E4" s="47">
        <f>Cashflowtabel!$N$15</f>
        <v>600</v>
      </c>
      <c r="F4" s="47">
        <f>Cashflowtabel!$N$15</f>
        <v>600</v>
      </c>
    </row>
    <row r="5" spans="1:6">
      <c r="A5" s="12" t="s">
        <v>0</v>
      </c>
      <c r="B5" s="19">
        <v>0</v>
      </c>
      <c r="C5" s="19">
        <v>0</v>
      </c>
      <c r="D5" s="19">
        <v>0</v>
      </c>
      <c r="E5" s="19">
        <v>0</v>
      </c>
      <c r="F5" s="19">
        <v>0</v>
      </c>
    </row>
    <row r="6" spans="1:6">
      <c r="A6" s="12" t="s">
        <v>1</v>
      </c>
      <c r="B6" s="19">
        <v>0</v>
      </c>
      <c r="C6" s="19">
        <v>0</v>
      </c>
      <c r="D6" s="19">
        <v>0</v>
      </c>
      <c r="E6" s="19">
        <v>0</v>
      </c>
      <c r="F6" s="19">
        <v>0</v>
      </c>
    </row>
    <row r="7" spans="1:6">
      <c r="A7" s="12" t="s">
        <v>2</v>
      </c>
      <c r="B7" s="19">
        <v>0</v>
      </c>
      <c r="C7" s="19">
        <v>0</v>
      </c>
      <c r="D7" s="19">
        <v>0</v>
      </c>
      <c r="E7" s="19">
        <v>0</v>
      </c>
      <c r="F7" s="19">
        <v>0</v>
      </c>
    </row>
    <row r="8" spans="1:6">
      <c r="A8" s="12" t="s">
        <v>3</v>
      </c>
      <c r="B8" s="19">
        <v>0</v>
      </c>
      <c r="C8" s="19">
        <v>0</v>
      </c>
      <c r="D8" s="19">
        <v>0</v>
      </c>
      <c r="E8" s="19">
        <v>0</v>
      </c>
      <c r="F8" s="19">
        <v>0</v>
      </c>
    </row>
    <row r="9" spans="1:6">
      <c r="A9" s="12" t="s">
        <v>4</v>
      </c>
      <c r="B9" s="19">
        <v>0</v>
      </c>
      <c r="C9" s="19">
        <v>0</v>
      </c>
      <c r="D9" s="19">
        <v>0</v>
      </c>
      <c r="E9" s="19">
        <v>0</v>
      </c>
      <c r="F9" s="19">
        <v>0</v>
      </c>
    </row>
    <row r="10" spans="1:6">
      <c r="A10" s="12" t="s">
        <v>5</v>
      </c>
      <c r="B10" s="19">
        <v>0</v>
      </c>
      <c r="C10" s="19">
        <v>0</v>
      </c>
      <c r="D10" s="19">
        <v>0</v>
      </c>
      <c r="E10" s="19">
        <v>0</v>
      </c>
      <c r="F10" s="19">
        <v>0</v>
      </c>
    </row>
    <row r="11" spans="1:6">
      <c r="A11" s="12" t="s">
        <v>6</v>
      </c>
      <c r="B11" s="19">
        <v>0</v>
      </c>
      <c r="C11" s="19">
        <v>0</v>
      </c>
      <c r="D11" s="19">
        <v>0</v>
      </c>
      <c r="E11" s="19">
        <v>0</v>
      </c>
      <c r="F11" s="19">
        <v>0</v>
      </c>
    </row>
    <row r="12" spans="1:6">
      <c r="A12" s="12" t="s">
        <v>7</v>
      </c>
      <c r="B12" s="19">
        <v>0</v>
      </c>
      <c r="C12" s="19">
        <v>0</v>
      </c>
      <c r="D12" s="19">
        <v>0</v>
      </c>
      <c r="E12" s="19">
        <v>0</v>
      </c>
      <c r="F12" s="19">
        <v>0</v>
      </c>
    </row>
    <row r="13" spans="1:6">
      <c r="A13" s="13" t="s">
        <v>70</v>
      </c>
      <c r="B13" s="19">
        <f>SUM(B4:B12)</f>
        <v>600</v>
      </c>
      <c r="C13" s="19">
        <f>SUM(C4:C12)</f>
        <v>600</v>
      </c>
      <c r="D13" s="19">
        <f>SUM(D4:D12)</f>
        <v>600</v>
      </c>
      <c r="E13" s="19">
        <f>SUM(E4:E12)</f>
        <v>600</v>
      </c>
      <c r="F13" s="19">
        <f>SUM(F4:F12)</f>
        <v>600</v>
      </c>
    </row>
    <row r="14" spans="1:6">
      <c r="B14" s="2"/>
      <c r="C14" s="2"/>
    </row>
    <row r="15" spans="1:6">
      <c r="A15" s="48" t="s">
        <v>61</v>
      </c>
      <c r="B15" s="49"/>
      <c r="C15" s="49"/>
      <c r="D15" s="50"/>
      <c r="E15" s="50"/>
      <c r="F15" s="50"/>
    </row>
    <row r="16" spans="1:6">
      <c r="A16" s="12" t="s">
        <v>8</v>
      </c>
      <c r="B16" s="47">
        <f>Cashflowtabel!$N$18</f>
        <v>1800</v>
      </c>
      <c r="C16" s="47">
        <f>Cashflowtabel!$N$18</f>
        <v>1800</v>
      </c>
      <c r="D16" s="47">
        <f>Cashflowtabel!$N$18</f>
        <v>1800</v>
      </c>
      <c r="E16" s="47">
        <f>Cashflowtabel!$N$18</f>
        <v>1800</v>
      </c>
      <c r="F16" s="47">
        <f>Cashflowtabel!$N$18</f>
        <v>1800</v>
      </c>
    </row>
    <row r="17" spans="1:7">
      <c r="A17" s="12" t="s">
        <v>9</v>
      </c>
      <c r="B17" s="19">
        <f>Cashflowtabel!$N$19</f>
        <v>1120</v>
      </c>
      <c r="C17" s="19">
        <f>Cashflowtabel!$N$19</f>
        <v>1120</v>
      </c>
      <c r="D17" s="19">
        <f>Cashflowtabel!$N$19</f>
        <v>1120</v>
      </c>
      <c r="E17" s="19">
        <f>Cashflowtabel!$N$19</f>
        <v>1120</v>
      </c>
      <c r="F17" s="19">
        <f>Cashflowtabel!$N$19</f>
        <v>1120</v>
      </c>
    </row>
    <row r="18" spans="1:7">
      <c r="A18" s="14" t="s">
        <v>147</v>
      </c>
      <c r="B18" s="20">
        <f>Cashflowtabel!$N$20</f>
        <v>3500</v>
      </c>
      <c r="C18" s="20">
        <f>Cashflowtabel!$N$20</f>
        <v>3500</v>
      </c>
      <c r="D18" s="20">
        <f>Cashflowtabel!$N$20</f>
        <v>3500</v>
      </c>
      <c r="E18" s="20">
        <f>Cashflowtabel!$N$20</f>
        <v>3500</v>
      </c>
      <c r="F18" s="20">
        <f>Cashflowtabel!$N$20</f>
        <v>3500</v>
      </c>
      <c r="G18" t="s">
        <v>161</v>
      </c>
    </row>
    <row r="19" spans="1:7">
      <c r="A19" s="12" t="s">
        <v>10</v>
      </c>
      <c r="B19" s="19">
        <f>Cashflowtabel!$N$21</f>
        <v>720</v>
      </c>
      <c r="C19" s="19">
        <f>Cashflowtabel!$N$21</f>
        <v>720</v>
      </c>
      <c r="D19" s="19">
        <f>Cashflowtabel!$N$21</f>
        <v>720</v>
      </c>
      <c r="E19" s="19">
        <f>Cashflowtabel!$N$21</f>
        <v>720</v>
      </c>
      <c r="F19" s="19">
        <f>Cashflowtabel!$N$21</f>
        <v>720</v>
      </c>
    </row>
    <row r="20" spans="1:7" s="9" customFormat="1">
      <c r="A20" s="14" t="s">
        <v>11</v>
      </c>
      <c r="B20" s="20">
        <f>Cashflowtabel!$N$22</f>
        <v>28800</v>
      </c>
      <c r="C20" s="20">
        <f>Cashflowtabel!$N$22</f>
        <v>28800</v>
      </c>
      <c r="D20" s="20">
        <f>Cashflowtabel!$N$22</f>
        <v>28800</v>
      </c>
      <c r="E20" s="20">
        <f>Cashflowtabel!$N$22</f>
        <v>28800</v>
      </c>
      <c r="F20" s="20">
        <f>Cashflowtabel!$N$22</f>
        <v>28800</v>
      </c>
    </row>
    <row r="21" spans="1:7">
      <c r="A21" s="12" t="s">
        <v>12</v>
      </c>
      <c r="B21" s="19">
        <v>0</v>
      </c>
      <c r="C21" s="19">
        <v>0</v>
      </c>
      <c r="D21" s="19">
        <v>0</v>
      </c>
      <c r="E21" s="19">
        <v>0</v>
      </c>
      <c r="F21" s="19">
        <v>0</v>
      </c>
    </row>
    <row r="22" spans="1:7">
      <c r="A22" s="12" t="s">
        <v>152</v>
      </c>
      <c r="B22" s="19">
        <f>Cashflowtabel!$N$23</f>
        <v>2000.0400000000002</v>
      </c>
      <c r="C22" s="19">
        <f>Cashflowtabel!$N$23</f>
        <v>2000.0400000000002</v>
      </c>
      <c r="D22" s="19">
        <f>Cashflowtabel!$N$23</f>
        <v>2000.0400000000002</v>
      </c>
      <c r="E22" s="19">
        <f>Cashflowtabel!$N$23</f>
        <v>2000.0400000000002</v>
      </c>
      <c r="F22" s="19">
        <f>Cashflowtabel!$N$23</f>
        <v>2000.0400000000002</v>
      </c>
    </row>
    <row r="23" spans="1:7">
      <c r="A23" s="12" t="s">
        <v>13</v>
      </c>
      <c r="B23" s="19">
        <v>0</v>
      </c>
      <c r="C23" s="19">
        <v>0</v>
      </c>
      <c r="D23" s="19">
        <v>0</v>
      </c>
      <c r="E23" s="19">
        <v>0</v>
      </c>
      <c r="F23" s="19">
        <v>0</v>
      </c>
    </row>
    <row r="24" spans="1:7">
      <c r="A24" s="12" t="s">
        <v>7</v>
      </c>
      <c r="B24" s="19">
        <v>0</v>
      </c>
      <c r="C24" s="19">
        <v>0</v>
      </c>
      <c r="D24" s="19">
        <v>0</v>
      </c>
      <c r="E24" s="19">
        <v>0</v>
      </c>
      <c r="F24" s="19">
        <v>0</v>
      </c>
    </row>
    <row r="25" spans="1:7">
      <c r="A25" s="13"/>
      <c r="B25" s="19">
        <f>SUM(B16:B24)</f>
        <v>37940.04</v>
      </c>
      <c r="C25" s="19">
        <f>SUM(C16:C24)</f>
        <v>37940.04</v>
      </c>
      <c r="D25" s="18">
        <f>SUM(D16:D24)</f>
        <v>37940.04</v>
      </c>
      <c r="E25" s="18">
        <f>SUM(E16:E24)</f>
        <v>37940.04</v>
      </c>
      <c r="F25" s="18">
        <f>SUM(F16:F24)</f>
        <v>37940.04</v>
      </c>
    </row>
    <row r="26" spans="1:7">
      <c r="B26" s="2"/>
      <c r="C26" s="2"/>
    </row>
    <row r="27" spans="1:7">
      <c r="A27" s="48" t="s">
        <v>62</v>
      </c>
      <c r="B27" s="49"/>
      <c r="C27" s="49"/>
      <c r="D27" s="50"/>
      <c r="E27" s="50"/>
      <c r="F27" s="50"/>
    </row>
    <row r="28" spans="1:7">
      <c r="A28" s="12" t="s">
        <v>69</v>
      </c>
      <c r="B28" s="47">
        <f>Cashflowtabel!$N$26</f>
        <v>279</v>
      </c>
      <c r="C28" s="47">
        <f>Cashflowtabel!$N$26</f>
        <v>279</v>
      </c>
      <c r="D28" s="47">
        <f>Cashflowtabel!$N$26</f>
        <v>279</v>
      </c>
      <c r="E28" s="47">
        <f>Cashflowtabel!$N$26</f>
        <v>279</v>
      </c>
      <c r="F28" s="47">
        <f>Cashflowtabel!$N$26</f>
        <v>279</v>
      </c>
    </row>
    <row r="29" spans="1:7">
      <c r="A29" s="12" t="s">
        <v>14</v>
      </c>
      <c r="B29" s="19">
        <v>0</v>
      </c>
      <c r="C29" s="19">
        <v>0</v>
      </c>
      <c r="D29" s="17"/>
      <c r="E29" s="17"/>
      <c r="F29" s="17"/>
    </row>
    <row r="30" spans="1:7">
      <c r="A30" s="12" t="s">
        <v>15</v>
      </c>
      <c r="B30" s="19">
        <f>Cashflowtabel!N27</f>
        <v>50</v>
      </c>
      <c r="C30" s="19">
        <v>300</v>
      </c>
      <c r="D30" s="19">
        <v>300</v>
      </c>
      <c r="E30" s="19">
        <v>300</v>
      </c>
      <c r="F30" s="19">
        <v>300</v>
      </c>
    </row>
    <row r="31" spans="1:7">
      <c r="A31" s="12" t="s">
        <v>16</v>
      </c>
      <c r="B31" s="19">
        <v>0</v>
      </c>
      <c r="C31" s="19">
        <v>0</v>
      </c>
      <c r="D31" s="19">
        <v>0</v>
      </c>
      <c r="E31" s="19">
        <v>0</v>
      </c>
      <c r="F31" s="19">
        <v>0</v>
      </c>
    </row>
    <row r="32" spans="1:7">
      <c r="A32" s="12" t="s">
        <v>17</v>
      </c>
      <c r="B32" s="19">
        <v>0</v>
      </c>
      <c r="C32" s="19">
        <v>0</v>
      </c>
      <c r="D32" s="19">
        <v>0</v>
      </c>
      <c r="E32" s="19">
        <v>0</v>
      </c>
      <c r="F32" s="19">
        <v>0</v>
      </c>
    </row>
    <row r="33" spans="1:7">
      <c r="A33" s="12" t="s">
        <v>18</v>
      </c>
      <c r="B33" s="19">
        <v>0</v>
      </c>
      <c r="C33" s="19">
        <v>0</v>
      </c>
      <c r="D33" s="19">
        <v>0</v>
      </c>
      <c r="E33" s="19">
        <v>0</v>
      </c>
      <c r="F33" s="19">
        <v>0</v>
      </c>
    </row>
    <row r="34" spans="1:7">
      <c r="A34" s="12" t="s">
        <v>19</v>
      </c>
      <c r="B34" s="19">
        <v>0</v>
      </c>
      <c r="C34" s="19">
        <v>0</v>
      </c>
      <c r="D34" s="19">
        <v>0</v>
      </c>
      <c r="E34" s="19">
        <v>0</v>
      </c>
      <c r="F34" s="19">
        <v>0</v>
      </c>
    </row>
    <row r="35" spans="1:7">
      <c r="A35" s="12" t="s">
        <v>20</v>
      </c>
      <c r="B35" s="19">
        <v>0</v>
      </c>
      <c r="C35" s="19">
        <v>0</v>
      </c>
      <c r="D35" s="19">
        <v>0</v>
      </c>
      <c r="E35" s="19">
        <v>0</v>
      </c>
      <c r="F35" s="19">
        <v>0</v>
      </c>
    </row>
    <row r="36" spans="1:7">
      <c r="A36" s="12" t="s">
        <v>21</v>
      </c>
      <c r="B36" s="19">
        <f>Cashflowtabel!$N$51</f>
        <v>799.91999999999973</v>
      </c>
      <c r="C36" s="19">
        <f>Cashflowtabel!$N$51</f>
        <v>799.91999999999973</v>
      </c>
      <c r="D36" s="19">
        <f>Cashflowtabel!$N$51</f>
        <v>799.91999999999973</v>
      </c>
      <c r="E36" s="19">
        <f>Cashflowtabel!$N$51</f>
        <v>799.91999999999973</v>
      </c>
      <c r="F36" s="19">
        <f>Cashflowtabel!$N$51</f>
        <v>799.91999999999973</v>
      </c>
    </row>
    <row r="37" spans="1:7">
      <c r="A37" s="12" t="s">
        <v>7</v>
      </c>
      <c r="B37" s="19">
        <v>0</v>
      </c>
      <c r="C37" s="19">
        <v>0</v>
      </c>
      <c r="D37" s="19">
        <v>0</v>
      </c>
      <c r="E37" s="19">
        <v>0</v>
      </c>
      <c r="F37" s="19">
        <v>0</v>
      </c>
    </row>
    <row r="38" spans="1:7">
      <c r="A38" s="13" t="s">
        <v>70</v>
      </c>
      <c r="B38" s="19">
        <f>SUM(B28:B37)</f>
        <v>1128.9199999999996</v>
      </c>
      <c r="C38" s="19">
        <f>SUM(C28:C37)</f>
        <v>1378.9199999999996</v>
      </c>
      <c r="D38" s="19">
        <f>SUM(D28:D37)</f>
        <v>1378.9199999999996</v>
      </c>
      <c r="E38" s="19">
        <f>SUM(E28:E37)</f>
        <v>1378.9199999999996</v>
      </c>
      <c r="F38" s="19">
        <f>SUM(F28:F37)</f>
        <v>1378.9199999999996</v>
      </c>
    </row>
    <row r="39" spans="1:7">
      <c r="B39" s="2"/>
      <c r="C39" s="2"/>
    </row>
    <row r="40" spans="1:7">
      <c r="A40" s="48" t="s">
        <v>63</v>
      </c>
      <c r="B40" s="49"/>
      <c r="C40" s="49"/>
      <c r="D40" s="50"/>
      <c r="E40" s="50"/>
      <c r="F40" s="50"/>
    </row>
    <row r="41" spans="1:7">
      <c r="A41" s="12" t="s">
        <v>22</v>
      </c>
      <c r="B41" s="47">
        <v>2600</v>
      </c>
      <c r="C41" s="47">
        <v>2600</v>
      </c>
      <c r="D41" s="47">
        <v>2600</v>
      </c>
      <c r="E41" s="47">
        <v>2600</v>
      </c>
      <c r="F41" s="47">
        <v>2600</v>
      </c>
      <c r="G41" t="s">
        <v>148</v>
      </c>
    </row>
    <row r="42" spans="1:7">
      <c r="A42" s="12" t="s">
        <v>23</v>
      </c>
      <c r="B42" s="19">
        <v>0</v>
      </c>
      <c r="C42" s="19">
        <v>0</v>
      </c>
      <c r="D42" s="19">
        <v>0</v>
      </c>
      <c r="E42" s="19">
        <v>0</v>
      </c>
      <c r="F42" s="19">
        <v>0</v>
      </c>
    </row>
    <row r="43" spans="1:7">
      <c r="A43" s="12" t="s">
        <v>24</v>
      </c>
      <c r="B43" s="19">
        <v>0</v>
      </c>
      <c r="C43" s="19">
        <v>0</v>
      </c>
      <c r="D43" s="19">
        <v>0</v>
      </c>
      <c r="E43" s="19">
        <v>0</v>
      </c>
      <c r="F43" s="19">
        <v>0</v>
      </c>
    </row>
    <row r="44" spans="1:7">
      <c r="A44" s="12" t="s">
        <v>25</v>
      </c>
      <c r="B44" s="19">
        <v>0</v>
      </c>
      <c r="C44" s="19">
        <v>0</v>
      </c>
      <c r="D44" s="19">
        <v>0</v>
      </c>
      <c r="E44" s="19">
        <v>0</v>
      </c>
      <c r="F44" s="19">
        <v>0</v>
      </c>
    </row>
    <row r="45" spans="1:7">
      <c r="A45" s="12" t="s">
        <v>68</v>
      </c>
      <c r="B45" s="19">
        <v>0</v>
      </c>
      <c r="C45" s="19">
        <v>0</v>
      </c>
      <c r="D45" s="19">
        <v>0</v>
      </c>
      <c r="E45" s="19">
        <v>0</v>
      </c>
      <c r="F45" s="19">
        <v>0</v>
      </c>
    </row>
    <row r="46" spans="1:7">
      <c r="A46" s="12" t="s">
        <v>26</v>
      </c>
      <c r="B46" s="19">
        <v>0</v>
      </c>
      <c r="C46" s="19">
        <v>0</v>
      </c>
      <c r="D46" s="19">
        <v>0</v>
      </c>
      <c r="E46" s="19">
        <v>0</v>
      </c>
      <c r="F46" s="19">
        <v>0</v>
      </c>
    </row>
    <row r="47" spans="1:7">
      <c r="A47" s="12" t="s">
        <v>27</v>
      </c>
      <c r="B47" s="19">
        <v>0</v>
      </c>
      <c r="C47" s="19">
        <v>0</v>
      </c>
      <c r="D47" s="19">
        <v>0</v>
      </c>
      <c r="E47" s="19">
        <v>0</v>
      </c>
      <c r="F47" s="19">
        <v>0</v>
      </c>
    </row>
    <row r="48" spans="1:7">
      <c r="A48" s="12" t="s">
        <v>28</v>
      </c>
      <c r="B48" s="19">
        <v>0</v>
      </c>
      <c r="C48" s="19">
        <v>0</v>
      </c>
      <c r="D48" s="19">
        <v>0</v>
      </c>
      <c r="E48" s="19">
        <v>0</v>
      </c>
      <c r="F48" s="19">
        <v>0</v>
      </c>
    </row>
    <row r="49" spans="1:6">
      <c r="A49" s="12" t="s">
        <v>7</v>
      </c>
      <c r="B49" s="19">
        <v>0</v>
      </c>
      <c r="C49" s="19">
        <v>0</v>
      </c>
      <c r="D49" s="19">
        <v>0</v>
      </c>
      <c r="E49" s="19">
        <v>0</v>
      </c>
      <c r="F49" s="19">
        <v>0</v>
      </c>
    </row>
    <row r="50" spans="1:6">
      <c r="A50" s="13" t="s">
        <v>70</v>
      </c>
      <c r="B50" s="19">
        <f>SUM(B41:B49)</f>
        <v>2600</v>
      </c>
      <c r="C50" s="19">
        <f>SUM(C41:C49)</f>
        <v>2600</v>
      </c>
      <c r="D50" s="19">
        <f>SUM(D41:D49)</f>
        <v>2600</v>
      </c>
      <c r="E50" s="19">
        <f>SUM(E41:E49)</f>
        <v>2600</v>
      </c>
      <c r="F50" s="19">
        <f>SUM(F41:F49)</f>
        <v>2600</v>
      </c>
    </row>
    <row r="51" spans="1:6">
      <c r="B51" s="2"/>
      <c r="C51" s="2"/>
    </row>
    <row r="52" spans="1:6">
      <c r="A52" s="48" t="s">
        <v>64</v>
      </c>
      <c r="B52" s="49"/>
      <c r="C52" s="49"/>
      <c r="D52" s="50"/>
      <c r="E52" s="50"/>
      <c r="F52" s="50"/>
    </row>
    <row r="53" spans="1:6">
      <c r="A53" s="12" t="s">
        <v>29</v>
      </c>
      <c r="B53" s="19">
        <v>0</v>
      </c>
      <c r="C53" s="19">
        <v>0</v>
      </c>
      <c r="D53" s="19">
        <v>0</v>
      </c>
      <c r="E53" s="19">
        <v>0</v>
      </c>
      <c r="F53" s="19">
        <v>0</v>
      </c>
    </row>
    <row r="54" spans="1:6">
      <c r="A54" s="12" t="s">
        <v>30</v>
      </c>
      <c r="B54" s="19">
        <v>0</v>
      </c>
      <c r="C54" s="19">
        <v>0</v>
      </c>
      <c r="D54" s="19">
        <v>0</v>
      </c>
      <c r="E54" s="19">
        <v>0</v>
      </c>
      <c r="F54" s="19">
        <v>0</v>
      </c>
    </row>
    <row r="55" spans="1:6">
      <c r="A55" s="12" t="s">
        <v>31</v>
      </c>
      <c r="B55" s="19">
        <v>0</v>
      </c>
      <c r="C55" s="19">
        <v>0</v>
      </c>
      <c r="D55" s="19">
        <v>0</v>
      </c>
      <c r="E55" s="19">
        <v>0</v>
      </c>
      <c r="F55" s="19">
        <v>0</v>
      </c>
    </row>
    <row r="56" spans="1:6">
      <c r="A56" s="12" t="s">
        <v>32</v>
      </c>
      <c r="B56" s="19">
        <v>500</v>
      </c>
      <c r="C56" s="19">
        <v>500</v>
      </c>
      <c r="D56" s="19">
        <v>500</v>
      </c>
      <c r="E56" s="19">
        <v>500</v>
      </c>
      <c r="F56" s="19">
        <v>500</v>
      </c>
    </row>
    <row r="57" spans="1:6">
      <c r="A57" s="12" t="s">
        <v>33</v>
      </c>
      <c r="B57" s="19">
        <v>0</v>
      </c>
      <c r="C57" s="19">
        <v>0</v>
      </c>
      <c r="D57" s="19">
        <v>0</v>
      </c>
      <c r="E57" s="19">
        <v>0</v>
      </c>
      <c r="F57" s="19">
        <v>0</v>
      </c>
    </row>
    <row r="58" spans="1:6">
      <c r="A58" s="12" t="s">
        <v>34</v>
      </c>
      <c r="B58" s="19">
        <v>0</v>
      </c>
      <c r="C58" s="19">
        <v>0</v>
      </c>
      <c r="D58" s="19">
        <v>0</v>
      </c>
      <c r="E58" s="19">
        <v>0</v>
      </c>
      <c r="F58" s="19">
        <v>0</v>
      </c>
    </row>
    <row r="59" spans="1:6">
      <c r="A59" s="12" t="s">
        <v>35</v>
      </c>
      <c r="B59" s="19">
        <v>0</v>
      </c>
      <c r="C59" s="19">
        <v>0</v>
      </c>
      <c r="D59" s="19">
        <v>0</v>
      </c>
      <c r="E59" s="19">
        <v>0</v>
      </c>
      <c r="F59" s="19">
        <v>0</v>
      </c>
    </row>
    <row r="60" spans="1:6">
      <c r="A60" s="12" t="s">
        <v>7</v>
      </c>
      <c r="B60" s="19">
        <v>0</v>
      </c>
      <c r="C60" s="19">
        <v>0</v>
      </c>
      <c r="D60" s="19">
        <v>0</v>
      </c>
      <c r="E60" s="19">
        <v>0</v>
      </c>
      <c r="F60" s="19">
        <v>0</v>
      </c>
    </row>
    <row r="61" spans="1:6">
      <c r="A61" s="13" t="s">
        <v>70</v>
      </c>
      <c r="B61" s="19">
        <f>SUM(B53:B60)</f>
        <v>500</v>
      </c>
      <c r="C61" s="19">
        <f>SUM(C53:C60)</f>
        <v>500</v>
      </c>
      <c r="D61" s="19">
        <f>SUM(D53:D60)</f>
        <v>500</v>
      </c>
      <c r="E61" s="19">
        <f>SUM(E53:E60)</f>
        <v>500</v>
      </c>
      <c r="F61" s="19">
        <f>SUM(F53:F60)</f>
        <v>500</v>
      </c>
    </row>
    <row r="62" spans="1:6">
      <c r="B62" s="2"/>
      <c r="C62" s="2"/>
    </row>
    <row r="63" spans="1:6">
      <c r="A63" s="1" t="s">
        <v>65</v>
      </c>
      <c r="B63" s="2"/>
      <c r="C63" s="2"/>
    </row>
    <row r="64" spans="1:6">
      <c r="B64" s="2"/>
      <c r="C64" s="2"/>
    </row>
    <row r="65" spans="1:10">
      <c r="A65" s="51" t="s">
        <v>66</v>
      </c>
      <c r="B65" s="49"/>
      <c r="C65" s="49"/>
      <c r="D65" s="50"/>
      <c r="E65" s="50"/>
      <c r="F65" s="50"/>
    </row>
    <row r="66" spans="1:10">
      <c r="A66" s="15" t="s">
        <v>36</v>
      </c>
      <c r="B66" s="47">
        <v>60000</v>
      </c>
      <c r="C66" s="47">
        <v>60000</v>
      </c>
      <c r="D66" s="47">
        <v>60000</v>
      </c>
      <c r="E66" s="47">
        <v>60000</v>
      </c>
      <c r="F66" s="47">
        <v>60000</v>
      </c>
      <c r="G66" s="11">
        <v>2500</v>
      </c>
      <c r="H66" s="10"/>
      <c r="I66" s="6"/>
      <c r="J66" s="6"/>
    </row>
    <row r="67" spans="1:10">
      <c r="A67" s="15" t="s">
        <v>154</v>
      </c>
      <c r="B67" s="19">
        <v>2500</v>
      </c>
      <c r="C67" s="19">
        <v>2500</v>
      </c>
      <c r="D67" s="19">
        <v>2500</v>
      </c>
      <c r="E67" s="19">
        <v>2500</v>
      </c>
      <c r="F67" s="19">
        <v>2500</v>
      </c>
    </row>
    <row r="68" spans="1:10">
      <c r="A68" s="15" t="s">
        <v>37</v>
      </c>
      <c r="B68" s="19">
        <v>0</v>
      </c>
      <c r="C68" s="19">
        <v>0</v>
      </c>
      <c r="D68" s="19">
        <v>0</v>
      </c>
      <c r="E68" s="19">
        <v>0</v>
      </c>
      <c r="F68" s="19">
        <v>0</v>
      </c>
    </row>
    <row r="69" spans="1:10">
      <c r="A69" s="15" t="s">
        <v>38</v>
      </c>
      <c r="B69" s="19">
        <v>0</v>
      </c>
      <c r="C69" s="19">
        <v>0</v>
      </c>
      <c r="D69" s="19">
        <v>0</v>
      </c>
      <c r="E69" s="19">
        <v>0</v>
      </c>
      <c r="F69" s="19">
        <v>0</v>
      </c>
    </row>
    <row r="70" spans="1:10">
      <c r="A70" s="15" t="s">
        <v>7</v>
      </c>
      <c r="B70" s="19">
        <v>0</v>
      </c>
      <c r="C70" s="19">
        <v>0</v>
      </c>
      <c r="D70" s="19">
        <v>0</v>
      </c>
      <c r="E70" s="19">
        <v>0</v>
      </c>
      <c r="F70" s="19">
        <v>0</v>
      </c>
    </row>
    <row r="71" spans="1:10">
      <c r="A71" s="16" t="s">
        <v>70</v>
      </c>
      <c r="B71" s="19">
        <f>SUM(B66:B70)</f>
        <v>62500</v>
      </c>
      <c r="C71" s="19">
        <f>SUM(C66:C70)</f>
        <v>62500</v>
      </c>
      <c r="D71" s="19">
        <f>SUM(D66:D70)</f>
        <v>62500</v>
      </c>
      <c r="E71" s="19">
        <f>SUM(E66:E70)</f>
        <v>62500</v>
      </c>
      <c r="F71" s="19">
        <f>SUM(F66:F70)</f>
        <v>62500</v>
      </c>
    </row>
    <row r="72" spans="1:10" ht="18" customHeight="1">
      <c r="B72" s="2"/>
      <c r="C72" s="2"/>
    </row>
    <row r="73" spans="1:10">
      <c r="A73" s="48" t="s">
        <v>67</v>
      </c>
      <c r="B73" s="49"/>
      <c r="C73" s="49"/>
      <c r="D73" s="50"/>
      <c r="E73" s="50"/>
      <c r="F73" s="50"/>
    </row>
    <row r="74" spans="1:10">
      <c r="A74" s="12" t="s">
        <v>39</v>
      </c>
      <c r="B74" s="47">
        <v>0</v>
      </c>
      <c r="C74" s="47">
        <v>0</v>
      </c>
      <c r="D74" s="47">
        <v>0</v>
      </c>
      <c r="E74" s="47">
        <v>0</v>
      </c>
      <c r="F74" s="47">
        <v>0</v>
      </c>
    </row>
    <row r="75" spans="1:10">
      <c r="A75" s="15" t="s">
        <v>40</v>
      </c>
      <c r="B75" s="19">
        <v>0</v>
      </c>
      <c r="C75" s="19">
        <v>0</v>
      </c>
      <c r="D75" s="19">
        <v>0</v>
      </c>
      <c r="E75" s="19">
        <v>0</v>
      </c>
      <c r="F75" s="19">
        <v>0</v>
      </c>
    </row>
    <row r="76" spans="1:10">
      <c r="A76" s="12" t="s">
        <v>41</v>
      </c>
      <c r="B76" s="19">
        <v>0</v>
      </c>
      <c r="C76" s="19">
        <v>0</v>
      </c>
      <c r="D76" s="19">
        <v>0</v>
      </c>
      <c r="E76" s="19">
        <v>0</v>
      </c>
      <c r="F76" s="19">
        <v>0</v>
      </c>
    </row>
    <row r="77" spans="1:10">
      <c r="A77" s="15" t="s">
        <v>42</v>
      </c>
      <c r="B77" s="102">
        <v>1499.58</v>
      </c>
      <c r="C77" s="19">
        <v>1499.58</v>
      </c>
      <c r="D77" s="19">
        <v>1499.58</v>
      </c>
      <c r="E77" s="19">
        <v>1499.58</v>
      </c>
      <c r="F77" s="19">
        <v>1499.58</v>
      </c>
    </row>
    <row r="78" spans="1:10">
      <c r="A78" s="12" t="s">
        <v>93</v>
      </c>
      <c r="B78" s="19">
        <v>200</v>
      </c>
      <c r="C78" s="19">
        <v>200</v>
      </c>
      <c r="D78" s="19">
        <v>200</v>
      </c>
      <c r="E78" s="19">
        <v>200</v>
      </c>
      <c r="F78" s="19">
        <v>200</v>
      </c>
    </row>
    <row r="79" spans="1:10">
      <c r="A79" s="15" t="s">
        <v>7</v>
      </c>
      <c r="B79" s="19">
        <v>0</v>
      </c>
      <c r="C79" s="19">
        <v>0</v>
      </c>
      <c r="D79" s="19">
        <v>0</v>
      </c>
      <c r="E79" s="19">
        <v>0</v>
      </c>
      <c r="F79" s="19">
        <v>0</v>
      </c>
    </row>
    <row r="80" spans="1:10">
      <c r="A80" s="16" t="s">
        <v>70</v>
      </c>
      <c r="B80" s="19">
        <f>SUM(B74:B79)</f>
        <v>1699.58</v>
      </c>
      <c r="C80" s="19">
        <f>SUM(C74:C79)</f>
        <v>1699.58</v>
      </c>
      <c r="D80" s="19">
        <f>SUM(D74:D79)</f>
        <v>1699.58</v>
      </c>
      <c r="E80" s="19">
        <f>SUM(E74:E79)</f>
        <v>1699.58</v>
      </c>
      <c r="F80" s="19">
        <f>SUM(F74:F79)</f>
        <v>1699.58</v>
      </c>
    </row>
    <row r="82" spans="1:7">
      <c r="A82" s="50" t="s">
        <v>85</v>
      </c>
      <c r="B82" s="52">
        <f>SUM(B13+B25+B38+B50+B61+B71+B80)</f>
        <v>106968.54</v>
      </c>
      <c r="C82" s="52">
        <f>SUM(C13+C25+C38+C50+C61+C71+C80)</f>
        <v>107218.54</v>
      </c>
      <c r="D82" s="52">
        <f>SUM(D13+D25+D38+D50+D61+D71+D80)</f>
        <v>107218.54</v>
      </c>
      <c r="E82" s="52">
        <f>SUM(E13+E25+E38+E50+E61+E71+E80)</f>
        <v>107218.54</v>
      </c>
      <c r="F82" s="52">
        <f>SUM(F13+F25+F38+F50+F61+F71+F80)</f>
        <v>107218.54</v>
      </c>
      <c r="G82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A55B4-4AD5-4E11-87B5-A89D4081E995}">
  <dimension ref="B3:K29"/>
  <sheetViews>
    <sheetView workbookViewId="0">
      <selection activeCell="G22" sqref="G22"/>
    </sheetView>
  </sheetViews>
  <sheetFormatPr defaultRowHeight="15"/>
  <cols>
    <col min="2" max="2" width="19.85546875" bestFit="1" customWidth="1"/>
    <col min="3" max="3" width="11.7109375" bestFit="1" customWidth="1"/>
    <col min="9" max="9" width="15.7109375" bestFit="1" customWidth="1"/>
    <col min="10" max="11" width="11.7109375" bestFit="1" customWidth="1"/>
  </cols>
  <sheetData>
    <row r="3" spans="2:11">
      <c r="B3" s="74" t="s">
        <v>164</v>
      </c>
      <c r="C3" s="107">
        <v>50000</v>
      </c>
      <c r="I3" t="s">
        <v>212</v>
      </c>
      <c r="J3" s="4">
        <v>25000</v>
      </c>
    </row>
    <row r="4" spans="2:11">
      <c r="B4" s="74" t="s">
        <v>165</v>
      </c>
      <c r="C4" t="s">
        <v>211</v>
      </c>
      <c r="I4" t="s">
        <v>213</v>
      </c>
      <c r="J4" s="4">
        <v>25000</v>
      </c>
    </row>
    <row r="5" spans="2:11">
      <c r="B5" s="74" t="s">
        <v>166</v>
      </c>
      <c r="C5" s="105">
        <v>18</v>
      </c>
    </row>
    <row r="9" spans="2:11">
      <c r="B9" t="s">
        <v>214</v>
      </c>
      <c r="C9" s="106">
        <v>2960.17</v>
      </c>
      <c r="I9" t="s">
        <v>214</v>
      </c>
      <c r="J9">
        <v>5000</v>
      </c>
      <c r="K9">
        <v>5000</v>
      </c>
    </row>
    <row r="10" spans="2:11">
      <c r="B10" t="s">
        <v>215</v>
      </c>
      <c r="C10" s="106">
        <f>C9+2960.17</f>
        <v>5920.34</v>
      </c>
      <c r="I10" t="s">
        <v>215</v>
      </c>
      <c r="J10">
        <v>5000</v>
      </c>
      <c r="K10">
        <v>5000</v>
      </c>
    </row>
    <row r="11" spans="2:11">
      <c r="B11" t="s">
        <v>216</v>
      </c>
      <c r="C11" s="106">
        <f t="shared" ref="C11:C26" si="0">C10+2960.17</f>
        <v>8880.51</v>
      </c>
      <c r="I11" t="s">
        <v>216</v>
      </c>
      <c r="J11">
        <v>5000</v>
      </c>
      <c r="K11">
        <v>5000</v>
      </c>
    </row>
    <row r="12" spans="2:11">
      <c r="B12" t="s">
        <v>217</v>
      </c>
      <c r="C12" s="106">
        <f t="shared" si="0"/>
        <v>11840.68</v>
      </c>
      <c r="I12" t="s">
        <v>217</v>
      </c>
      <c r="J12">
        <v>5000</v>
      </c>
      <c r="K12">
        <v>5000</v>
      </c>
    </row>
    <row r="13" spans="2:11">
      <c r="B13" t="s">
        <v>218</v>
      </c>
      <c r="C13" s="106">
        <f t="shared" si="0"/>
        <v>14800.85</v>
      </c>
      <c r="I13" t="s">
        <v>218</v>
      </c>
      <c r="J13">
        <v>5000</v>
      </c>
      <c r="K13">
        <v>5000</v>
      </c>
    </row>
    <row r="14" spans="2:11">
      <c r="B14" t="s">
        <v>219</v>
      </c>
      <c r="C14" s="106">
        <f t="shared" si="0"/>
        <v>17761.02</v>
      </c>
    </row>
    <row r="15" spans="2:11">
      <c r="B15" t="s">
        <v>220</v>
      </c>
      <c r="C15" s="106">
        <f t="shared" si="0"/>
        <v>20721.190000000002</v>
      </c>
    </row>
    <row r="16" spans="2:11">
      <c r="B16" t="s">
        <v>221</v>
      </c>
      <c r="C16" s="106">
        <f t="shared" si="0"/>
        <v>23681.360000000001</v>
      </c>
    </row>
    <row r="17" spans="2:11">
      <c r="B17" t="s">
        <v>222</v>
      </c>
      <c r="C17" s="106">
        <f t="shared" si="0"/>
        <v>26641.53</v>
      </c>
    </row>
    <row r="18" spans="2:11">
      <c r="B18" t="s">
        <v>223</v>
      </c>
      <c r="C18" s="106">
        <f t="shared" si="0"/>
        <v>29601.699999999997</v>
      </c>
    </row>
    <row r="19" spans="2:11">
      <c r="B19" t="s">
        <v>224</v>
      </c>
      <c r="C19" s="106">
        <f t="shared" si="0"/>
        <v>32561.869999999995</v>
      </c>
    </row>
    <row r="20" spans="2:11">
      <c r="B20" t="s">
        <v>225</v>
      </c>
      <c r="C20" s="106">
        <f t="shared" si="0"/>
        <v>35522.039999999994</v>
      </c>
      <c r="E20">
        <v>35522.04</v>
      </c>
    </row>
    <row r="21" spans="2:11">
      <c r="B21" t="s">
        <v>226</v>
      </c>
      <c r="C21" s="106">
        <f t="shared" si="0"/>
        <v>38482.209999999992</v>
      </c>
    </row>
    <row r="22" spans="2:11">
      <c r="B22" t="s">
        <v>227</v>
      </c>
      <c r="C22" s="106">
        <f t="shared" si="0"/>
        <v>41442.37999999999</v>
      </c>
    </row>
    <row r="23" spans="2:11">
      <c r="B23" t="s">
        <v>228</v>
      </c>
      <c r="C23" s="106">
        <f t="shared" si="0"/>
        <v>44402.549999999988</v>
      </c>
    </row>
    <row r="24" spans="2:11">
      <c r="B24" t="s">
        <v>229</v>
      </c>
      <c r="C24" s="106">
        <f t="shared" si="0"/>
        <v>47362.719999999987</v>
      </c>
      <c r="K24" s="106"/>
    </row>
    <row r="25" spans="2:11">
      <c r="B25" t="s">
        <v>230</v>
      </c>
      <c r="C25" s="106">
        <f t="shared" si="0"/>
        <v>50322.889999999985</v>
      </c>
      <c r="J25" s="73"/>
      <c r="K25" s="73"/>
    </row>
    <row r="26" spans="2:11">
      <c r="B26" t="s">
        <v>231</v>
      </c>
      <c r="C26" s="106">
        <f t="shared" si="0"/>
        <v>53283.059999999983</v>
      </c>
    </row>
    <row r="29" spans="2:11">
      <c r="E29" s="106">
        <f>C26-E20</f>
        <v>17761.019999999982</v>
      </c>
    </row>
  </sheetData>
  <phoneticPr fontId="11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FB2FB-CEA6-4AB9-A57C-EB7D3F8D1A2E}">
  <dimension ref="A1:F74"/>
  <sheetViews>
    <sheetView topLeftCell="A13" workbookViewId="0">
      <selection activeCell="A31" sqref="A31:XFD31"/>
    </sheetView>
  </sheetViews>
  <sheetFormatPr defaultRowHeight="15"/>
  <cols>
    <col min="1" max="1" width="43.7109375" bestFit="1" customWidth="1"/>
    <col min="2" max="2" width="13.140625" bestFit="1" customWidth="1"/>
    <col min="3" max="3" width="21.85546875" bestFit="1" customWidth="1"/>
    <col min="4" max="4" width="12" bestFit="1" customWidth="1"/>
    <col min="5" max="5" width="10.7109375" bestFit="1" customWidth="1"/>
  </cols>
  <sheetData>
    <row r="1" spans="1:6" ht="23.25">
      <c r="A1" s="116" t="s">
        <v>95</v>
      </c>
      <c r="B1" s="116"/>
      <c r="C1" s="116"/>
    </row>
    <row r="3" spans="1:6">
      <c r="A3" s="59" t="s">
        <v>45</v>
      </c>
    </row>
    <row r="4" spans="1:6">
      <c r="A4" s="3"/>
    </row>
    <row r="5" spans="1:6">
      <c r="A5" s="54" t="s">
        <v>49</v>
      </c>
      <c r="B5" s="50"/>
      <c r="C5" s="4"/>
    </row>
    <row r="6" spans="1:6">
      <c r="A6" s="22" t="s">
        <v>48</v>
      </c>
      <c r="B6" s="104">
        <v>1300</v>
      </c>
      <c r="C6" s="4"/>
      <c r="D6" s="4"/>
      <c r="E6" s="4"/>
      <c r="F6" s="4"/>
    </row>
    <row r="7" spans="1:6" ht="12.6" customHeight="1">
      <c r="A7" s="22" t="s">
        <v>46</v>
      </c>
      <c r="B7" s="43">
        <v>0</v>
      </c>
      <c r="C7" s="4"/>
      <c r="D7" s="4"/>
      <c r="E7" s="4"/>
      <c r="F7" s="4"/>
    </row>
    <row r="8" spans="1:6" ht="28.5">
      <c r="A8" s="22" t="s">
        <v>47</v>
      </c>
      <c r="B8" s="43">
        <v>82</v>
      </c>
      <c r="C8" s="4"/>
      <c r="D8" s="4"/>
      <c r="E8" s="4"/>
      <c r="F8" s="4"/>
    </row>
    <row r="9" spans="1:6">
      <c r="A9" s="23" t="s">
        <v>70</v>
      </c>
      <c r="B9" s="43">
        <f>SUM(B6:B8)</f>
        <v>1382</v>
      </c>
      <c r="C9" s="4"/>
      <c r="D9" s="4"/>
      <c r="E9" s="4"/>
      <c r="F9" s="4"/>
    </row>
    <row r="10" spans="1:6">
      <c r="A10" s="3"/>
      <c r="C10" s="7"/>
      <c r="D10" s="7"/>
      <c r="E10" s="7"/>
    </row>
    <row r="11" spans="1:6">
      <c r="A11" s="54" t="s">
        <v>50</v>
      </c>
      <c r="B11" s="50"/>
      <c r="C11" s="7"/>
      <c r="D11" s="7"/>
      <c r="E11" s="7"/>
    </row>
    <row r="12" spans="1:6">
      <c r="A12" s="22" t="s">
        <v>51</v>
      </c>
      <c r="B12" s="53">
        <v>0</v>
      </c>
    </row>
    <row r="13" spans="1:6">
      <c r="A13" s="22" t="s">
        <v>52</v>
      </c>
      <c r="B13" s="18">
        <v>0</v>
      </c>
    </row>
    <row r="14" spans="1:6">
      <c r="A14" s="22" t="s">
        <v>53</v>
      </c>
      <c r="B14" s="18">
        <v>0</v>
      </c>
    </row>
    <row r="15" spans="1:6">
      <c r="A15" s="22" t="s">
        <v>54</v>
      </c>
      <c r="B15" s="34">
        <v>0</v>
      </c>
    </row>
    <row r="16" spans="1:6">
      <c r="A16" s="12" t="s">
        <v>74</v>
      </c>
      <c r="B16" s="34">
        <f>(256.44*2)</f>
        <v>512.88</v>
      </c>
    </row>
    <row r="17" spans="1:5">
      <c r="A17" s="12" t="s">
        <v>75</v>
      </c>
      <c r="B17" s="34">
        <f>(275.68*3)</f>
        <v>827.04</v>
      </c>
    </row>
    <row r="18" spans="1:5">
      <c r="A18" s="12" t="s">
        <v>82</v>
      </c>
      <c r="B18" s="34">
        <f>(110.07*2)</f>
        <v>220.14</v>
      </c>
    </row>
    <row r="19" spans="1:5">
      <c r="A19" s="12" t="s">
        <v>76</v>
      </c>
      <c r="B19" s="34">
        <f>(172*3)</f>
        <v>516</v>
      </c>
    </row>
    <row r="20" spans="1:5">
      <c r="A20" s="12" t="s">
        <v>77</v>
      </c>
      <c r="B20" s="34">
        <v>179.68</v>
      </c>
      <c r="E20" s="103"/>
    </row>
    <row r="21" spans="1:5">
      <c r="A21" s="12" t="s">
        <v>78</v>
      </c>
      <c r="B21" s="34">
        <f>(101.54*3)</f>
        <v>304.62</v>
      </c>
    </row>
    <row r="22" spans="1:5">
      <c r="A22" s="12" t="s">
        <v>79</v>
      </c>
      <c r="B22" s="34">
        <v>75.989999999999995</v>
      </c>
    </row>
    <row r="23" spans="1:5">
      <c r="A23" s="24"/>
      <c r="B23" s="18"/>
    </row>
    <row r="24" spans="1:5">
      <c r="A24" s="58" t="s">
        <v>55</v>
      </c>
      <c r="B24" s="52">
        <v>0</v>
      </c>
    </row>
    <row r="25" spans="1:5">
      <c r="A25" s="24" t="s">
        <v>92</v>
      </c>
      <c r="B25" s="18">
        <v>1349.5</v>
      </c>
      <c r="E25" s="73"/>
    </row>
    <row r="26" spans="1:5">
      <c r="A26" s="24" t="s">
        <v>91</v>
      </c>
      <c r="B26" s="18">
        <v>516.66999999999996</v>
      </c>
    </row>
    <row r="27" spans="1:5">
      <c r="A27" s="22" t="s">
        <v>56</v>
      </c>
      <c r="B27" s="18">
        <v>0</v>
      </c>
    </row>
    <row r="28" spans="1:5">
      <c r="A28" s="22" t="s">
        <v>57</v>
      </c>
      <c r="B28" s="18">
        <v>0</v>
      </c>
    </row>
    <row r="29" spans="1:5">
      <c r="A29" s="22" t="s">
        <v>58</v>
      </c>
      <c r="B29" s="18">
        <v>0</v>
      </c>
    </row>
    <row r="30" spans="1:5">
      <c r="A30" s="22" t="s">
        <v>59</v>
      </c>
      <c r="B30" s="18">
        <v>0</v>
      </c>
    </row>
    <row r="31" spans="1:5">
      <c r="A31" s="23" t="s">
        <v>70</v>
      </c>
      <c r="B31" s="18">
        <f>SUM(B12:B30)</f>
        <v>4502.5199999999995</v>
      </c>
    </row>
    <row r="32" spans="1:5">
      <c r="A32" s="3"/>
      <c r="C32" s="7"/>
      <c r="D32" s="7"/>
      <c r="E32" s="7"/>
    </row>
    <row r="33" spans="1:5">
      <c r="A33" s="60" t="s">
        <v>94</v>
      </c>
      <c r="C33" s="7"/>
      <c r="D33" s="7"/>
      <c r="E33" s="7"/>
    </row>
    <row r="34" spans="1:5">
      <c r="A34" s="3"/>
      <c r="C34" s="7"/>
      <c r="D34" s="7"/>
      <c r="E34" s="7"/>
    </row>
    <row r="35" spans="1:5">
      <c r="A35" s="3"/>
      <c r="C35" s="7"/>
      <c r="D35" s="7"/>
      <c r="E35" s="7"/>
    </row>
    <row r="36" spans="1:5">
      <c r="A36" s="55" t="s">
        <v>96</v>
      </c>
      <c r="B36" s="50"/>
      <c r="C36" s="7"/>
      <c r="D36" s="7"/>
      <c r="E36" s="7"/>
    </row>
    <row r="37" spans="1:5">
      <c r="A37" s="25" t="s">
        <v>99</v>
      </c>
      <c r="B37" s="53">
        <v>1000</v>
      </c>
    </row>
    <row r="38" spans="1:5">
      <c r="A38" s="26" t="s">
        <v>100</v>
      </c>
      <c r="B38" s="18">
        <v>1000</v>
      </c>
    </row>
    <row r="39" spans="1:5">
      <c r="A39" s="26" t="s">
        <v>101</v>
      </c>
      <c r="B39" s="18">
        <v>500</v>
      </c>
    </row>
    <row r="40" spans="1:5">
      <c r="A40" s="26" t="s">
        <v>102</v>
      </c>
      <c r="B40" s="18">
        <v>1500</v>
      </c>
    </row>
    <row r="41" spans="1:5">
      <c r="A41" s="26" t="s">
        <v>104</v>
      </c>
      <c r="B41" s="18">
        <v>2000</v>
      </c>
    </row>
    <row r="42" spans="1:5">
      <c r="A42" s="26" t="s">
        <v>103</v>
      </c>
      <c r="B42" s="18">
        <v>1500</v>
      </c>
    </row>
    <row r="43" spans="1:5">
      <c r="A43" s="26" t="s">
        <v>98</v>
      </c>
      <c r="B43" s="18">
        <v>1500</v>
      </c>
    </row>
    <row r="44" spans="1:5">
      <c r="A44" s="26" t="s">
        <v>97</v>
      </c>
      <c r="B44" s="18">
        <v>2000</v>
      </c>
    </row>
    <row r="45" spans="1:5">
      <c r="A45" s="26" t="s">
        <v>153</v>
      </c>
      <c r="B45" s="18">
        <v>1000</v>
      </c>
    </row>
    <row r="46" spans="1:5">
      <c r="A46" s="27" t="s">
        <v>70</v>
      </c>
      <c r="B46" s="18">
        <f>SUM(B37:B45)</f>
        <v>12000</v>
      </c>
    </row>
    <row r="47" spans="1:5">
      <c r="C47" s="7"/>
      <c r="D47" s="7"/>
      <c r="E47" s="7"/>
    </row>
    <row r="48" spans="1:5">
      <c r="A48" s="55" t="s">
        <v>105</v>
      </c>
      <c r="B48" s="50"/>
      <c r="C48" s="7"/>
      <c r="D48" s="7"/>
      <c r="E48" s="7"/>
    </row>
    <row r="49" spans="1:5">
      <c r="A49" s="28" t="s">
        <v>106</v>
      </c>
      <c r="B49" s="53">
        <v>0</v>
      </c>
    </row>
    <row r="50" spans="1:5">
      <c r="A50" s="29" t="s">
        <v>2</v>
      </c>
      <c r="B50" s="18">
        <v>900</v>
      </c>
    </row>
    <row r="51" spans="1:5">
      <c r="A51" s="30" t="s">
        <v>107</v>
      </c>
      <c r="B51" s="18">
        <v>1820</v>
      </c>
    </row>
    <row r="52" spans="1:5">
      <c r="A52" s="29" t="s">
        <v>108</v>
      </c>
      <c r="B52" s="18">
        <v>1726</v>
      </c>
    </row>
    <row r="53" spans="1:5">
      <c r="A53" s="29" t="s">
        <v>109</v>
      </c>
      <c r="B53" s="18">
        <v>1489</v>
      </c>
    </row>
    <row r="54" spans="1:5">
      <c r="A54" s="29" t="s">
        <v>110</v>
      </c>
      <c r="B54" s="18">
        <v>1820</v>
      </c>
    </row>
    <row r="55" spans="1:5">
      <c r="A55" s="29" t="s">
        <v>111</v>
      </c>
      <c r="B55" s="18">
        <v>5000</v>
      </c>
    </row>
    <row r="56" spans="1:5">
      <c r="A56" s="29" t="s">
        <v>112</v>
      </c>
      <c r="B56" s="18">
        <v>107.52</v>
      </c>
    </row>
    <row r="57" spans="1:5">
      <c r="A57" s="31" t="s">
        <v>113</v>
      </c>
      <c r="B57" s="18">
        <v>0</v>
      </c>
      <c r="C57" s="7"/>
      <c r="D57" s="7"/>
      <c r="E57" s="7"/>
    </row>
    <row r="58" spans="1:5">
      <c r="A58" s="29" t="s">
        <v>114</v>
      </c>
      <c r="B58" s="18">
        <v>350</v>
      </c>
      <c r="C58" s="7"/>
      <c r="D58" s="7"/>
      <c r="E58" s="7"/>
    </row>
    <row r="59" spans="1:5">
      <c r="A59" s="29" t="s">
        <v>115</v>
      </c>
      <c r="B59" s="18">
        <f>94.08+53.76</f>
        <v>147.84</v>
      </c>
      <c r="C59" s="7"/>
      <c r="D59" s="8"/>
      <c r="E59" s="7"/>
    </row>
    <row r="60" spans="1:5">
      <c r="A60" s="32" t="s">
        <v>70</v>
      </c>
      <c r="B60" s="18">
        <f>SUM(B49:B59)</f>
        <v>13360.36</v>
      </c>
      <c r="C60" s="7"/>
      <c r="D60" s="7"/>
      <c r="E60" s="7"/>
    </row>
    <row r="61" spans="1:5">
      <c r="C61" s="7"/>
      <c r="D61" s="7"/>
      <c r="E61" s="7"/>
    </row>
    <row r="62" spans="1:5">
      <c r="C62" s="7"/>
      <c r="D62" s="7"/>
      <c r="E62" s="7"/>
    </row>
    <row r="63" spans="1:5">
      <c r="A63" s="50" t="s">
        <v>150</v>
      </c>
      <c r="B63" s="50"/>
      <c r="C63" s="7"/>
      <c r="D63" s="7"/>
      <c r="E63" s="7"/>
    </row>
    <row r="64" spans="1:5">
      <c r="A64" s="12" t="s">
        <v>151</v>
      </c>
      <c r="B64" s="53">
        <v>30000</v>
      </c>
      <c r="C64" s="7"/>
      <c r="D64" s="7"/>
      <c r="E64" s="7"/>
    </row>
    <row r="65" spans="1:5">
      <c r="A65" s="33" t="s">
        <v>70</v>
      </c>
      <c r="B65" s="35">
        <f>SUM(B64)</f>
        <v>30000</v>
      </c>
      <c r="C65" s="7"/>
      <c r="D65" s="7"/>
      <c r="E65" s="7"/>
    </row>
    <row r="66" spans="1:5">
      <c r="C66" s="7"/>
      <c r="D66" s="7"/>
      <c r="E66" s="7"/>
    </row>
    <row r="67" spans="1:5">
      <c r="C67" s="7"/>
      <c r="D67" s="7"/>
      <c r="E67" s="7"/>
    </row>
    <row r="68" spans="1:5">
      <c r="A68" s="3"/>
    </row>
    <row r="69" spans="1:5">
      <c r="A69" s="56" t="s">
        <v>118</v>
      </c>
      <c r="B69" s="57">
        <f>SUM(B9+B31+B46+B60+B65)</f>
        <v>61244.880000000005</v>
      </c>
    </row>
    <row r="74" spans="1:5">
      <c r="B74" s="21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1044C-1538-41B3-912E-F619810A81B5}">
  <dimension ref="A1:I11"/>
  <sheetViews>
    <sheetView zoomScale="80" zoomScaleNormal="80" workbookViewId="0">
      <selection activeCell="A23" sqref="A23:A24"/>
    </sheetView>
  </sheetViews>
  <sheetFormatPr defaultRowHeight="15"/>
  <cols>
    <col min="1" max="1" width="62.140625" bestFit="1" customWidth="1"/>
    <col min="2" max="2" width="62.140625" customWidth="1"/>
    <col min="3" max="3" width="10.28515625" bestFit="1" customWidth="1"/>
    <col min="4" max="4" width="15.7109375" bestFit="1" customWidth="1"/>
    <col min="5" max="5" width="14.28515625" bestFit="1" customWidth="1"/>
    <col min="6" max="6" width="14.28515625" customWidth="1"/>
    <col min="7" max="7" width="9.85546875" bestFit="1" customWidth="1"/>
    <col min="8" max="8" width="11.42578125" bestFit="1" customWidth="1"/>
    <col min="9" max="9" width="24.7109375" bestFit="1" customWidth="1"/>
  </cols>
  <sheetData>
    <row r="1" spans="1:9">
      <c r="A1" s="61" t="s">
        <v>81</v>
      </c>
      <c r="B1" s="61" t="s">
        <v>80</v>
      </c>
      <c r="C1" s="51" t="s">
        <v>89</v>
      </c>
      <c r="D1" s="62" t="s">
        <v>83</v>
      </c>
      <c r="E1" s="62" t="s">
        <v>86</v>
      </c>
      <c r="F1" s="62" t="s">
        <v>87</v>
      </c>
      <c r="G1" s="50" t="s">
        <v>88</v>
      </c>
      <c r="H1" s="62" t="s">
        <v>149</v>
      </c>
      <c r="I1" s="50" t="s">
        <v>162</v>
      </c>
    </row>
    <row r="2" spans="1:9">
      <c r="A2" s="17" t="s">
        <v>74</v>
      </c>
      <c r="B2" s="36">
        <v>2</v>
      </c>
      <c r="C2" s="34">
        <f>(256.44*2)</f>
        <v>512.88</v>
      </c>
      <c r="D2" s="34">
        <v>256.44</v>
      </c>
      <c r="E2" s="37">
        <v>256.44</v>
      </c>
      <c r="F2" s="37">
        <v>0</v>
      </c>
      <c r="G2" s="37">
        <f t="shared" ref="G2:G8" si="0">C2/100*21</f>
        <v>107.70480000000001</v>
      </c>
      <c r="H2" s="37">
        <f t="shared" ref="H2:H8" si="1">SUM(C2+G2)</f>
        <v>620.58479999999997</v>
      </c>
      <c r="I2" s="38">
        <v>0.21</v>
      </c>
    </row>
    <row r="3" spans="1:9">
      <c r="A3" s="17" t="s">
        <v>75</v>
      </c>
      <c r="B3" s="36">
        <v>3</v>
      </c>
      <c r="C3" s="34">
        <f>(275.68*3)</f>
        <v>827.04</v>
      </c>
      <c r="D3" s="34">
        <v>275.68</v>
      </c>
      <c r="E3" s="34">
        <v>275.68</v>
      </c>
      <c r="F3" s="34">
        <v>275.68</v>
      </c>
      <c r="G3" s="37">
        <f t="shared" si="0"/>
        <v>173.67840000000001</v>
      </c>
      <c r="H3" s="37">
        <f t="shared" si="1"/>
        <v>1000.7184</v>
      </c>
      <c r="I3" s="38">
        <v>0.21</v>
      </c>
    </row>
    <row r="4" spans="1:9">
      <c r="A4" s="17" t="s">
        <v>82</v>
      </c>
      <c r="B4" s="36">
        <v>2</v>
      </c>
      <c r="C4" s="34">
        <f>(110.07*2)</f>
        <v>220.14</v>
      </c>
      <c r="D4" s="34">
        <v>110.07</v>
      </c>
      <c r="E4" s="34">
        <v>110.07</v>
      </c>
      <c r="F4" s="37">
        <v>0</v>
      </c>
      <c r="G4" s="37">
        <f t="shared" si="0"/>
        <v>46.229399999999998</v>
      </c>
      <c r="H4" s="37">
        <f t="shared" si="1"/>
        <v>266.36939999999998</v>
      </c>
      <c r="I4" s="38">
        <v>0.21</v>
      </c>
    </row>
    <row r="5" spans="1:9">
      <c r="A5" s="17" t="s">
        <v>76</v>
      </c>
      <c r="B5" s="36">
        <v>3</v>
      </c>
      <c r="C5" s="34">
        <f>(172*3)</f>
        <v>516</v>
      </c>
      <c r="D5" s="34">
        <v>172</v>
      </c>
      <c r="E5" s="34">
        <v>172</v>
      </c>
      <c r="F5" s="34">
        <v>172</v>
      </c>
      <c r="G5" s="37">
        <f t="shared" si="0"/>
        <v>108.36</v>
      </c>
      <c r="H5" s="37">
        <f t="shared" si="1"/>
        <v>624.36</v>
      </c>
      <c r="I5" s="38">
        <v>0.21</v>
      </c>
    </row>
    <row r="6" spans="1:9">
      <c r="A6" s="17" t="s">
        <v>77</v>
      </c>
      <c r="B6" s="36">
        <v>1</v>
      </c>
      <c r="C6" s="34">
        <v>179.68</v>
      </c>
      <c r="D6" s="34">
        <v>179.68</v>
      </c>
      <c r="E6" s="37">
        <v>0</v>
      </c>
      <c r="F6" s="37">
        <v>0</v>
      </c>
      <c r="G6" s="37">
        <f t="shared" si="0"/>
        <v>37.732800000000005</v>
      </c>
      <c r="H6" s="37">
        <f t="shared" si="1"/>
        <v>217.4128</v>
      </c>
      <c r="I6" s="38">
        <v>0.21</v>
      </c>
    </row>
    <row r="7" spans="1:9">
      <c r="A7" s="17" t="s">
        <v>78</v>
      </c>
      <c r="B7" s="36">
        <v>3</v>
      </c>
      <c r="C7" s="34">
        <f>(101.54*3)</f>
        <v>304.62</v>
      </c>
      <c r="D7" s="34">
        <v>101.54</v>
      </c>
      <c r="E7" s="34">
        <v>101.54</v>
      </c>
      <c r="F7" s="34">
        <v>101.54</v>
      </c>
      <c r="G7" s="37">
        <f t="shared" si="0"/>
        <v>63.970200000000006</v>
      </c>
      <c r="H7" s="37">
        <f t="shared" si="1"/>
        <v>368.59019999999998</v>
      </c>
      <c r="I7" s="38">
        <v>0.21</v>
      </c>
    </row>
    <row r="8" spans="1:9">
      <c r="A8" s="17" t="s">
        <v>79</v>
      </c>
      <c r="B8" s="36">
        <v>1</v>
      </c>
      <c r="C8" s="34">
        <v>75.989999999999995</v>
      </c>
      <c r="D8" s="34">
        <v>75.989999999999995</v>
      </c>
      <c r="E8" s="37">
        <v>0</v>
      </c>
      <c r="F8" s="37">
        <v>0</v>
      </c>
      <c r="G8" s="37">
        <f t="shared" si="0"/>
        <v>15.957899999999999</v>
      </c>
      <c r="H8" s="37">
        <f t="shared" si="1"/>
        <v>91.94789999999999</v>
      </c>
      <c r="I8" s="38">
        <v>0.21</v>
      </c>
    </row>
    <row r="9" spans="1:9">
      <c r="A9" s="42" t="s">
        <v>236</v>
      </c>
      <c r="B9" s="36">
        <v>1</v>
      </c>
      <c r="C9" s="17"/>
      <c r="D9" s="17"/>
      <c r="E9" s="17"/>
      <c r="F9" s="17"/>
      <c r="G9" s="17"/>
      <c r="H9" s="17"/>
      <c r="I9" s="38">
        <v>0.21</v>
      </c>
    </row>
    <row r="10" spans="1:9">
      <c r="A10" s="42" t="s">
        <v>235</v>
      </c>
      <c r="B10" s="36">
        <v>3</v>
      </c>
      <c r="C10" s="17"/>
      <c r="D10" s="17"/>
      <c r="E10" s="17"/>
      <c r="F10" s="17"/>
      <c r="G10" s="17"/>
      <c r="H10" s="17"/>
      <c r="I10" s="38">
        <v>0.21</v>
      </c>
    </row>
    <row r="11" spans="1:9">
      <c r="A11" s="61" t="s">
        <v>84</v>
      </c>
      <c r="B11" s="61"/>
      <c r="C11" s="63">
        <f>(C2+C3+C4+C5+C6+C8+C7)</f>
        <v>2636.3499999999995</v>
      </c>
      <c r="D11" s="63">
        <f>SUM(D2:D8)</f>
        <v>1171.4000000000001</v>
      </c>
      <c r="E11" s="63">
        <f>SUM(E2:E8)</f>
        <v>915.73</v>
      </c>
      <c r="F11" s="63">
        <f>SUM(F2:F8)</f>
        <v>549.22</v>
      </c>
      <c r="G11" s="64">
        <f>SUM(G2:G8)</f>
        <v>553.63350000000003</v>
      </c>
      <c r="H11" s="64">
        <f>SUM(C11+G11)</f>
        <v>3189.9834999999994</v>
      </c>
      <c r="I11" s="38">
        <v>0.21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A33F5-81F2-46AD-BF56-DA8770379B5C}">
  <dimension ref="B3:D5"/>
  <sheetViews>
    <sheetView workbookViewId="0">
      <selection activeCell="C4" sqref="C4:C5"/>
    </sheetView>
  </sheetViews>
  <sheetFormatPr defaultRowHeight="15"/>
  <cols>
    <col min="2" max="2" width="16.28515625" bestFit="1" customWidth="1"/>
    <col min="3" max="3" width="12" bestFit="1" customWidth="1"/>
    <col min="4" max="4" width="9" bestFit="1" customWidth="1"/>
  </cols>
  <sheetData>
    <row r="3" spans="2:4">
      <c r="B3" s="50" t="s">
        <v>119</v>
      </c>
      <c r="C3" s="50" t="s">
        <v>120</v>
      </c>
      <c r="D3" s="50" t="s">
        <v>44</v>
      </c>
    </row>
    <row r="4" spans="2:4">
      <c r="B4" s="17" t="s">
        <v>121</v>
      </c>
      <c r="C4" s="18">
        <v>25000</v>
      </c>
      <c r="D4" s="18">
        <v>0</v>
      </c>
    </row>
    <row r="5" spans="2:4">
      <c r="B5" s="17" t="s">
        <v>122</v>
      </c>
      <c r="C5" s="18">
        <v>25000</v>
      </c>
      <c r="D5" s="18">
        <v>0</v>
      </c>
    </row>
  </sheetData>
  <phoneticPr fontId="1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508EE-50EC-4D8D-BECB-52271CEE35F7}">
  <dimension ref="B2:F22"/>
  <sheetViews>
    <sheetView workbookViewId="0">
      <selection activeCell="H28" sqref="H28"/>
    </sheetView>
  </sheetViews>
  <sheetFormatPr defaultRowHeight="15"/>
  <cols>
    <col min="2" max="2" width="14.5703125" bestFit="1" customWidth="1"/>
    <col min="3" max="3" width="27.28515625" customWidth="1"/>
    <col min="4" max="4" width="20" bestFit="1" customWidth="1"/>
    <col min="5" max="5" width="17" bestFit="1" customWidth="1"/>
    <col min="6" max="6" width="18.85546875" customWidth="1"/>
  </cols>
  <sheetData>
    <row r="2" spans="2:6">
      <c r="B2" s="68" t="s">
        <v>123</v>
      </c>
    </row>
    <row r="4" spans="2:6" ht="30">
      <c r="B4" s="65" t="s">
        <v>124</v>
      </c>
      <c r="C4" s="66" t="s">
        <v>155</v>
      </c>
      <c r="D4" s="66" t="s">
        <v>156</v>
      </c>
      <c r="E4" s="65" t="s">
        <v>135</v>
      </c>
      <c r="F4" s="65" t="s">
        <v>125</v>
      </c>
    </row>
    <row r="5" spans="2:6">
      <c r="B5" s="17" t="s">
        <v>126</v>
      </c>
      <c r="C5" s="18">
        <v>3.4</v>
      </c>
      <c r="D5" s="18">
        <f>5</f>
        <v>5</v>
      </c>
      <c r="E5" s="18">
        <f t="shared" ref="E5:E17" si="0">SUM(D5-C5)</f>
        <v>1.6</v>
      </c>
      <c r="F5" s="39">
        <v>0.06</v>
      </c>
    </row>
    <row r="6" spans="2:6">
      <c r="B6" s="17" t="s">
        <v>127</v>
      </c>
      <c r="C6" s="40">
        <f>1.45</f>
        <v>1.45</v>
      </c>
      <c r="D6" s="18">
        <f>3.5</f>
        <v>3.5</v>
      </c>
      <c r="E6" s="18">
        <f t="shared" si="0"/>
        <v>2.0499999999999998</v>
      </c>
      <c r="F6" s="39">
        <v>0.06</v>
      </c>
    </row>
    <row r="7" spans="2:6">
      <c r="B7" s="17" t="s">
        <v>128</v>
      </c>
      <c r="C7" s="18">
        <v>3.4</v>
      </c>
      <c r="D7" s="18">
        <f>5</f>
        <v>5</v>
      </c>
      <c r="E7" s="18">
        <f t="shared" si="0"/>
        <v>1.6</v>
      </c>
      <c r="F7" s="39">
        <v>0.06</v>
      </c>
    </row>
    <row r="8" spans="2:6">
      <c r="B8" s="17" t="s">
        <v>129</v>
      </c>
      <c r="C8" s="18">
        <v>2.4</v>
      </c>
      <c r="D8" s="18">
        <f>4</f>
        <v>4</v>
      </c>
      <c r="E8" s="18">
        <f t="shared" si="0"/>
        <v>1.6</v>
      </c>
      <c r="F8" s="39">
        <v>0.06</v>
      </c>
    </row>
    <row r="9" spans="2:6">
      <c r="B9" s="50" t="s">
        <v>130</v>
      </c>
      <c r="C9" s="52"/>
      <c r="D9" s="52"/>
      <c r="E9" s="52"/>
      <c r="F9" s="67"/>
    </row>
    <row r="10" spans="2:6">
      <c r="B10" s="41" t="s">
        <v>136</v>
      </c>
      <c r="C10" s="18">
        <v>3.4</v>
      </c>
      <c r="D10" s="18">
        <f>7</f>
        <v>7</v>
      </c>
      <c r="E10" s="18">
        <f t="shared" si="0"/>
        <v>3.6</v>
      </c>
      <c r="F10" s="39">
        <v>0.06</v>
      </c>
    </row>
    <row r="11" spans="2:6">
      <c r="B11" s="41" t="s">
        <v>137</v>
      </c>
      <c r="C11" s="18">
        <v>3.4</v>
      </c>
      <c r="D11" s="18">
        <f>8</f>
        <v>8</v>
      </c>
      <c r="E11" s="18">
        <f t="shared" si="0"/>
        <v>4.5999999999999996</v>
      </c>
      <c r="F11" s="39">
        <v>0.06</v>
      </c>
    </row>
    <row r="12" spans="2:6">
      <c r="B12" s="41" t="s">
        <v>138</v>
      </c>
      <c r="C12" s="18">
        <v>3.4</v>
      </c>
      <c r="D12" s="18">
        <f>7</f>
        <v>7</v>
      </c>
      <c r="E12" s="18">
        <f t="shared" si="0"/>
        <v>3.6</v>
      </c>
      <c r="F12" s="39">
        <v>0.06</v>
      </c>
    </row>
    <row r="13" spans="2:6">
      <c r="B13" s="41" t="s">
        <v>139</v>
      </c>
      <c r="C13" s="18">
        <v>3.4</v>
      </c>
      <c r="D13" s="18">
        <f>8</f>
        <v>8</v>
      </c>
      <c r="E13" s="18">
        <f t="shared" si="0"/>
        <v>4.5999999999999996</v>
      </c>
      <c r="F13" s="39">
        <v>0.06</v>
      </c>
    </row>
    <row r="14" spans="2:6">
      <c r="B14" s="50" t="s">
        <v>131</v>
      </c>
      <c r="C14" s="52"/>
      <c r="D14" s="52"/>
      <c r="E14" s="52"/>
      <c r="F14" s="67"/>
    </row>
    <row r="15" spans="2:6">
      <c r="B15" s="44" t="s">
        <v>140</v>
      </c>
      <c r="C15" s="43">
        <v>4.5</v>
      </c>
      <c r="D15" s="18">
        <f>8</f>
        <v>8</v>
      </c>
      <c r="E15" s="18">
        <f t="shared" si="0"/>
        <v>3.5</v>
      </c>
      <c r="F15" s="39">
        <v>0.06</v>
      </c>
    </row>
    <row r="16" spans="2:6">
      <c r="B16" s="44" t="s">
        <v>141</v>
      </c>
      <c r="C16" s="43">
        <v>4.5</v>
      </c>
      <c r="D16" s="18">
        <f>10</f>
        <v>10</v>
      </c>
      <c r="E16" s="18">
        <f t="shared" si="0"/>
        <v>5.5</v>
      </c>
      <c r="F16" s="39">
        <v>0.06</v>
      </c>
    </row>
    <row r="17" spans="2:6">
      <c r="B17" s="44" t="s">
        <v>137</v>
      </c>
      <c r="C17" s="43">
        <v>4.5</v>
      </c>
      <c r="D17" s="18">
        <f>8</f>
        <v>8</v>
      </c>
      <c r="E17" s="18">
        <f t="shared" si="0"/>
        <v>3.5</v>
      </c>
      <c r="F17" s="39">
        <v>0.06</v>
      </c>
    </row>
    <row r="18" spans="2:6">
      <c r="B18" s="17" t="s">
        <v>132</v>
      </c>
      <c r="C18" s="18">
        <f>1</f>
        <v>1</v>
      </c>
      <c r="D18" s="18">
        <f>2.5</f>
        <v>2.5</v>
      </c>
      <c r="E18" s="18">
        <f>SUM(D18-C18)</f>
        <v>1.5</v>
      </c>
      <c r="F18" s="39">
        <v>0.06</v>
      </c>
    </row>
    <row r="19" spans="2:6">
      <c r="B19" s="17" t="s">
        <v>2</v>
      </c>
      <c r="C19" s="18">
        <f>0.5</f>
        <v>0.5</v>
      </c>
      <c r="D19" s="18">
        <f>1</f>
        <v>1</v>
      </c>
      <c r="E19" s="18">
        <f>SUM(D19-C19)</f>
        <v>0.5</v>
      </c>
      <c r="F19" s="39">
        <v>0.06</v>
      </c>
    </row>
    <row r="20" spans="2:6">
      <c r="B20" s="17" t="s">
        <v>133</v>
      </c>
      <c r="C20" s="18">
        <f>0.7</f>
        <v>0.7</v>
      </c>
      <c r="D20" s="18">
        <f>1.5</f>
        <v>1.5</v>
      </c>
      <c r="E20" s="18">
        <f>SUM(D20-C20)</f>
        <v>0.8</v>
      </c>
      <c r="F20" s="39">
        <v>0.06</v>
      </c>
    </row>
    <row r="21" spans="2:6">
      <c r="B21" s="17" t="s">
        <v>134</v>
      </c>
      <c r="C21" s="18">
        <f>0.5</f>
        <v>0.5</v>
      </c>
      <c r="D21" s="18">
        <f>1</f>
        <v>1</v>
      </c>
      <c r="E21" s="18">
        <f>SUM(D21-C21)</f>
        <v>0.5</v>
      </c>
      <c r="F21" s="39">
        <v>0.06</v>
      </c>
    </row>
    <row r="22" spans="2:6">
      <c r="B22" s="17" t="s">
        <v>115</v>
      </c>
      <c r="C22" s="18">
        <v>0.37</v>
      </c>
      <c r="D22" s="18">
        <v>1.5</v>
      </c>
      <c r="E22" s="35">
        <f>D22-C22</f>
        <v>1.1299999999999999</v>
      </c>
      <c r="F22" s="39">
        <v>0.06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FDADC-57EE-41EC-B823-45D32BDE61CB}">
  <dimension ref="B5:F14"/>
  <sheetViews>
    <sheetView workbookViewId="0">
      <selection activeCell="E17" sqref="E17"/>
    </sheetView>
  </sheetViews>
  <sheetFormatPr defaultRowHeight="15"/>
  <cols>
    <col min="3" max="3" width="12.7109375" bestFit="1" customWidth="1"/>
    <col min="5" max="6" width="12.7109375" bestFit="1" customWidth="1"/>
  </cols>
  <sheetData>
    <row r="5" spans="2:6">
      <c r="B5" s="50" t="s">
        <v>143</v>
      </c>
      <c r="C5" s="50" t="s">
        <v>144</v>
      </c>
      <c r="D5" s="50" t="s">
        <v>145</v>
      </c>
      <c r="E5" s="50" t="s">
        <v>146</v>
      </c>
    </row>
    <row r="6" spans="2:6">
      <c r="B6" s="17">
        <v>30</v>
      </c>
      <c r="C6" s="18">
        <v>13.84</v>
      </c>
      <c r="D6" s="17">
        <v>6</v>
      </c>
      <c r="E6" s="17">
        <v>52</v>
      </c>
    </row>
    <row r="8" spans="2:6">
      <c r="B8" s="50" t="s">
        <v>157</v>
      </c>
      <c r="C8" s="35">
        <f>B6*C6</f>
        <v>415.2</v>
      </c>
    </row>
    <row r="9" spans="2:6">
      <c r="B9" s="50" t="s">
        <v>158</v>
      </c>
      <c r="C9" s="35">
        <f>B6*C6*D6</f>
        <v>2491.1999999999998</v>
      </c>
    </row>
    <row r="10" spans="2:6">
      <c r="B10" s="50" t="s">
        <v>159</v>
      </c>
      <c r="C10" s="35">
        <f>C9*4</f>
        <v>9964.7999999999993</v>
      </c>
    </row>
    <row r="11" spans="2:6">
      <c r="B11" s="50" t="s">
        <v>160</v>
      </c>
      <c r="C11" s="35">
        <f>C9*E6</f>
        <v>129542.39999999999</v>
      </c>
    </row>
    <row r="14" spans="2:6">
      <c r="C14" s="73"/>
      <c r="F14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EE0E0-535B-49AD-9F9E-E95B3511D2F5}">
  <dimension ref="A4:N29"/>
  <sheetViews>
    <sheetView workbookViewId="0">
      <selection activeCell="H9" sqref="H9"/>
    </sheetView>
  </sheetViews>
  <sheetFormatPr defaultRowHeight="15"/>
  <cols>
    <col min="1" max="1" width="9" customWidth="1"/>
    <col min="2" max="4" width="13.140625" bestFit="1" customWidth="1"/>
    <col min="6" max="6" width="11.140625" bestFit="1" customWidth="1"/>
    <col min="7" max="8" width="13.140625" bestFit="1" customWidth="1"/>
    <col min="13" max="13" width="11" bestFit="1" customWidth="1"/>
    <col min="14" max="15" width="13.140625" bestFit="1" customWidth="1"/>
  </cols>
  <sheetData>
    <row r="4" spans="1:14">
      <c r="B4" s="72" t="s">
        <v>142</v>
      </c>
      <c r="C4" s="50" t="s">
        <v>116</v>
      </c>
      <c r="D4" s="50" t="s">
        <v>117</v>
      </c>
      <c r="G4" s="50" t="s">
        <v>237</v>
      </c>
      <c r="H4" s="50" t="s">
        <v>116</v>
      </c>
      <c r="I4" s="50" t="s">
        <v>117</v>
      </c>
      <c r="M4" s="50" t="s">
        <v>238</v>
      </c>
      <c r="N4" s="50" t="s">
        <v>116</v>
      </c>
    </row>
    <row r="5" spans="1:14">
      <c r="A5" s="21"/>
      <c r="B5" s="21"/>
      <c r="C5" s="17"/>
      <c r="D5" s="17"/>
      <c r="G5" s="71"/>
      <c r="H5" s="17"/>
      <c r="I5" s="17"/>
      <c r="M5" s="21"/>
      <c r="N5" s="45">
        <f>SUM('Eigen inbreng'!C4+'Eigen inbreng'!C5+'Financiele kosten'!C3+'Financiele kosten'!J3+'Financiele kosten'!J4)</f>
        <v>150000</v>
      </c>
    </row>
    <row r="6" spans="1:14">
      <c r="A6" s="21"/>
      <c r="B6" s="21"/>
      <c r="C6" s="18">
        <f>'Vaste Kosten'!B82</f>
        <v>106968.54</v>
      </c>
      <c r="D6" s="35">
        <f>'Vaste Kosten'!F82</f>
        <v>107218.54</v>
      </c>
      <c r="G6" s="21"/>
      <c r="H6" s="17"/>
      <c r="I6" s="35"/>
      <c r="M6" s="21"/>
      <c r="N6" s="17"/>
    </row>
    <row r="7" spans="1:14">
      <c r="A7" s="21"/>
      <c r="B7" s="70"/>
      <c r="C7" s="18">
        <f>Investeringen!B69</f>
        <v>61244.880000000005</v>
      </c>
      <c r="D7" s="35">
        <f>SUM(Investeringen!B46,Investeringen!B60)</f>
        <v>25360.36</v>
      </c>
      <c r="G7" s="21"/>
      <c r="H7" s="35">
        <f>'Menu Verkoop'!C11</f>
        <v>129542.39999999999</v>
      </c>
      <c r="I7" s="17"/>
    </row>
    <row r="8" spans="1:14">
      <c r="A8" s="21"/>
      <c r="B8" s="21"/>
      <c r="C8" s="43">
        <f>SUM('Financiele kosten'!E20,'Financiele kosten'!J9:K13)</f>
        <v>85522.040000000008</v>
      </c>
      <c r="D8" s="108">
        <f>'Financiele kosten'!E29</f>
        <v>17761.019999999982</v>
      </c>
      <c r="G8" s="21"/>
      <c r="H8" s="17"/>
      <c r="I8" s="17"/>
    </row>
    <row r="9" spans="1:14">
      <c r="A9" s="21"/>
      <c r="B9" s="21"/>
      <c r="C9" s="45">
        <f>SUM(C6:C8)</f>
        <v>253735.46</v>
      </c>
      <c r="D9" s="45">
        <f>SUM(D6:D8)</f>
        <v>150339.91999999998</v>
      </c>
      <c r="G9" s="21"/>
      <c r="H9" s="46">
        <f>H7+N5</f>
        <v>279542.40000000002</v>
      </c>
      <c r="I9" s="17"/>
    </row>
    <row r="16" spans="1:14">
      <c r="F16" s="50" t="s">
        <v>163</v>
      </c>
      <c r="G16" s="69" t="s">
        <v>116</v>
      </c>
      <c r="H16" s="50" t="s">
        <v>117</v>
      </c>
      <c r="L16">
        <v>129542.39999999999</v>
      </c>
    </row>
    <row r="17" spans="3:8">
      <c r="F17" s="21"/>
      <c r="G17" s="17"/>
      <c r="H17" s="17"/>
    </row>
    <row r="18" spans="3:8">
      <c r="F18" s="21"/>
      <c r="G18" s="17"/>
      <c r="H18" s="17"/>
    </row>
    <row r="19" spans="3:8">
      <c r="F19" s="21"/>
      <c r="G19" s="35">
        <f>C9</f>
        <v>253735.46</v>
      </c>
      <c r="H19" s="35">
        <f>D9</f>
        <v>150339.91999999998</v>
      </c>
    </row>
    <row r="20" spans="3:8">
      <c r="F20" s="21"/>
      <c r="G20" s="35">
        <f>H9</f>
        <v>279542.40000000002</v>
      </c>
      <c r="H20" s="35">
        <f>H9</f>
        <v>279542.40000000002</v>
      </c>
    </row>
    <row r="21" spans="3:8">
      <c r="F21" s="21"/>
      <c r="G21" s="45">
        <f>G20-G19</f>
        <v>25806.940000000031</v>
      </c>
      <c r="H21" s="45">
        <f>H20-H19</f>
        <v>129202.48000000004</v>
      </c>
    </row>
    <row r="22" spans="3:8">
      <c r="C22" s="73"/>
    </row>
    <row r="24" spans="3:8">
      <c r="C24" s="73">
        <f>G21/12</f>
        <v>2150.5783333333361</v>
      </c>
      <c r="G24" s="73"/>
    </row>
    <row r="25" spans="3:8">
      <c r="C25">
        <v>160000</v>
      </c>
    </row>
    <row r="26" spans="3:8">
      <c r="C26">
        <v>40000</v>
      </c>
    </row>
    <row r="27" spans="3:8">
      <c r="C27">
        <v>50000</v>
      </c>
    </row>
    <row r="28" spans="3:8">
      <c r="C28">
        <f>C25-C26-C27</f>
        <v>70000</v>
      </c>
    </row>
    <row r="29" spans="3:8">
      <c r="C29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9</vt:i4>
      </vt:variant>
    </vt:vector>
  </HeadingPairs>
  <TitlesOfParts>
    <vt:vector size="9" baseType="lpstr">
      <vt:lpstr>Cashflowtabel</vt:lpstr>
      <vt:lpstr>Vaste Kosten</vt:lpstr>
      <vt:lpstr>Financiele kosten</vt:lpstr>
      <vt:lpstr>Investeringen</vt:lpstr>
      <vt:lpstr>afschrijvingsperiode</vt:lpstr>
      <vt:lpstr>Eigen inbreng</vt:lpstr>
      <vt:lpstr>Marges</vt:lpstr>
      <vt:lpstr>Menu Verkoop</vt:lpstr>
      <vt:lpstr>opbrengsten en kosten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Bounou</dc:creator>
  <cp:lastModifiedBy>Omar Ouanane</cp:lastModifiedBy>
  <dcterms:created xsi:type="dcterms:W3CDTF">2022-01-17T10:25:09Z</dcterms:created>
  <dcterms:modified xsi:type="dcterms:W3CDTF">2022-05-13T13:58:52Z</dcterms:modified>
</cp:coreProperties>
</file>