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 Supcik\Downloads\"/>
    </mc:Choice>
  </mc:AlternateContent>
  <xr:revisionPtr revIDLastSave="0" documentId="13_ncr:1_{AFA9C7A9-2187-46E1-9511-DD2E11C1AB5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mortissements original" sheetId="1" r:id="rId1"/>
    <sheet name="Année comptable" sheetId="2" r:id="rId2"/>
    <sheet name="Amortissements version S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5" i="3" l="1"/>
  <c r="B44" i="3"/>
  <c r="B43" i="3"/>
  <c r="B42" i="3"/>
  <c r="B47" i="3" s="1"/>
  <c r="F45" i="3"/>
  <c r="E45" i="3"/>
  <c r="F44" i="3"/>
  <c r="E44" i="3"/>
  <c r="F43" i="3"/>
  <c r="E43" i="3"/>
  <c r="F42" i="3"/>
  <c r="E42" i="3"/>
  <c r="G39" i="3"/>
  <c r="B39" i="3"/>
  <c r="F35" i="3"/>
  <c r="E35" i="3"/>
  <c r="F34" i="3"/>
  <c r="E34" i="3"/>
  <c r="F33" i="3"/>
  <c r="E33" i="3"/>
  <c r="G29" i="3"/>
  <c r="B29" i="3"/>
  <c r="M25" i="3"/>
  <c r="L25" i="3"/>
  <c r="K25" i="3"/>
  <c r="J25" i="3"/>
  <c r="I25" i="3"/>
  <c r="P25" i="3" s="1"/>
  <c r="H25" i="3"/>
  <c r="F25" i="3"/>
  <c r="E25" i="3"/>
  <c r="M24" i="3"/>
  <c r="L24" i="3"/>
  <c r="K24" i="3"/>
  <c r="J24" i="3"/>
  <c r="I24" i="3"/>
  <c r="P24" i="3" s="1"/>
  <c r="H24" i="3"/>
  <c r="F24" i="3"/>
  <c r="E24" i="3"/>
  <c r="M23" i="3"/>
  <c r="L23" i="3"/>
  <c r="K23" i="3"/>
  <c r="J23" i="3"/>
  <c r="I23" i="3"/>
  <c r="M22" i="3"/>
  <c r="L22" i="3"/>
  <c r="K22" i="3"/>
  <c r="J22" i="3"/>
  <c r="I22" i="3"/>
  <c r="H22" i="3"/>
  <c r="F22" i="3"/>
  <c r="E22" i="3"/>
  <c r="G19" i="3"/>
  <c r="H23" i="3" s="1"/>
  <c r="B19" i="3"/>
  <c r="M15" i="3"/>
  <c r="L15" i="3"/>
  <c r="K15" i="3"/>
  <c r="J15" i="3"/>
  <c r="I15" i="3"/>
  <c r="P15" i="3" s="1"/>
  <c r="H15" i="3"/>
  <c r="F15" i="3"/>
  <c r="E15" i="3"/>
  <c r="M14" i="3"/>
  <c r="L14" i="3"/>
  <c r="K14" i="3"/>
  <c r="J14" i="3"/>
  <c r="I14" i="3"/>
  <c r="H14" i="3"/>
  <c r="F14" i="3"/>
  <c r="E14" i="3"/>
  <c r="M13" i="3"/>
  <c r="L13" i="3"/>
  <c r="K13" i="3"/>
  <c r="J13" i="3"/>
  <c r="I13" i="3"/>
  <c r="P13" i="3" s="1"/>
  <c r="M12" i="3"/>
  <c r="L12" i="3"/>
  <c r="K12" i="3"/>
  <c r="J12" i="3"/>
  <c r="I12" i="3"/>
  <c r="P12" i="3" s="1"/>
  <c r="H12" i="3"/>
  <c r="F12" i="3"/>
  <c r="E12" i="3"/>
  <c r="G9" i="3"/>
  <c r="H13" i="3" s="1"/>
  <c r="B9" i="3"/>
  <c r="G7" i="3"/>
  <c r="G6" i="3"/>
  <c r="G5" i="3"/>
  <c r="G4" i="3"/>
  <c r="O15" i="3" s="1"/>
  <c r="U24" i="3" l="1"/>
  <c r="U22" i="3"/>
  <c r="V24" i="3"/>
  <c r="V22" i="3"/>
  <c r="U25" i="3"/>
  <c r="V25" i="3"/>
  <c r="P14" i="3"/>
  <c r="Q22" i="3"/>
  <c r="O23" i="3"/>
  <c r="O22" i="3"/>
  <c r="P22" i="3"/>
  <c r="O25" i="3"/>
  <c r="O24" i="3"/>
  <c r="P23" i="3"/>
  <c r="V15" i="3"/>
  <c r="N15" i="3"/>
  <c r="N14" i="3"/>
  <c r="N13" i="3"/>
  <c r="N12" i="3"/>
  <c r="N25" i="3"/>
  <c r="N24" i="3"/>
  <c r="N23" i="3"/>
  <c r="N22" i="3"/>
  <c r="I9" i="3"/>
  <c r="I19" i="3"/>
  <c r="I10" i="3"/>
  <c r="Q12" i="3" s="1"/>
  <c r="O12" i="3"/>
  <c r="O13" i="3"/>
  <c r="U13" i="3"/>
  <c r="O14" i="3"/>
  <c r="U14" i="3"/>
  <c r="U15" i="3"/>
  <c r="V13" i="3"/>
  <c r="V14" i="3"/>
  <c r="B12" i="1"/>
  <c r="B34" i="1"/>
  <c r="E45" i="1"/>
  <c r="E42" i="1"/>
  <c r="E25" i="1"/>
  <c r="E24" i="1"/>
  <c r="E23" i="1"/>
  <c r="E22" i="1"/>
  <c r="B25" i="1"/>
  <c r="B22" i="1"/>
  <c r="T12" i="3" l="1"/>
  <c r="E32" i="3"/>
  <c r="F32" i="3" s="1"/>
  <c r="N20" i="3"/>
  <c r="R14" i="3"/>
  <c r="R13" i="3"/>
  <c r="R15" i="3"/>
  <c r="E13" i="3"/>
  <c r="F13" i="3" s="1"/>
  <c r="Q14" i="3"/>
  <c r="Q15" i="3"/>
  <c r="Q13" i="3"/>
  <c r="S13" i="3"/>
  <c r="T13" i="3"/>
  <c r="S12" i="3"/>
  <c r="N10" i="3"/>
  <c r="R12" i="3"/>
  <c r="V12" i="3"/>
  <c r="S14" i="3"/>
  <c r="I20" i="3"/>
  <c r="U12" i="3"/>
  <c r="T15" i="3"/>
  <c r="T14" i="3"/>
  <c r="S15" i="3"/>
  <c r="J45" i="1"/>
  <c r="J44" i="1"/>
  <c r="J43" i="1"/>
  <c r="J42" i="1"/>
  <c r="J35" i="1"/>
  <c r="J34" i="1"/>
  <c r="J33" i="1"/>
  <c r="J32" i="1"/>
  <c r="J25" i="1"/>
  <c r="J24" i="1"/>
  <c r="J23" i="1"/>
  <c r="J22" i="1"/>
  <c r="I45" i="1"/>
  <c r="I44" i="1"/>
  <c r="I43" i="1"/>
  <c r="I42" i="1"/>
  <c r="I35" i="1"/>
  <c r="B35" i="1" s="1"/>
  <c r="I34" i="1"/>
  <c r="I33" i="1"/>
  <c r="B33" i="1" s="1"/>
  <c r="I32" i="1"/>
  <c r="B32" i="1" s="1"/>
  <c r="I25" i="1"/>
  <c r="I24" i="1"/>
  <c r="B24" i="1" s="1"/>
  <c r="I23" i="1"/>
  <c r="B23" i="1" s="1"/>
  <c r="I22" i="1"/>
  <c r="I30" i="1"/>
  <c r="I20" i="1"/>
  <c r="I29" i="1"/>
  <c r="I19" i="1"/>
  <c r="K45" i="1"/>
  <c r="K44" i="1"/>
  <c r="K43" i="1"/>
  <c r="K42" i="1"/>
  <c r="K35" i="1"/>
  <c r="K34" i="1"/>
  <c r="K33" i="1"/>
  <c r="K32" i="1"/>
  <c r="K25" i="1"/>
  <c r="K24" i="1"/>
  <c r="K23" i="1"/>
  <c r="K22" i="1"/>
  <c r="K13" i="1"/>
  <c r="K14" i="1"/>
  <c r="K15" i="1"/>
  <c r="K12" i="1"/>
  <c r="J15" i="1"/>
  <c r="J14" i="1"/>
  <c r="J13" i="1"/>
  <c r="J12" i="1"/>
  <c r="V23" i="3" l="1"/>
  <c r="U23" i="3"/>
  <c r="B35" i="3"/>
  <c r="B34" i="3"/>
  <c r="B33" i="3"/>
  <c r="B32" i="3"/>
  <c r="B37" i="3" s="1"/>
  <c r="E23" i="3"/>
  <c r="F23" i="3" s="1"/>
  <c r="S25" i="3"/>
  <c r="Q23" i="3"/>
  <c r="B23" i="3" s="1"/>
  <c r="S22" i="3"/>
  <c r="R24" i="3"/>
  <c r="Q24" i="3"/>
  <c r="S23" i="3"/>
  <c r="T22" i="3"/>
  <c r="B22" i="3" s="1"/>
  <c r="R25" i="3"/>
  <c r="T24" i="3"/>
  <c r="B24" i="3" s="1"/>
  <c r="R22" i="3"/>
  <c r="Q25" i="3"/>
  <c r="S24" i="3"/>
  <c r="T23" i="3"/>
  <c r="T25" i="3"/>
  <c r="B25" i="3" s="1"/>
  <c r="R23" i="3"/>
  <c r="B12" i="3"/>
  <c r="B14" i="3"/>
  <c r="B13" i="3"/>
  <c r="B15" i="3"/>
  <c r="I15" i="1"/>
  <c r="I14" i="1"/>
  <c r="I13" i="1"/>
  <c r="I12" i="1"/>
  <c r="F45" i="1"/>
  <c r="G39" i="1"/>
  <c r="I39" i="1" s="1"/>
  <c r="B39" i="1"/>
  <c r="G29" i="1"/>
  <c r="B29" i="1"/>
  <c r="F24" i="1"/>
  <c r="G19" i="1"/>
  <c r="B19" i="1"/>
  <c r="G9" i="1"/>
  <c r="I9" i="1" s="1"/>
  <c r="B9" i="1"/>
  <c r="G7" i="1"/>
  <c r="G6" i="1"/>
  <c r="G5" i="1"/>
  <c r="G4" i="1"/>
  <c r="B27" i="3" l="1"/>
  <c r="B17" i="3"/>
  <c r="B45" i="1"/>
  <c r="B43" i="1"/>
  <c r="B42" i="1"/>
  <c r="I40" i="1"/>
  <c r="B44" i="1"/>
  <c r="H35" i="1"/>
  <c r="E35" i="1" s="1"/>
  <c r="F35" i="1" s="1"/>
  <c r="H34" i="1"/>
  <c r="E34" i="1" s="1"/>
  <c r="F34" i="1" s="1"/>
  <c r="H33" i="1"/>
  <c r="E33" i="1" s="1"/>
  <c r="F33" i="1" s="1"/>
  <c r="H32" i="1"/>
  <c r="E32" i="1" s="1"/>
  <c r="H44" i="1"/>
  <c r="E44" i="1" s="1"/>
  <c r="H42" i="1"/>
  <c r="H45" i="1"/>
  <c r="H43" i="1"/>
  <c r="E43" i="1" s="1"/>
  <c r="F43" i="1" s="1"/>
  <c r="F25" i="1"/>
  <c r="H25" i="1"/>
  <c r="H24" i="1"/>
  <c r="H23" i="1"/>
  <c r="H22" i="1"/>
  <c r="I10" i="1"/>
  <c r="F42" i="1"/>
  <c r="H12" i="1"/>
  <c r="E12" i="1" s="1"/>
  <c r="F12" i="1" s="1"/>
  <c r="H14" i="1"/>
  <c r="E14" i="1" s="1"/>
  <c r="F14" i="1" s="1"/>
  <c r="H15" i="1"/>
  <c r="E15" i="1" s="1"/>
  <c r="F15" i="1" s="1"/>
  <c r="H13" i="1"/>
  <c r="E13" i="1" s="1"/>
  <c r="F13" i="1" s="1"/>
  <c r="B15" i="1"/>
  <c r="F22" i="1"/>
  <c r="B13" i="1"/>
  <c r="B14" i="1"/>
  <c r="F23" i="1" l="1"/>
  <c r="F32" i="1"/>
  <c r="F44" i="1"/>
  <c r="B47" i="1"/>
  <c r="B37" i="1"/>
  <c r="B27" i="1"/>
  <c r="B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tc={9A0BE510-7855-432A-84A2-2DAD7D7240D9}</author>
    <author>tc={33063028-937F-40C0-A9A6-5738C4F03197}</author>
    <author>tc={90D186B0-8C00-4647-B4AC-36CC371B812B}</author>
    <author>tc={F2F761E5-72F1-4D13-A6DA-3E43B6120DA7}</author>
    <author>tc={DDA6E4EE-94BD-4BB3-9095-6F6B4BD93135}</author>
    <author>tc={4D557F22-E539-46F7-9DE2-E82709C7A77B}</author>
    <author>tc={EF38CFB1-10BE-48C6-B5F4-5DD70005B1D0}</author>
    <author>tc={2CC1054E-67A7-4E4B-BF7B-EF4DC214286A}</author>
    <author>tc={6A20A412-B5F3-4334-91EE-C4FE5505F8FA}</author>
    <author>tc={5570706A-4B0C-43CE-90FC-AC79A2D31B6E}</author>
    <author>tc={6C0A1B9F-C552-4AA9-BBBC-4B1E37DE56B9}</author>
  </authors>
  <commentList>
    <comment ref="A4" authorId="0" shapeId="0" xr:uid="{9A0BE510-7855-432A-84A2-2DAD7D7240D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1</t>
      </text>
    </comment>
    <comment ref="A5" authorId="1" shapeId="0" xr:uid="{33063028-937F-40C0-A9A6-5738C4F0319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2</t>
      </text>
    </comment>
    <comment ref="A6" authorId="2" shapeId="0" xr:uid="{90D186B0-8C00-4647-B4AC-36CC371B812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3</t>
      </text>
    </comment>
    <comment ref="A7" authorId="3" shapeId="0" xr:uid="{F2F761E5-72F1-4D13-A6DA-3E43B6120DA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4</t>
      </text>
    </comment>
    <comment ref="C11" authorId="4" shapeId="0" xr:uid="{DDA6E4EE-94BD-4BB3-9095-6F6B4BD9313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Introduire la date d'achat dans la ligne correspondante au trimestre de l'achat. Uniquement si l'achat a lieu dans l'année comptable en cours, sinon, ne rien indiquer dans cette colonne.</t>
      </text>
    </comment>
    <comment ref="D11" authorId="5" shapeId="0" xr:uid="{4D557F22-E539-46F7-9DE2-E82709C7A77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Introduire la date réelle de revente dans la ligne correspondante au trimestre de revente. Uniquement si la revente a lieu dans l'année comptable en cours, sinon, ne rien indiquer dans cette colonne.</t>
      </text>
    </comment>
    <comment ref="H11" authorId="6" shapeId="0" xr:uid="{EF38CFB1-10BE-48C6-B5F4-5DD70005B1D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valeur résiduelle si revente anticipée</t>
      </text>
    </comment>
    <comment ref="I11" authorId="7" shapeId="0" xr:uid="{2CC1054E-67A7-4E4B-BF7B-EF4DC214286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sur le trimestre concerné si revente anticipée</t>
      </text>
    </comment>
    <comment ref="J11" authorId="8" shapeId="0" xr:uid="{6A20A412-B5F3-4334-91EE-C4FE5505F8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dans le trimestre concerné si achat pendant l'année en cours</t>
      </text>
    </comment>
    <comment ref="B23" authorId="9" shapeId="0" xr:uid="{5570706A-4B0C-43CE-90FC-AC79A2D31B6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Normalement ici ça devrait être 586,25€ car le trimestre est complet. J'ai essayé en modifiant la cellule K23 (année, mois, jour: jour=0 au lieu de 1), ça corrige l'erreur, en partie, mais alors ça pose problème si revente le dernier jour du trimestre, il compte 1 jour de trop, donc à choisir une erreur, je préfère laisser ainsi, sauf si solution simple.</t>
      </text>
    </comment>
    <comment ref="B32" authorId="10" shapeId="0" xr:uid="{6C0A1B9F-C552-4AA9-BBBC-4B1E37DE56B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Normalement, ici ça devrait être 6,42€ car 1 jour de possession. Mais de toute façon, je doute qu'un investissement se revende dans le même trimestre que l'achat. Donc si pas de solution simple, on peut omettre.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tc={873D5267-8CA3-4B1F-B6D5-8D2B717E2852}</author>
    <author>tc={ACF81E11-0015-4852-9E3B-F8712531BDB3}</author>
    <author>tc={9066AA8F-3C14-4155-A34A-20F908C0F0AC}</author>
    <author>tc={113F9178-2E48-4641-BD01-DDF15539916C}</author>
    <author>tc={0A4BF643-E093-4F51-B71B-B4A745274915}</author>
    <author>tc={7F861F2E-EA31-406D-BB68-A82456D51CE0}</author>
    <author>tc={F2D9C57F-DB65-4A73-9477-619C8B19239A}</author>
    <author>tc={F8691E1E-DEBA-4232-9B0A-BD894C56B223}</author>
    <author>tc={1909AA7D-FCCB-46F4-B805-21D2B2276DBC}</author>
    <author>Pascal Supcik</author>
    <author>tc={CDD8CDF9-BAE7-4063-893D-3247C4B25BED}</author>
    <author>tc={7E68E683-E9D9-421E-A8C5-584094F0AD98}</author>
    <author>tc={7DE08400-AA57-4B61-9874-C4B0F3FD01AE}</author>
    <author>tc={00A93ED5-3607-42AB-ABAF-7966C0E5F474}</author>
    <author>tc={6B0842A1-5D3D-499D-A289-0B5B6ACE435E}</author>
    <author>tc={4EEFBB69-1686-49E3-88C3-9FF29BB11A4B}</author>
    <author>tc={FDA2DAA8-2DE3-4004-B715-B69F71559002}</author>
    <author>tc={7A77FA50-9ADA-47A3-A771-87C38F4DD758}</author>
    <author>tc={7FEF702B-C70A-4EAB-984E-0CB818CAA155}</author>
  </authors>
  <commentList>
    <comment ref="A4" authorId="0" shapeId="0" xr:uid="{873D5267-8CA3-4B1F-B6D5-8D2B717E285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1</t>
      </text>
    </comment>
    <comment ref="A5" authorId="1" shapeId="0" xr:uid="{ACF81E11-0015-4852-9E3B-F8712531BDB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2</t>
      </text>
    </comment>
    <comment ref="A6" authorId="2" shapeId="0" xr:uid="{9066AA8F-3C14-4155-A34A-20F908C0F0A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3</t>
      </text>
    </comment>
    <comment ref="A7" authorId="3" shapeId="0" xr:uid="{113F9178-2E48-4641-BD01-DDF15539916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Amortissement 4</t>
      </text>
    </comment>
    <comment ref="C11" authorId="4" shapeId="0" xr:uid="{0A4BF643-E093-4F51-B71B-B4A74527491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Introduire la date d'achat dans la ligne correspondante au trimestre de l'achat. Uniquement si l'achat a lieu dans l'année comptable en cours, sinon, ne rien indiquer dans cette colonne.</t>
      </text>
    </comment>
    <comment ref="D11" authorId="5" shapeId="0" xr:uid="{7F861F2E-EA31-406D-BB68-A82456D51CE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Introduire la date réelle de revente dans la ligne correspondante au trimestre de revente. Uniquement si la revente a lieu dans l'année comptable en cours, sinon, ne rien indiquer dans cette colonne.</t>
      </text>
    </comment>
    <comment ref="H11" authorId="6" shapeId="0" xr:uid="{F2D9C57F-DB65-4A73-9477-619C8B19239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valeur résiduelle si revente anticipée</t>
      </text>
    </comment>
    <comment ref="I11" authorId="7" shapeId="0" xr:uid="{F8691E1E-DEBA-4232-9B0A-BD894C56B22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sur le trimestre concerné si revente anticipée</t>
      </text>
    </comment>
    <comment ref="L11" authorId="8" shapeId="0" xr:uid="{1909AA7D-FCCB-46F4-B805-21D2B2276DB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dans le trimestre concerné si achat pendant l'année en cours</t>
      </text>
    </comment>
    <comment ref="N12" authorId="9" shapeId="0" xr:uid="{F8349A19-C8A9-48D6-B890-20DFBA540899}">
      <text>
        <r>
          <rPr>
            <b/>
            <sz val="9"/>
            <color indexed="81"/>
            <rFont val="Tahoma"/>
            <family val="2"/>
          </rPr>
          <t>Cas 1, 2, ou 3</t>
        </r>
      </text>
    </comment>
    <comment ref="N13" authorId="9" shapeId="0" xr:uid="{2AADC5B7-5BF3-4245-9B4E-6A6EC40A4D85}">
      <text>
        <r>
          <rPr>
            <b/>
            <sz val="9"/>
            <color indexed="81"/>
            <rFont val="Tahoma"/>
            <family val="2"/>
          </rPr>
          <t>Cas 4</t>
        </r>
      </text>
    </comment>
    <comment ref="N14" authorId="9" shapeId="0" xr:uid="{FB66620F-2E2C-407D-8F91-A81AC3A7E641}">
      <text>
        <r>
          <rPr>
            <b/>
            <sz val="9"/>
            <color indexed="81"/>
            <rFont val="Tahoma"/>
            <family val="2"/>
          </rPr>
          <t>Cas 5 ou 6</t>
        </r>
      </text>
    </comment>
    <comment ref="N15" authorId="9" shapeId="0" xr:uid="{AD602B30-CF19-41A6-83BE-68C44A9B357C}">
      <text>
        <r>
          <rPr>
            <b/>
            <sz val="9"/>
            <color indexed="81"/>
            <rFont val="Tahoma"/>
            <family val="2"/>
          </rPr>
          <t>Cas 7 ou 8</t>
        </r>
      </text>
    </comment>
    <comment ref="H21" authorId="10" shapeId="0" xr:uid="{CDD8CDF9-BAE7-4063-893D-3247C4B25B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valeur résiduelle si revente anticipée</t>
      </text>
    </comment>
    <comment ref="I21" authorId="11" shapeId="0" xr:uid="{7E68E683-E9D9-421E-A8C5-584094F0AD9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sur le trimestre concerné si revente anticipée</t>
      </text>
    </comment>
    <comment ref="L21" authorId="12" shapeId="0" xr:uid="{7DE08400-AA57-4B61-9874-C4B0F3FD01A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dans le trimestre concerné si achat pendant l'année en cours</t>
      </text>
    </comment>
    <comment ref="N22" authorId="9" shapeId="0" xr:uid="{E484C9A1-C43E-437C-ABFB-C6824A85E49F}">
      <text>
        <r>
          <rPr>
            <b/>
            <sz val="9"/>
            <color indexed="81"/>
            <rFont val="Tahoma"/>
            <family val="2"/>
          </rPr>
          <t>Cas 1, 2, ou 3</t>
        </r>
      </text>
    </comment>
    <comment ref="N23" authorId="9" shapeId="0" xr:uid="{64719E9B-57E2-434B-B99A-6231876DDD7D}">
      <text>
        <r>
          <rPr>
            <b/>
            <sz val="9"/>
            <color indexed="81"/>
            <rFont val="Tahoma"/>
            <family val="2"/>
          </rPr>
          <t>Cas 4</t>
        </r>
      </text>
    </comment>
    <comment ref="N24" authorId="9" shapeId="0" xr:uid="{B56E5BF5-BAB5-4E0C-93FD-A218F4F0952F}">
      <text>
        <r>
          <rPr>
            <b/>
            <sz val="9"/>
            <color indexed="81"/>
            <rFont val="Tahoma"/>
            <family val="2"/>
          </rPr>
          <t>Cas 5 ou 6</t>
        </r>
      </text>
    </comment>
    <comment ref="N25" authorId="9" shapeId="0" xr:uid="{94411E08-D5EB-4F52-AAEC-0F4E28C0BFDD}">
      <text>
        <r>
          <rPr>
            <b/>
            <sz val="9"/>
            <color indexed="81"/>
            <rFont val="Tahoma"/>
            <family val="2"/>
          </rPr>
          <t>Cas 7 ou 8</t>
        </r>
      </text>
    </comment>
    <comment ref="H31" authorId="13" shapeId="0" xr:uid="{00A93ED5-3607-42AB-ABAF-7966C0E5F47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valeur résiduelle si revente anticipée</t>
      </text>
    </comment>
    <comment ref="I31" authorId="14" shapeId="0" xr:uid="{6B0842A1-5D3D-499D-A289-0B5B6ACE435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sur le trimestre concerné si revente anticipée</t>
      </text>
    </comment>
    <comment ref="L31" authorId="15" shapeId="0" xr:uid="{4EEFBB69-1686-49E3-88C3-9FF29BB11A4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dans le trimestre concerné si achat pendant l'année en cours</t>
      </text>
    </comment>
    <comment ref="N32" authorId="9" shapeId="0" xr:uid="{A8BD2F79-3B8D-46E2-B084-2FBE76EE48C5}">
      <text>
        <r>
          <rPr>
            <b/>
            <sz val="9"/>
            <color indexed="81"/>
            <rFont val="Tahoma"/>
            <family val="2"/>
          </rPr>
          <t>Cas 1, 2, ou 3</t>
        </r>
      </text>
    </comment>
    <comment ref="N33" authorId="9" shapeId="0" xr:uid="{925DCEFC-660C-4FEC-97BE-E42BB31BEFB7}">
      <text>
        <r>
          <rPr>
            <b/>
            <sz val="9"/>
            <color indexed="81"/>
            <rFont val="Tahoma"/>
            <family val="2"/>
          </rPr>
          <t>Cas 4</t>
        </r>
      </text>
    </comment>
    <comment ref="N34" authorId="9" shapeId="0" xr:uid="{4833933E-A095-4774-8DD0-98518FF77503}">
      <text>
        <r>
          <rPr>
            <b/>
            <sz val="9"/>
            <color indexed="81"/>
            <rFont val="Tahoma"/>
            <family val="2"/>
          </rPr>
          <t>Cas 5 ou 6</t>
        </r>
      </text>
    </comment>
    <comment ref="N35" authorId="9" shapeId="0" xr:uid="{E9924CD9-7F12-45A1-BA89-05047B0C9D34}">
      <text>
        <r>
          <rPr>
            <b/>
            <sz val="9"/>
            <color indexed="81"/>
            <rFont val="Tahoma"/>
            <family val="2"/>
          </rPr>
          <t>Cas 7 ou 8</t>
        </r>
      </text>
    </comment>
    <comment ref="H41" authorId="16" shapeId="0" xr:uid="{FDA2DAA8-2DE3-4004-B715-B69F7155900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valeur résiduelle si revente anticipée</t>
      </text>
    </comment>
    <comment ref="I41" authorId="17" shapeId="0" xr:uid="{7A77FA50-9ADA-47A3-A771-87C38F4DD7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sur le trimestre concerné si revente anticipée</t>
      </text>
    </comment>
    <comment ref="L41" authorId="18" shapeId="0" xr:uid="{7FEF702B-C70A-4EAB-984E-0CB818CAA15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le calcul de la durée de possession dans le trimestre concerné si achat pendant l'année en cours</t>
      </text>
    </comment>
    <comment ref="N42" authorId="9" shapeId="0" xr:uid="{DE3B695A-5315-4DE7-A7E4-C8F56BB74320}">
      <text>
        <r>
          <rPr>
            <b/>
            <sz val="9"/>
            <color indexed="81"/>
            <rFont val="Tahoma"/>
            <family val="2"/>
          </rPr>
          <t>Cas 1, 2, ou 3</t>
        </r>
      </text>
    </comment>
    <comment ref="N43" authorId="9" shapeId="0" xr:uid="{3AB9228C-A9A7-44DD-B0AF-9EC3E399A8AF}">
      <text>
        <r>
          <rPr>
            <b/>
            <sz val="9"/>
            <color indexed="81"/>
            <rFont val="Tahoma"/>
            <family val="2"/>
          </rPr>
          <t>Cas 4</t>
        </r>
      </text>
    </comment>
    <comment ref="N44" authorId="9" shapeId="0" xr:uid="{8E5F4218-CFAC-42D5-983B-E0BE75100C11}">
      <text>
        <r>
          <rPr>
            <b/>
            <sz val="9"/>
            <color indexed="81"/>
            <rFont val="Tahoma"/>
            <family val="2"/>
          </rPr>
          <t>Cas 5 ou 6</t>
        </r>
      </text>
    </comment>
    <comment ref="N45" authorId="9" shapeId="0" xr:uid="{BC495F22-3551-4A4B-9268-BF1A23D77FA2}">
      <text>
        <r>
          <rPr>
            <b/>
            <sz val="9"/>
            <color indexed="81"/>
            <rFont val="Tahoma"/>
            <family val="2"/>
          </rPr>
          <t>Cas 7 ou 8</t>
        </r>
      </text>
    </comment>
  </commentList>
</comments>
</file>

<file path=xl/sharedStrings.xml><?xml version="1.0" encoding="utf-8"?>
<sst xmlns="http://schemas.openxmlformats.org/spreadsheetml/2006/main" count="191" uniqueCount="61">
  <si>
    <t>AMORTISSEMENTS</t>
  </si>
  <si>
    <t>Véhicule / Machine:</t>
  </si>
  <si>
    <t>Date achat:</t>
  </si>
  <si>
    <t>Durée (mois):</t>
  </si>
  <si>
    <t>Prix HTVA:</t>
  </si>
  <si>
    <t>% util. pro.:</t>
  </si>
  <si>
    <t>% déduct.:</t>
  </si>
  <si>
    <t>Amort. Total :</t>
  </si>
  <si>
    <t>Amortissement 1:</t>
  </si>
  <si>
    <t>Date de fin présumée :</t>
  </si>
  <si>
    <t>Calcul</t>
  </si>
  <si>
    <t>Amort.:</t>
  </si>
  <si>
    <t>Date revente :</t>
  </si>
  <si>
    <t>Valeur résid.:</t>
  </si>
  <si>
    <t>TVA 21 %:</t>
  </si>
  <si>
    <t>Trimestre 1:</t>
  </si>
  <si>
    <t>Trimestre 2:</t>
  </si>
  <si>
    <t>Trimestre 3:</t>
  </si>
  <si>
    <t>Trimestre 4:</t>
  </si>
  <si>
    <t>Amortissement 2:</t>
  </si>
  <si>
    <t>Amortissement 3:</t>
  </si>
  <si>
    <t>Amortissement 4:</t>
  </si>
  <si>
    <t>Nb. Jours total de la durée présumée:</t>
  </si>
  <si>
    <t>Amort. Annuel :</t>
  </si>
  <si>
    <t>Voiture unetelle</t>
  </si>
  <si>
    <t>Exemple erreur 1</t>
  </si>
  <si>
    <t>Exemple erreur 2</t>
  </si>
  <si>
    <t>Date achat :</t>
  </si>
  <si>
    <t>Nb jours Entre date achat et date revente:</t>
  </si>
  <si>
    <t>Nb. Jours restants entre date revente et date présumée:</t>
  </si>
  <si>
    <t>Nb. Jours entre achat et fin du trimestre:</t>
  </si>
  <si>
    <t>Valeur /jour:</t>
  </si>
  <si>
    <t>Nb. Jours entre début du trimestre et revente:</t>
  </si>
  <si>
    <t>Durée totale présumée:</t>
  </si>
  <si>
    <t>Formules corrigées</t>
  </si>
  <si>
    <r>
      <t xml:space="preserve">De la </t>
    </r>
    <r>
      <rPr>
        <b/>
        <u/>
        <sz val="10"/>
        <color rgb="FFFF0000"/>
        <rFont val="Calibri"/>
        <family val="2"/>
        <scheme val="minor"/>
      </rPr>
      <t>revente</t>
    </r>
    <r>
      <rPr>
        <sz val="10"/>
        <color rgb="FFFF0000"/>
        <rFont val="Calibri"/>
        <family val="2"/>
        <scheme val="minor"/>
      </rPr>
      <t xml:space="preserve"> à la fin présumée</t>
    </r>
  </si>
  <si>
    <r>
      <t xml:space="preserve">Du début du trimestre à la </t>
    </r>
    <r>
      <rPr>
        <b/>
        <u/>
        <sz val="10"/>
        <color rgb="FFFF0000"/>
        <rFont val="Calibri"/>
        <family val="2"/>
        <scheme val="minor"/>
      </rPr>
      <t>revente</t>
    </r>
  </si>
  <si>
    <r>
      <t>De l'</t>
    </r>
    <r>
      <rPr>
        <b/>
        <u/>
        <sz val="10"/>
        <color rgb="FFFF0000"/>
        <rFont val="Calibri"/>
        <family val="2"/>
        <scheme val="minor"/>
      </rPr>
      <t>achat</t>
    </r>
    <r>
      <rPr>
        <sz val="10"/>
        <color rgb="FFFF0000"/>
        <rFont val="Calibri"/>
        <family val="2"/>
        <scheme val="minor"/>
      </rPr>
      <t xml:space="preserve"> à la </t>
    </r>
    <r>
      <rPr>
        <b/>
        <u/>
        <sz val="10"/>
        <color rgb="FFFF0000"/>
        <rFont val="Calibri"/>
        <family val="2"/>
        <scheme val="minor"/>
      </rPr>
      <t>revente</t>
    </r>
  </si>
  <si>
    <r>
      <t>De l'</t>
    </r>
    <r>
      <rPr>
        <b/>
        <u/>
        <sz val="10"/>
        <color rgb="FFFF0000"/>
        <rFont val="Calibri"/>
        <family val="2"/>
        <scheme val="minor"/>
      </rPr>
      <t>achat</t>
    </r>
    <r>
      <rPr>
        <sz val="10"/>
        <color rgb="FFFF0000"/>
        <rFont val="Calibri"/>
        <family val="2"/>
        <scheme val="minor"/>
      </rPr>
      <t xml:space="preserve"> à la fin du trimestre</t>
    </r>
  </si>
  <si>
    <r>
      <t xml:space="preserve">De la </t>
    </r>
    <r>
      <rPr>
        <b/>
        <u/>
        <sz val="11"/>
        <color rgb="FFFF0000"/>
        <rFont val="Calibri"/>
        <family val="2"/>
        <scheme val="minor"/>
      </rPr>
      <t>revente</t>
    </r>
    <r>
      <rPr>
        <sz val="11"/>
        <color rgb="FFFF0000"/>
        <rFont val="Calibri"/>
        <family val="2"/>
        <scheme val="minor"/>
      </rPr>
      <t xml:space="preserve"> à la fin du trimestre.</t>
    </r>
  </si>
  <si>
    <r>
      <t>Du début du trimestre à l'</t>
    </r>
    <r>
      <rPr>
        <b/>
        <u/>
        <sz val="11"/>
        <color rgb="FFFF0000"/>
        <rFont val="Calibri"/>
        <family val="2"/>
        <scheme val="minor"/>
      </rPr>
      <t>achat</t>
    </r>
  </si>
  <si>
    <r>
      <t xml:space="preserve">Achat </t>
    </r>
    <r>
      <rPr>
        <b/>
        <sz val="11"/>
        <color rgb="FFFF0000"/>
        <rFont val="Calibri"/>
        <family val="2"/>
        <scheme val="minor"/>
      </rPr>
      <t>Pendant</t>
    </r>
    <r>
      <rPr>
        <sz val="11"/>
        <color theme="1"/>
        <rFont val="Calibri"/>
        <family val="2"/>
        <scheme val="minor"/>
      </rPr>
      <t xml:space="preserve"> année comptable</t>
    </r>
  </si>
  <si>
    <r>
      <t>Achat</t>
    </r>
    <r>
      <rPr>
        <b/>
        <sz val="1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Avant</t>
    </r>
    <r>
      <rPr>
        <sz val="11"/>
        <rFont val="Calibri"/>
        <family val="2"/>
        <scheme val="minor"/>
      </rPr>
      <t xml:space="preserve"> année comptable</t>
    </r>
  </si>
  <si>
    <t>Pas de revente anticipée</t>
  </si>
  <si>
    <t>Le dernier jour du trimestre</t>
  </si>
  <si>
    <r>
      <rPr>
        <b/>
        <sz val="11"/>
        <color rgb="FFFF0000"/>
        <rFont val="Calibri"/>
        <family val="2"/>
        <scheme val="minor"/>
      </rPr>
      <t>Avant</t>
    </r>
    <r>
      <rPr>
        <sz val="11"/>
        <color theme="1"/>
        <rFont val="Calibri"/>
        <family val="2"/>
        <scheme val="minor"/>
      </rPr>
      <t xml:space="preserve"> le dernier jour du trimestre</t>
    </r>
  </si>
  <si>
    <r>
      <t xml:space="preserve">Revente anticipée </t>
    </r>
    <r>
      <rPr>
        <b/>
        <sz val="11"/>
        <color rgb="FFFF0000"/>
        <rFont val="Calibri"/>
        <family val="2"/>
        <scheme val="minor"/>
      </rPr>
      <t>pendant</t>
    </r>
    <r>
      <rPr>
        <sz val="11"/>
        <color theme="1"/>
        <rFont val="Calibri"/>
        <family val="2"/>
        <scheme val="minor"/>
      </rPr>
      <t xml:space="preserve"> le trimestre d'achat</t>
    </r>
  </si>
  <si>
    <r>
      <t xml:space="preserve">Revente anticipée </t>
    </r>
    <r>
      <rPr>
        <b/>
        <sz val="11"/>
        <color rgb="FFFF0000"/>
        <rFont val="Calibri"/>
        <family val="2"/>
        <scheme val="minor"/>
      </rPr>
      <t>Après</t>
    </r>
    <r>
      <rPr>
        <sz val="11"/>
        <color theme="1"/>
        <rFont val="Calibri"/>
        <family val="2"/>
        <scheme val="minor"/>
      </rPr>
      <t xml:space="preserve"> le trimestre d'achat</t>
    </r>
  </si>
  <si>
    <t xml:space="preserve">Revente anticipée </t>
  </si>
  <si>
    <r>
      <rPr>
        <b/>
        <sz val="11"/>
        <color rgb="FFFF0000"/>
        <rFont val="Calibri"/>
        <family val="2"/>
        <scheme val="minor"/>
      </rPr>
      <t>Avant</t>
    </r>
    <r>
      <rPr>
        <sz val="11"/>
        <rFont val="Calibri"/>
        <family val="2"/>
        <scheme val="minor"/>
      </rPr>
      <t xml:space="preserve"> le dernier jour du trimestre</t>
    </r>
  </si>
  <si>
    <t>Cas
N° ?</t>
  </si>
  <si>
    <t>Colonnes H à M:</t>
  </si>
  <si>
    <t>Les cellules avec ce remplissage ne peuvent pas simplement être copiées et collées vers le bas car elles contiennent des références absolues; elles doivent donc être adaptées manuellement, et c'est un peu fastidieux!</t>
  </si>
  <si>
    <t xml:space="preserve">Colonne N: </t>
  </si>
  <si>
    <t>Calculs du nombre de jours.  Remarque: par exemples, du 13.03 au 14.03 cela compte 2 jours, et du 15.03 au 15.03 cela compte 1 jour.</t>
  </si>
  <si>
    <t>Pour "reconnaître" le numéro du cas, en fonction des dates d'achat et dates de revente. Les 8 différents cas sont dans un tableau visible sur l'onglet nommé "Année comptable"</t>
  </si>
  <si>
    <t>Tableau inutile pour les calculs, utile uniquement pour avoir une vue d'ensemble</t>
  </si>
  <si>
    <t xml:space="preserve">Colonnes O à V: </t>
  </si>
  <si>
    <t xml:space="preserve"> Colonne B: </t>
  </si>
  <si>
    <t>affichage du résultat provenant de l'une des colonnes O à V, selon le cas (de 1 à 8)</t>
  </si>
  <si>
    <t>Calculs des amortissements pour les 8 cas existants, mais de ceux-ci il n'y en a qu'un seul qui sera pris en considération. (ne pas trop s'y attarder 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</si>
</sst>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\ &quot;€&quot;;\-#,##0.00\ &quot;€&quot;"/>
    <numFmt numFmtId="165" formatCode="_-* #,##0.00\ &quot;€&quot;_-;\-* #,##0.00\ &quot;€&quot;_-;_-* &quot;-&quot;??\ &quot;€&quot;_-;_-@_-"/>
    <numFmt numFmtId="166" formatCode="d/mm/yyyy;@"/>
    <numFmt numFmtId="167" formatCode="0.0%"/>
    <numFmt numFmtId="168" formatCode="_-* #,##0.00\ &quot;€&quot;_-;\-* #,##0.00\ &quot;€&quot;_-;_?"/>
    <numFmt numFmtId="169" formatCode="0&quot; jours&quot;;0&quot; jours&quot;;?"/>
    <numFmt numFmtId="170" formatCode="_-* #,##0.00\ _C_H_F_-;\-* #,##0.00\ _C_H_F_-;_-* &quot;-&quot;??\ _C_H_F_-;_-@_-"/>
    <numFmt numFmtId="171" formatCode="0;0;?"/>
    <numFmt numFmtId="172" formatCode="\ #,##0.00\ &quot;€&quot;"/>
  </numFmts>
  <fonts count="3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7"/>
      <color rgb="FFFF0000"/>
      <name val="Calibri"/>
      <family val="2"/>
      <scheme val="minor"/>
    </font>
    <font>
      <u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u/>
      <sz val="10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Calibri"/>
      <family val="2"/>
      <scheme val="minor"/>
    </font>
    <font>
      <sz val="26"/>
      <color rgb="FF7030A0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gray125">
        <bgColor theme="0" tint="-4.9989318521683403E-2"/>
      </patternFill>
    </fill>
  </fills>
  <borders count="52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thin">
        <color theme="4" tint="-0.24994659260841701"/>
      </right>
      <top/>
      <bottom/>
      <diagonal/>
    </border>
    <border>
      <left style="thin">
        <color rgb="FF0070C0"/>
      </left>
      <right style="thin">
        <color theme="4" tint="-0.24994659260841701"/>
      </right>
      <top style="thin">
        <color rgb="FF0070C0"/>
      </top>
      <bottom style="thin">
        <color rgb="FF0070C0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 style="thin">
        <color theme="4" tint="-0.24994659260841701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4" tint="-0.2499465926084170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4" tint="-0.2499465926084170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4" tint="-0.2499465926084170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4" tint="-0.2499465926084170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4" tint="-0.2499465926084170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3" fillId="0" borderId="0" xfId="0" applyFont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166" fontId="3" fillId="0" borderId="4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165" fontId="3" fillId="0" borderId="4" xfId="0" applyNumberFormat="1" applyFont="1" applyBorder="1" applyAlignment="1" applyProtection="1">
      <alignment horizontal="right" vertical="center"/>
      <protection locked="0"/>
    </xf>
    <xf numFmtId="9" fontId="3" fillId="0" borderId="4" xfId="0" applyNumberFormat="1" applyFont="1" applyBorder="1" applyAlignment="1" applyProtection="1">
      <alignment horizontal="center" vertical="center"/>
      <protection locked="0"/>
    </xf>
    <xf numFmtId="167" fontId="3" fillId="0" borderId="4" xfId="0" applyNumberFormat="1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vertical="center"/>
    </xf>
    <xf numFmtId="0" fontId="3" fillId="0" borderId="9" xfId="0" applyFont="1" applyBorder="1"/>
    <xf numFmtId="0" fontId="8" fillId="0" borderId="9" xfId="0" applyFont="1" applyBorder="1"/>
    <xf numFmtId="0" fontId="4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3" fillId="0" borderId="13" xfId="0" applyFont="1" applyBorder="1"/>
    <xf numFmtId="165" fontId="3" fillId="3" borderId="14" xfId="0" applyNumberFormat="1" applyFont="1" applyFill="1" applyBorder="1"/>
    <xf numFmtId="166" fontId="7" fillId="0" borderId="15" xfId="0" applyNumberFormat="1" applyFont="1" applyBorder="1" applyAlignment="1" applyProtection="1">
      <alignment horizontal="center" vertical="center"/>
      <protection locked="0"/>
    </xf>
    <xf numFmtId="165" fontId="7" fillId="3" borderId="13" xfId="0" applyNumberFormat="1" applyFont="1" applyFill="1" applyBorder="1"/>
    <xf numFmtId="165" fontId="3" fillId="3" borderId="16" xfId="0" applyNumberFormat="1" applyFont="1" applyFill="1" applyBorder="1" applyAlignment="1">
      <alignment horizontal="center"/>
    </xf>
    <xf numFmtId="165" fontId="3" fillId="3" borderId="14" xfId="0" quotePrefix="1" applyNumberFormat="1" applyFont="1" applyFill="1" applyBorder="1"/>
    <xf numFmtId="0" fontId="3" fillId="0" borderId="17" xfId="0" applyFont="1" applyBorder="1"/>
    <xf numFmtId="165" fontId="7" fillId="3" borderId="18" xfId="0" applyNumberFormat="1" applyFont="1" applyFill="1" applyBorder="1"/>
    <xf numFmtId="165" fontId="7" fillId="0" borderId="19" xfId="0" applyNumberFormat="1" applyFont="1" applyBorder="1"/>
    <xf numFmtId="165" fontId="7" fillId="0" borderId="20" xfId="0" applyNumberFormat="1" applyFont="1" applyBorder="1"/>
    <xf numFmtId="0" fontId="7" fillId="0" borderId="20" xfId="0" applyFont="1" applyBorder="1"/>
    <xf numFmtId="0" fontId="3" fillId="0" borderId="21" xfId="0" applyFont="1" applyBorder="1"/>
    <xf numFmtId="0" fontId="0" fillId="0" borderId="10" xfId="0" applyBorder="1"/>
    <xf numFmtId="0" fontId="0" fillId="0" borderId="20" xfId="0" applyBorder="1"/>
    <xf numFmtId="0" fontId="3" fillId="0" borderId="22" xfId="0" applyFont="1" applyBorder="1"/>
    <xf numFmtId="0" fontId="0" fillId="0" borderId="21" xfId="0" applyBorder="1"/>
    <xf numFmtId="0" fontId="9" fillId="0" borderId="10" xfId="0" applyFont="1" applyBorder="1"/>
    <xf numFmtId="0" fontId="1" fillId="0" borderId="10" xfId="0" applyFont="1" applyBorder="1"/>
    <xf numFmtId="0" fontId="11" fillId="0" borderId="0" xfId="0" applyFont="1"/>
    <xf numFmtId="0" fontId="10" fillId="0" borderId="0" xfId="0" applyFont="1" applyAlignment="1">
      <alignment horizontal="right"/>
    </xf>
    <xf numFmtId="0" fontId="3" fillId="0" borderId="23" xfId="0" applyFont="1" applyBorder="1"/>
    <xf numFmtId="0" fontId="4" fillId="0" borderId="24" xfId="0" applyFont="1" applyBorder="1" applyAlignment="1">
      <alignment horizontal="center" vertical="center"/>
    </xf>
    <xf numFmtId="165" fontId="3" fillId="3" borderId="24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vertical="center"/>
    </xf>
    <xf numFmtId="0" fontId="3" fillId="0" borderId="26" xfId="0" applyFont="1" applyBorder="1"/>
    <xf numFmtId="0" fontId="4" fillId="0" borderId="27" xfId="0" applyFont="1" applyBorder="1"/>
    <xf numFmtId="0" fontId="3" fillId="0" borderId="27" xfId="0" applyFont="1" applyBorder="1" applyProtection="1">
      <protection locked="0"/>
    </xf>
    <xf numFmtId="0" fontId="12" fillId="0" borderId="28" xfId="0" applyFont="1" applyBorder="1"/>
    <xf numFmtId="0" fontId="12" fillId="0" borderId="29" xfId="0" applyFont="1" applyBorder="1"/>
    <xf numFmtId="0" fontId="10" fillId="0" borderId="30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2" fillId="0" borderId="34" xfId="0" applyFont="1" applyBorder="1" applyAlignment="1">
      <alignment horizontal="right"/>
    </xf>
    <xf numFmtId="0" fontId="10" fillId="0" borderId="35" xfId="0" applyFont="1" applyBorder="1" applyAlignment="1">
      <alignment horizontal="left"/>
    </xf>
    <xf numFmtId="164" fontId="10" fillId="0" borderId="35" xfId="0" applyNumberFormat="1" applyFont="1" applyBorder="1" applyAlignment="1">
      <alignment horizontal="left"/>
    </xf>
    <xf numFmtId="0" fontId="12" fillId="0" borderId="36" xfId="0" applyFont="1" applyBorder="1" applyAlignment="1">
      <alignment horizontal="right"/>
    </xf>
    <xf numFmtId="164" fontId="10" fillId="0" borderId="37" xfId="0" applyNumberFormat="1" applyFont="1" applyBorder="1" applyAlignment="1">
      <alignment horizontal="left"/>
    </xf>
    <xf numFmtId="166" fontId="7" fillId="3" borderId="8" xfId="0" applyNumberFormat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 wrapText="1"/>
    </xf>
    <xf numFmtId="168" fontId="3" fillId="3" borderId="14" xfId="0" applyNumberFormat="1" applyFont="1" applyFill="1" applyBorder="1"/>
    <xf numFmtId="0" fontId="15" fillId="0" borderId="0" xfId="0" applyFont="1" applyAlignment="1">
      <alignment horizontal="center"/>
    </xf>
    <xf numFmtId="0" fontId="4" fillId="0" borderId="12" xfId="0" applyFont="1" applyBorder="1" applyAlignment="1">
      <alignment vertical="center"/>
    </xf>
    <xf numFmtId="0" fontId="16" fillId="0" borderId="38" xfId="0" applyFont="1" applyBorder="1" applyAlignment="1">
      <alignment horizontal="center" vertical="center" wrapText="1"/>
    </xf>
    <xf numFmtId="170" fontId="0" fillId="0" borderId="0" xfId="0" applyNumberFormat="1"/>
    <xf numFmtId="0" fontId="14" fillId="3" borderId="38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5" borderId="38" xfId="0" applyFont="1" applyFill="1" applyBorder="1" applyAlignment="1">
      <alignment horizontal="center" vertical="center" wrapText="1"/>
    </xf>
    <xf numFmtId="0" fontId="14" fillId="6" borderId="38" xfId="0" applyFont="1" applyFill="1" applyBorder="1" applyAlignment="1">
      <alignment horizontal="center" vertical="center" wrapText="1"/>
    </xf>
    <xf numFmtId="0" fontId="1" fillId="5" borderId="38" xfId="0" applyFont="1" applyFill="1" applyBorder="1" applyAlignment="1">
      <alignment horizontal="center" vertical="center" wrapText="1"/>
    </xf>
    <xf numFmtId="0" fontId="1" fillId="6" borderId="3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15" fillId="0" borderId="41" xfId="0" applyFont="1" applyBorder="1" applyAlignment="1">
      <alignment vertical="center" wrapText="1"/>
    </xf>
    <xf numFmtId="0" fontId="24" fillId="0" borderId="38" xfId="0" applyFont="1" applyBorder="1" applyAlignment="1">
      <alignment horizontal="center" vertical="center" wrapText="1"/>
    </xf>
    <xf numFmtId="171" fontId="24" fillId="3" borderId="38" xfId="0" applyNumberFormat="1" applyFont="1" applyFill="1" applyBorder="1" applyAlignment="1">
      <alignment horizontal="center"/>
    </xf>
    <xf numFmtId="171" fontId="24" fillId="3" borderId="0" xfId="0" applyNumberFormat="1" applyFont="1" applyFill="1" applyAlignment="1">
      <alignment horizontal="center" vertical="center"/>
    </xf>
    <xf numFmtId="0" fontId="25" fillId="0" borderId="38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/>
    </xf>
    <xf numFmtId="169" fontId="14" fillId="1" borderId="38" xfId="0" applyNumberFormat="1" applyFont="1" applyFill="1" applyBorder="1" applyAlignment="1">
      <alignment horizontal="center" vertical="center"/>
    </xf>
    <xf numFmtId="164" fontId="27" fillId="1" borderId="40" xfId="0" applyNumberFormat="1" applyFont="1" applyFill="1" applyBorder="1" applyAlignment="1">
      <alignment horizontal="center" vertical="center"/>
    </xf>
    <xf numFmtId="0" fontId="14" fillId="1" borderId="38" xfId="0" applyFont="1" applyFill="1" applyBorder="1" applyAlignment="1">
      <alignment horizontal="center" vertical="center"/>
    </xf>
    <xf numFmtId="172" fontId="3" fillId="1" borderId="14" xfId="0" applyNumberFormat="1" applyFont="1" applyFill="1" applyBorder="1" applyAlignment="1">
      <alignment horizontal="center"/>
    </xf>
    <xf numFmtId="172" fontId="3" fillId="1" borderId="38" xfId="0" applyNumberFormat="1" applyFont="1" applyFill="1" applyBorder="1" applyAlignment="1">
      <alignment horizontal="center"/>
    </xf>
    <xf numFmtId="0" fontId="28" fillId="0" borderId="38" xfId="0" applyFont="1" applyBorder="1" applyAlignment="1">
      <alignment horizontal="center" vertical="center"/>
    </xf>
    <xf numFmtId="0" fontId="28" fillId="7" borderId="38" xfId="0" applyFont="1" applyFill="1" applyBorder="1" applyAlignment="1">
      <alignment horizontal="center" vertical="center"/>
    </xf>
    <xf numFmtId="168" fontId="3" fillId="8" borderId="14" xfId="0" applyNumberFormat="1" applyFont="1" applyFill="1" applyBorder="1"/>
    <xf numFmtId="0" fontId="0" fillId="0" borderId="0" xfId="0" applyAlignment="1">
      <alignment horizontal="right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28" fillId="7" borderId="47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 wrapText="1"/>
    </xf>
    <xf numFmtId="0" fontId="28" fillId="0" borderId="50" xfId="0" applyFont="1" applyBorder="1" applyAlignment="1">
      <alignment horizontal="center" vertical="center"/>
    </xf>
    <xf numFmtId="0" fontId="28" fillId="7" borderId="50" xfId="0" applyFont="1" applyFill="1" applyBorder="1" applyAlignment="1">
      <alignment horizontal="center" vertical="center"/>
    </xf>
    <xf numFmtId="0" fontId="28" fillId="0" borderId="51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6" fontId="6" fillId="4" borderId="6" xfId="0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44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4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109903</xdr:colOff>
      <xdr:row>15</xdr:row>
      <xdr:rowOff>0</xdr:rowOff>
    </xdr:from>
    <xdr:to>
      <xdr:col>24</xdr:col>
      <xdr:colOff>402980</xdr:colOff>
      <xdr:row>18</xdr:row>
      <xdr:rowOff>21981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EEADC0-7850-E3EA-2580-17C8BC0B4AC2}"/>
            </a:ext>
          </a:extLst>
        </xdr:cNvPr>
        <xdr:cNvSpPr txBox="1"/>
      </xdr:nvSpPr>
      <xdr:spPr>
        <a:xfrm>
          <a:off x="7107115" y="3487615"/>
          <a:ext cx="9810750" cy="6081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 u="sng"/>
            <a:t>Amortissement</a:t>
          </a:r>
          <a:r>
            <a:rPr lang="fr-CH" sz="1100" b="1" u="sng" baseline="0"/>
            <a:t> 1</a:t>
          </a:r>
          <a:r>
            <a:rPr lang="fr-CH" sz="1100" baseline="0"/>
            <a:t>: puisqu'il n'y a rien dans les cellules C12-C15, cela signifie que l'achat a eu lieu avant l'année comptable. Il n'y a rien non plus dans les cellules D12-D15, ce qui signifie qu'il n'y a pas de revente anticipée. Il s'agit donc du cas N°1 (voir tableau sur onglet "année comptable"). Le cas N° 1 est reconnu grâce aux formules de la colonne N. 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cellules B12-B15 </a:t>
          </a:r>
          <a:r>
            <a:rPr lang="fr-CH" sz="1100" baseline="0"/>
            <a:t>vont donc chercher les résultats contenus dans les cellules O12-O15 (correspondant au cas N°1)</a:t>
          </a:r>
          <a:endParaRPr lang="fr-CH" sz="1100"/>
        </a:p>
      </xdr:txBody>
    </xdr:sp>
    <xdr:clientData/>
  </xdr:twoCellAnchor>
  <xdr:twoCellAnchor>
    <xdr:from>
      <xdr:col>9</xdr:col>
      <xdr:colOff>168519</xdr:colOff>
      <xdr:row>25</xdr:row>
      <xdr:rowOff>29308</xdr:rowOff>
    </xdr:from>
    <xdr:to>
      <xdr:col>23</xdr:col>
      <xdr:colOff>278423</xdr:colOff>
      <xdr:row>28</xdr:row>
      <xdr:rowOff>109905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92BC0B7-9EB9-5565-2508-0DFEE3B3E1D2}"/>
            </a:ext>
          </a:extLst>
        </xdr:cNvPr>
        <xdr:cNvSpPr txBox="1"/>
      </xdr:nvSpPr>
      <xdr:spPr>
        <a:xfrm>
          <a:off x="7165731" y="6176596"/>
          <a:ext cx="9034096" cy="666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 b="1" u="sng"/>
            <a:t>Amortissement 2 :</a:t>
          </a:r>
          <a:r>
            <a:rPr lang="fr-CH" sz="1100"/>
            <a:t>  le véhicule a été acheté pendant le trimestre 2 de l'année comptable, et il a été revendu au cours du même trimestre mais avant le dernier jour de celui-ci. Il</a:t>
          </a:r>
          <a:r>
            <a:rPr lang="fr-CH" sz="1100" baseline="0"/>
            <a:t> s'agit donc du cas N°6, reconnu grâce aux formules de la colonne N.</a:t>
          </a:r>
        </a:p>
        <a:p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cellules B12-B15 vont donc chercher les résultats contenus dans les cellules T22-T25 (correspondant au cas N°6)</a:t>
          </a:r>
          <a:endParaRPr lang="fr-CH" sz="1100"/>
        </a:p>
      </xdr:txBody>
    </xdr:sp>
    <xdr:clientData/>
  </xdr:twoCellAnchor>
  <xdr:twoCellAnchor>
    <xdr:from>
      <xdr:col>9</xdr:col>
      <xdr:colOff>359019</xdr:colOff>
      <xdr:row>31</xdr:row>
      <xdr:rowOff>87923</xdr:rowOff>
    </xdr:from>
    <xdr:to>
      <xdr:col>16</xdr:col>
      <xdr:colOff>542192</xdr:colOff>
      <xdr:row>42</xdr:row>
      <xdr:rowOff>124557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02A146C-96CD-1466-8BE0-C9D2F1183F3E}"/>
            </a:ext>
          </a:extLst>
        </xdr:cNvPr>
        <xdr:cNvSpPr txBox="1"/>
      </xdr:nvSpPr>
      <xdr:spPr>
        <a:xfrm>
          <a:off x="7356231" y="7480788"/>
          <a:ext cx="4909038" cy="22713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Faire des copier-coller </a:t>
          </a:r>
          <a:r>
            <a:rPr lang="fr-CH" sz="1100" baseline="0"/>
            <a:t>pour les amortissements 3 et 4</a:t>
          </a:r>
        </a:p>
        <a:p>
          <a:r>
            <a:rPr lang="fr-CH" sz="1100"/>
            <a:t>Mais des retouches sont indispensables pour toutes les formules des cellules avec un fond pointillé.</a:t>
          </a:r>
        </a:p>
        <a:p>
          <a:r>
            <a:rPr lang="fr-CH" sz="1100"/>
            <a:t>A</a:t>
          </a:r>
          <a:r>
            <a:rPr lang="fr-CH" sz="1100" baseline="0"/>
            <a:t> faire si les tests des différents cas dans les amortissements 1 à 2 sont concluants... </a:t>
          </a:r>
        </a:p>
        <a:p>
          <a:r>
            <a:rPr lang="fr-CH" sz="1100" baseline="0"/>
            <a:t>Avec une astuce, cela peut se faire en quelques minutes, pas besoin de reprendre toutes ces formules manuellement une à une !</a:t>
          </a:r>
          <a:endParaRPr lang="fr-CH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thony Rigo" id="{447AAA9C-D340-4207-82B6-6333BC20F0F9}" userId="67b1497bf26c6090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" dT="2024-01-29T15:22:19.02" personId="{447AAA9C-D340-4207-82B6-6333BC20F0F9}" id="{9A0BE510-7855-432A-84A2-2DAD7D7240D9}">
    <text>Amortissement 1</text>
  </threadedComment>
  <threadedComment ref="A5" dT="2024-01-29T15:22:31.41" personId="{447AAA9C-D340-4207-82B6-6333BC20F0F9}" id="{33063028-937F-40C0-A9A6-5738C4F03197}">
    <text>Amortissement 2</text>
  </threadedComment>
  <threadedComment ref="A6" dT="2024-01-29T15:23:00.46" personId="{447AAA9C-D340-4207-82B6-6333BC20F0F9}" id="{90D186B0-8C00-4647-B4AC-36CC371B812B}">
    <text>Amortissement 3</text>
  </threadedComment>
  <threadedComment ref="A7" dT="2024-01-29T15:23:11.00" personId="{447AAA9C-D340-4207-82B6-6333BC20F0F9}" id="{F2F761E5-72F1-4D13-A6DA-3E43B6120DA7}">
    <text>Amortissement 4</text>
  </threadedComment>
  <threadedComment ref="C11" dT="2024-02-06T20:45:48.68" personId="{447AAA9C-D340-4207-82B6-6333BC20F0F9}" id="{DDA6E4EE-94BD-4BB3-9095-6F6B4BD93135}">
    <text>Introduire la date d'achat dans la ligne correspondante au trimestre de l'achat. Uniquement si l'achat a lieu dans l'année comptable en cours, sinon, ne rien indiquer dans cette colonne.</text>
  </threadedComment>
  <threadedComment ref="D11" dT="2024-02-06T20:46:38.23" personId="{447AAA9C-D340-4207-82B6-6333BC20F0F9}" id="{4D557F22-E539-46F7-9DE2-E82709C7A77B}">
    <text>Introduire la date réelle de revente dans la ligne correspondante au trimestre de revente. Uniquement si la revente a lieu dans l'année comptable en cours, sinon, ne rien indiquer dans cette colonne.</text>
  </threadedComment>
  <threadedComment ref="H11" dT="2024-02-09T10:52:44.94" personId="{447AAA9C-D340-4207-82B6-6333BC20F0F9}" id="{EF38CFB1-10BE-48C6-B5F4-5DD70005B1D0}">
    <text>Pour le calcul de la valeur résiduelle si revente anticipée</text>
  </threadedComment>
  <threadedComment ref="I11" dT="2024-02-09T10:55:30.85" personId="{447AAA9C-D340-4207-82B6-6333BC20F0F9}" id="{2CC1054E-67A7-4E4B-BF7B-EF4DC214286A}">
    <text>Pour le calcul de la durée de possession sur le trimestre concerné si revente anticipée</text>
  </threadedComment>
  <threadedComment ref="J11" dT="2024-02-09T10:59:10.34" personId="{447AAA9C-D340-4207-82B6-6333BC20F0F9}" id="{6A20A412-B5F3-4334-91EE-C4FE5505F8FA}">
    <text>Pour le calcul de la durée de possession dans le trimestre concerné si achat pendant l'année en cours</text>
  </threadedComment>
  <threadedComment ref="B23" dT="2024-02-06T13:11:39.95" personId="{447AAA9C-D340-4207-82B6-6333BC20F0F9}" id="{5570706A-4B0C-43CE-90FC-AC79A2D31B6E}">
    <text>Normalement ici ça devrait être 586,25€ car le trimestre est complet. J'ai essayé en modifiant la cellule K23 (année, mois, jour: jour=0 au lieu de 1), ça corrige l'erreur, en partie, mais alors ça pose problème si revente le dernier jour du trimestre, il compte 1 jour de trop, donc à choisir une erreur, je préfère laisser ainsi, sauf si solution simple.</text>
  </threadedComment>
  <threadedComment ref="B32" dT="2024-02-06T13:11:10.89" personId="{447AAA9C-D340-4207-82B6-6333BC20F0F9}" id="{6C0A1B9F-C552-4AA9-BBBC-4B1E37DE56B9}">
    <text>Normalement, ici ça devrait être 6,42€ car 1 jour de possession. Mais de toute façon, je doute qu'un investissement se revende dans le même trimestre que l'achat. Donc si pas de solution simple, on peut omettre.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4" dT="2024-01-29T15:22:19.02" personId="{447AAA9C-D340-4207-82B6-6333BC20F0F9}" id="{873D5267-8CA3-4B1F-B6D5-8D2B717E2852}">
    <text>Amortissement 1</text>
  </threadedComment>
  <threadedComment ref="A5" dT="2024-01-29T15:22:31.41" personId="{447AAA9C-D340-4207-82B6-6333BC20F0F9}" id="{ACF81E11-0015-4852-9E3B-F8712531BDB3}">
    <text>Amortissement 2</text>
  </threadedComment>
  <threadedComment ref="A6" dT="2024-01-29T15:23:00.46" personId="{447AAA9C-D340-4207-82B6-6333BC20F0F9}" id="{9066AA8F-3C14-4155-A34A-20F908C0F0AC}">
    <text>Amortissement 3</text>
  </threadedComment>
  <threadedComment ref="A7" dT="2024-01-29T15:23:11.00" personId="{447AAA9C-D340-4207-82B6-6333BC20F0F9}" id="{113F9178-2E48-4641-BD01-DDF15539916C}">
    <text>Amortissement 4</text>
  </threadedComment>
  <threadedComment ref="C11" dT="2024-02-06T20:45:48.68" personId="{447AAA9C-D340-4207-82B6-6333BC20F0F9}" id="{0A4BF643-E093-4F51-B71B-B4A745274915}">
    <text>Introduire la date d'achat dans la ligne correspondante au trimestre de l'achat. Uniquement si l'achat a lieu dans l'année comptable en cours, sinon, ne rien indiquer dans cette colonne.</text>
  </threadedComment>
  <threadedComment ref="D11" dT="2024-02-06T20:46:38.23" personId="{447AAA9C-D340-4207-82B6-6333BC20F0F9}" id="{7F861F2E-EA31-406D-BB68-A82456D51CE0}">
    <text>Introduire la date réelle de revente dans la ligne correspondante au trimestre de revente. Uniquement si la revente a lieu dans l'année comptable en cours, sinon, ne rien indiquer dans cette colonne.</text>
  </threadedComment>
  <threadedComment ref="H11" dT="2024-02-09T10:52:44.94" personId="{447AAA9C-D340-4207-82B6-6333BC20F0F9}" id="{F2D9C57F-DB65-4A73-9477-619C8B19239A}">
    <text>Pour le calcul de la valeur résiduelle si revente anticipée</text>
  </threadedComment>
  <threadedComment ref="I11" dT="2024-02-09T10:55:30.85" personId="{447AAA9C-D340-4207-82B6-6333BC20F0F9}" id="{F8691E1E-DEBA-4232-9B0A-BD894C56B223}">
    <text>Pour le calcul de la durée de possession sur le trimestre concerné si revente anticipée</text>
  </threadedComment>
  <threadedComment ref="L11" dT="2024-02-09T10:59:10.34" personId="{447AAA9C-D340-4207-82B6-6333BC20F0F9}" id="{1909AA7D-FCCB-46F4-B805-21D2B2276DBC}">
    <text>Pour le calcul de la durée de possession dans le trimestre concerné si achat pendant l'année en cours</text>
  </threadedComment>
  <threadedComment ref="H21" dT="2024-02-09T10:52:44.94" personId="{447AAA9C-D340-4207-82B6-6333BC20F0F9}" id="{CDD8CDF9-BAE7-4063-893D-3247C4B25BED}">
    <text>Pour le calcul de la valeur résiduelle si revente anticipée</text>
  </threadedComment>
  <threadedComment ref="I21" dT="2024-02-09T10:55:30.85" personId="{447AAA9C-D340-4207-82B6-6333BC20F0F9}" id="{7E68E683-E9D9-421E-A8C5-584094F0AD98}">
    <text>Pour le calcul de la durée de possession sur le trimestre concerné si revente anticipée</text>
  </threadedComment>
  <threadedComment ref="L21" dT="2024-02-09T10:59:10.34" personId="{447AAA9C-D340-4207-82B6-6333BC20F0F9}" id="{7DE08400-AA57-4B61-9874-C4B0F3FD01AE}">
    <text>Pour le calcul de la durée de possession dans le trimestre concerné si achat pendant l'année en cours</text>
  </threadedComment>
  <threadedComment ref="H31" dT="2024-02-09T10:52:44.94" personId="{447AAA9C-D340-4207-82B6-6333BC20F0F9}" id="{00A93ED5-3607-42AB-ABAF-7966C0E5F474}">
    <text>Pour le calcul de la valeur résiduelle si revente anticipée</text>
  </threadedComment>
  <threadedComment ref="I31" dT="2024-02-09T10:55:30.85" personId="{447AAA9C-D340-4207-82B6-6333BC20F0F9}" id="{6B0842A1-5D3D-499D-A289-0B5B6ACE435E}">
    <text>Pour le calcul de la durée de possession sur le trimestre concerné si revente anticipée</text>
  </threadedComment>
  <threadedComment ref="L31" dT="2024-02-09T10:59:10.34" personId="{447AAA9C-D340-4207-82B6-6333BC20F0F9}" id="{4EEFBB69-1686-49E3-88C3-9FF29BB11A4B}">
    <text>Pour le calcul de la durée de possession dans le trimestre concerné si achat pendant l'année en cours</text>
  </threadedComment>
  <threadedComment ref="H41" dT="2024-02-09T10:52:44.94" personId="{447AAA9C-D340-4207-82B6-6333BC20F0F9}" id="{FDA2DAA8-2DE3-4004-B715-B69F71559002}">
    <text>Pour le calcul de la valeur résiduelle si revente anticipée</text>
  </threadedComment>
  <threadedComment ref="I41" dT="2024-02-09T10:55:30.85" personId="{447AAA9C-D340-4207-82B6-6333BC20F0F9}" id="{7A77FA50-9ADA-47A3-A771-87C38F4DD758}">
    <text>Pour le calcul de la durée de possession sur le trimestre concerné si revente anticipée</text>
  </threadedComment>
  <threadedComment ref="L41" dT="2024-02-09T10:59:10.34" personId="{447AAA9C-D340-4207-82B6-6333BC20F0F9}" id="{7FEF702B-C70A-4EAB-984E-0CB818CAA155}">
    <text>Pour le calcul de la durée de possession dans le trimestre concerné si achat pendant l'année en cours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48"/>
  <sheetViews>
    <sheetView tabSelected="1" zoomScale="130" zoomScaleNormal="130" workbookViewId="0">
      <selection activeCell="I6" sqref="I6"/>
    </sheetView>
  </sheetViews>
  <sheetFormatPr baseColWidth="10" defaultColWidth="8.85546875" defaultRowHeight="15" x14ac:dyDescent="0.25"/>
  <cols>
    <col min="1" max="1" width="13.42578125" customWidth="1"/>
    <col min="2" max="7" width="10.7109375" customWidth="1"/>
    <col min="8" max="8" width="30.85546875" customWidth="1"/>
    <col min="9" max="9" width="25.28515625" customWidth="1"/>
    <col min="10" max="10" width="22.28515625" customWidth="1"/>
    <col min="11" max="11" width="23" customWidth="1"/>
    <col min="12" max="12" width="26.28515625" bestFit="1" customWidth="1"/>
    <col min="13" max="13" width="7.7109375" customWidth="1"/>
  </cols>
  <sheetData>
    <row r="1" spans="1:12" x14ac:dyDescent="0.25">
      <c r="A1" s="98" t="s">
        <v>0</v>
      </c>
      <c r="B1" s="99"/>
      <c r="C1" s="99"/>
      <c r="D1" s="99"/>
      <c r="E1" s="99"/>
      <c r="F1" s="99"/>
      <c r="G1" s="100"/>
    </row>
    <row r="2" spans="1:12" x14ac:dyDescent="0.25">
      <c r="A2" s="39"/>
      <c r="B2" s="1"/>
      <c r="C2" s="1"/>
      <c r="D2" s="1"/>
      <c r="E2" s="1"/>
      <c r="F2" s="1"/>
      <c r="G2" s="35"/>
    </row>
    <row r="3" spans="1:12" x14ac:dyDescent="0.25">
      <c r="A3" s="40" t="s">
        <v>1</v>
      </c>
      <c r="B3" s="2" t="s">
        <v>2</v>
      </c>
      <c r="C3" s="2" t="s">
        <v>3</v>
      </c>
      <c r="D3" s="3" t="s">
        <v>4</v>
      </c>
      <c r="E3" s="3" t="s">
        <v>5</v>
      </c>
      <c r="F3" s="3" t="s">
        <v>6</v>
      </c>
      <c r="G3" s="36" t="s">
        <v>7</v>
      </c>
    </row>
    <row r="4" spans="1:12" x14ac:dyDescent="0.25">
      <c r="A4" s="41" t="s">
        <v>24</v>
      </c>
      <c r="B4" s="4">
        <v>45252</v>
      </c>
      <c r="C4" s="5">
        <v>36</v>
      </c>
      <c r="D4" s="6">
        <v>14000</v>
      </c>
      <c r="E4" s="7">
        <v>0.75</v>
      </c>
      <c r="F4" s="8">
        <v>0.67</v>
      </c>
      <c r="G4" s="37">
        <f>IF(D4,D4*E4*F4,"")</f>
        <v>7035</v>
      </c>
    </row>
    <row r="5" spans="1:12" x14ac:dyDescent="0.25">
      <c r="A5" s="41" t="s">
        <v>25</v>
      </c>
      <c r="B5" s="4">
        <v>45297</v>
      </c>
      <c r="C5" s="5">
        <v>36</v>
      </c>
      <c r="D5" s="6">
        <v>14000</v>
      </c>
      <c r="E5" s="7">
        <v>0.75</v>
      </c>
      <c r="F5" s="8">
        <v>0.67</v>
      </c>
      <c r="G5" s="37">
        <f>IF(D5,D5*E5*F5,"")</f>
        <v>7035</v>
      </c>
      <c r="H5" s="59"/>
    </row>
    <row r="6" spans="1:12" x14ac:dyDescent="0.25">
      <c r="A6" s="41" t="s">
        <v>26</v>
      </c>
      <c r="B6" s="4">
        <v>45297</v>
      </c>
      <c r="C6" s="5">
        <v>36</v>
      </c>
      <c r="D6" s="6">
        <v>14000</v>
      </c>
      <c r="E6" s="7">
        <v>0.75</v>
      </c>
      <c r="F6" s="8">
        <v>0.67</v>
      </c>
      <c r="G6" s="37">
        <f>IF(D6,D6*E6*F6,"")</f>
        <v>7035</v>
      </c>
    </row>
    <row r="7" spans="1:12" x14ac:dyDescent="0.25">
      <c r="A7" s="41"/>
      <c r="B7" s="4"/>
      <c r="C7" s="5"/>
      <c r="D7" s="6"/>
      <c r="E7" s="7"/>
      <c r="F7" s="8"/>
      <c r="G7" s="37" t="str">
        <f>IF(D7,D7*E7*F7,"")</f>
        <v/>
      </c>
    </row>
    <row r="8" spans="1:12" ht="15.75" thickBot="1" x14ac:dyDescent="0.3">
      <c r="A8" s="1"/>
      <c r="B8" s="1"/>
      <c r="C8" s="1"/>
      <c r="D8" s="1"/>
      <c r="E8" s="1"/>
      <c r="F8" s="1"/>
      <c r="G8" s="1"/>
    </row>
    <row r="9" spans="1:12" x14ac:dyDescent="0.25">
      <c r="A9" s="9" t="s">
        <v>8</v>
      </c>
      <c r="B9" s="93" t="str">
        <f>IF(OR(A4=""),"",A4)</f>
        <v>Voiture unetelle</v>
      </c>
      <c r="C9" s="94"/>
      <c r="D9" s="95"/>
      <c r="E9" s="101" t="s">
        <v>9</v>
      </c>
      <c r="F9" s="102"/>
      <c r="G9" s="38">
        <f>IF(C4,EDATE(B4,C4),"")</f>
        <v>46348</v>
      </c>
      <c r="H9" s="48" t="s">
        <v>22</v>
      </c>
      <c r="I9" s="49">
        <f>G9-B4</f>
        <v>1096</v>
      </c>
    </row>
    <row r="10" spans="1:12" x14ac:dyDescent="0.25">
      <c r="A10" s="10"/>
      <c r="B10" s="1"/>
      <c r="C10" s="1"/>
      <c r="D10" s="1"/>
      <c r="E10" s="1"/>
      <c r="F10" s="1"/>
      <c r="G10" s="27"/>
      <c r="H10" s="48" t="s">
        <v>31</v>
      </c>
      <c r="I10" s="50">
        <f>G4/I9</f>
        <v>6.4187956204379564</v>
      </c>
      <c r="J10" s="33"/>
      <c r="K10" s="33"/>
    </row>
    <row r="11" spans="1:12" ht="15.75" thickBot="1" x14ac:dyDescent="0.3">
      <c r="A11" s="11" t="s">
        <v>10</v>
      </c>
      <c r="B11" s="12" t="s">
        <v>11</v>
      </c>
      <c r="C11" s="13" t="s">
        <v>27</v>
      </c>
      <c r="D11" s="13" t="s">
        <v>12</v>
      </c>
      <c r="E11" s="13" t="s">
        <v>13</v>
      </c>
      <c r="F11" s="14" t="s">
        <v>14</v>
      </c>
      <c r="G11" s="27"/>
      <c r="H11" s="42" t="s">
        <v>29</v>
      </c>
      <c r="I11" s="43" t="s">
        <v>32</v>
      </c>
      <c r="J11" s="43" t="s">
        <v>30</v>
      </c>
      <c r="K11" s="43" t="s">
        <v>28</v>
      </c>
    </row>
    <row r="12" spans="1:12" ht="15.75" thickBot="1" x14ac:dyDescent="0.3">
      <c r="A12" s="15" t="s">
        <v>15</v>
      </c>
      <c r="B12" s="16">
        <f>IF(D$4="","",IF(D12="",G$4/C$4*3,I$10*I12))</f>
        <v>586.25</v>
      </c>
      <c r="C12" s="17"/>
      <c r="D12" s="17"/>
      <c r="E12" s="18" t="str">
        <f>IF(D12,I10*H12,"")</f>
        <v/>
      </c>
      <c r="F12" s="19" t="str">
        <f>IF(D12,E12*21%,"")</f>
        <v/>
      </c>
      <c r="G12" s="27"/>
      <c r="H12" s="44">
        <f>G9-D12</f>
        <v>46348</v>
      </c>
      <c r="I12" s="45">
        <f>D12-DATE('Année comptable'!A1,1,1)</f>
        <v>-45292</v>
      </c>
      <c r="J12" s="45">
        <f>DATE('Année comptable'!A1,3,32)-B4</f>
        <v>131</v>
      </c>
      <c r="K12" s="45">
        <f>D12-C12</f>
        <v>0</v>
      </c>
      <c r="L12" s="34"/>
    </row>
    <row r="13" spans="1:12" ht="15.75" thickBot="1" x14ac:dyDescent="0.3">
      <c r="A13" s="15" t="s">
        <v>16</v>
      </c>
      <c r="B13" s="20">
        <f>IF(OR(D$4="",COUNTA(D$12:D12)&gt;=1),"",IF(D13="",G$4/C$4*3,I$10*I13))</f>
        <v>586.25</v>
      </c>
      <c r="C13" s="17"/>
      <c r="D13" s="17"/>
      <c r="E13" s="18" t="str">
        <f>IF(D13,I10*H13,"")</f>
        <v/>
      </c>
      <c r="F13" s="19" t="str">
        <f t="shared" ref="F13:F15" si="0">IF(D13,E13*21%,"")</f>
        <v/>
      </c>
      <c r="G13" s="27"/>
      <c r="H13" s="44">
        <f>G9-D13</f>
        <v>46348</v>
      </c>
      <c r="I13" s="45">
        <f>D13-DATE('Année comptable'!A1,4,1)</f>
        <v>-45383</v>
      </c>
      <c r="J13" s="45">
        <f>DATE('Année comptable'!A1,6,31)-B4</f>
        <v>222</v>
      </c>
      <c r="K13" s="45">
        <f>D13-C13</f>
        <v>0</v>
      </c>
      <c r="L13" s="34"/>
    </row>
    <row r="14" spans="1:12" ht="15.75" thickBot="1" x14ac:dyDescent="0.3">
      <c r="A14" s="15" t="s">
        <v>17</v>
      </c>
      <c r="B14" s="20">
        <f>IF(OR(D$4="",COUNTA(D$12:D13)&gt;=1),"",IF(D14="",G$4/C$4*3,I$10*I14))</f>
        <v>586.25</v>
      </c>
      <c r="C14" s="17"/>
      <c r="D14" s="17"/>
      <c r="E14" s="18" t="str">
        <f>IF(D14,I10*H14,"")</f>
        <v/>
      </c>
      <c r="F14" s="19" t="str">
        <f t="shared" si="0"/>
        <v/>
      </c>
      <c r="G14" s="27"/>
      <c r="H14" s="44">
        <f>G9-D14</f>
        <v>46348</v>
      </c>
      <c r="I14" s="45">
        <f>D14-DATE('Année comptable'!A1,7,1)</f>
        <v>-45474</v>
      </c>
      <c r="J14" s="45">
        <f>DATE('Année comptable'!A1,9,31)-B4</f>
        <v>314</v>
      </c>
      <c r="K14" s="45">
        <f>D14-C14</f>
        <v>0</v>
      </c>
      <c r="L14" s="34"/>
    </row>
    <row r="15" spans="1:12" ht="15.75" thickBot="1" x14ac:dyDescent="0.3">
      <c r="A15" s="15" t="s">
        <v>18</v>
      </c>
      <c r="B15" s="20">
        <f>IF(OR(D$4="",COUNTA(D$12:D14)&gt;=1),"",IF(D15="",G$4/C$4*3,I$10*I15))</f>
        <v>586.25</v>
      </c>
      <c r="C15" s="17"/>
      <c r="D15" s="17"/>
      <c r="E15" s="18" t="str">
        <f>IF(D15,I10*H15,"")</f>
        <v/>
      </c>
      <c r="F15" s="19" t="str">
        <f t="shared" si="0"/>
        <v/>
      </c>
      <c r="G15" s="27"/>
      <c r="H15" s="46">
        <f>G9-D15</f>
        <v>46348</v>
      </c>
      <c r="I15" s="47">
        <f>D15-DATE('Année comptable'!A1,10,1)</f>
        <v>-45566</v>
      </c>
      <c r="J15" s="47">
        <f>DATE('Année comptable'!A1,12,32)-B4</f>
        <v>406</v>
      </c>
      <c r="K15" s="47">
        <f>D15-C15</f>
        <v>0</v>
      </c>
      <c r="L15" s="34"/>
    </row>
    <row r="16" spans="1:12" x14ac:dyDescent="0.25">
      <c r="A16" s="10"/>
      <c r="G16" s="31"/>
      <c r="H16" s="33"/>
      <c r="I16" s="33"/>
      <c r="J16" s="33"/>
      <c r="K16" s="33"/>
    </row>
    <row r="17" spans="1:11" ht="15.75" thickBot="1" x14ac:dyDescent="0.3">
      <c r="A17" s="21" t="s">
        <v>23</v>
      </c>
      <c r="B17" s="22">
        <f>SUM(B12:B15)</f>
        <v>2345</v>
      </c>
      <c r="C17" s="23"/>
      <c r="D17" s="24"/>
      <c r="E17" s="24"/>
      <c r="F17" s="25"/>
      <c r="G17" s="26"/>
      <c r="H17" s="33"/>
      <c r="I17" s="33"/>
      <c r="J17" s="33"/>
      <c r="K17" s="33"/>
    </row>
    <row r="18" spans="1:11" ht="15.75" thickBot="1" x14ac:dyDescent="0.3">
      <c r="A18" s="1"/>
      <c r="B18" s="1"/>
      <c r="C18" s="1"/>
      <c r="D18" s="1"/>
      <c r="E18" s="1"/>
      <c r="F18" s="1"/>
      <c r="G18" s="1"/>
      <c r="H18" s="33"/>
      <c r="I18" s="33"/>
      <c r="J18" s="33"/>
      <c r="K18" s="33"/>
    </row>
    <row r="19" spans="1:11" x14ac:dyDescent="0.25">
      <c r="A19" s="9" t="s">
        <v>19</v>
      </c>
      <c r="B19" s="93" t="str">
        <f>IF(OR(A5=""),"",A5)</f>
        <v>Exemple erreur 1</v>
      </c>
      <c r="C19" s="94"/>
      <c r="D19" s="95"/>
      <c r="E19" s="96" t="s">
        <v>9</v>
      </c>
      <c r="F19" s="97"/>
      <c r="G19" s="38">
        <f>IF(C5,EDATE(B5,C5),"")</f>
        <v>46393</v>
      </c>
      <c r="H19" s="48" t="s">
        <v>22</v>
      </c>
      <c r="I19" s="49">
        <f>G19-B5</f>
        <v>1096</v>
      </c>
    </row>
    <row r="20" spans="1:11" x14ac:dyDescent="0.25">
      <c r="A20" s="10"/>
      <c r="B20" s="1"/>
      <c r="C20" s="1"/>
      <c r="D20" s="1"/>
      <c r="E20" s="1"/>
      <c r="F20" s="1"/>
      <c r="G20" s="31"/>
      <c r="H20" s="51" t="s">
        <v>31</v>
      </c>
      <c r="I20" s="52">
        <f>G5/I19</f>
        <v>6.4187956204379564</v>
      </c>
      <c r="J20" s="33"/>
      <c r="K20" s="33"/>
    </row>
    <row r="21" spans="1:11" ht="15.75" thickBot="1" x14ac:dyDescent="0.3">
      <c r="A21" s="11" t="s">
        <v>10</v>
      </c>
      <c r="B21" s="12" t="s">
        <v>11</v>
      </c>
      <c r="C21" s="13" t="s">
        <v>27</v>
      </c>
      <c r="D21" s="13" t="s">
        <v>12</v>
      </c>
      <c r="E21" s="13" t="s">
        <v>13</v>
      </c>
      <c r="F21" s="14" t="s">
        <v>14</v>
      </c>
      <c r="G21" s="31"/>
      <c r="H21" s="42" t="s">
        <v>29</v>
      </c>
      <c r="I21" s="43" t="s">
        <v>32</v>
      </c>
      <c r="J21" s="43" t="s">
        <v>30</v>
      </c>
      <c r="K21" s="43" t="s">
        <v>28</v>
      </c>
    </row>
    <row r="22" spans="1:11" ht="15.75" thickBot="1" x14ac:dyDescent="0.3">
      <c r="A22" s="15" t="s">
        <v>15</v>
      </c>
      <c r="B22" s="16">
        <f>IF(D$5="","",IF(D22="",G$5/C$5*3,I$20*I22))</f>
        <v>586.25</v>
      </c>
      <c r="C22" s="17"/>
      <c r="D22" s="17"/>
      <c r="E22" s="18" t="str">
        <f>IF(D22,I20*H22,"")</f>
        <v/>
      </c>
      <c r="F22" s="19" t="str">
        <f>IF(D22,E22*21%,"")</f>
        <v/>
      </c>
      <c r="G22" s="31"/>
      <c r="H22" s="44">
        <f>G19-D22</f>
        <v>46393</v>
      </c>
      <c r="I22" s="45">
        <f>D22-DATE('Année comptable'!A1,1,1)</f>
        <v>-45292</v>
      </c>
      <c r="J22" s="45">
        <f>DATE('Année comptable'!A1,3,32)-B5</f>
        <v>86</v>
      </c>
      <c r="K22" s="45">
        <f>D22-C22</f>
        <v>0</v>
      </c>
    </row>
    <row r="23" spans="1:11" ht="15.75" thickBot="1" x14ac:dyDescent="0.3">
      <c r="A23" s="15" t="s">
        <v>16</v>
      </c>
      <c r="B23" s="16">
        <f>IF(OR(D$5="",COUNTA(D$22:D22)&gt;=1),"",IF(D23="",G$5/C$5*3,I$20*I23))</f>
        <v>577.69160583941607</v>
      </c>
      <c r="C23" s="17"/>
      <c r="D23" s="17">
        <v>45473</v>
      </c>
      <c r="E23" s="18">
        <f>IF(D23,I20*H23,"")</f>
        <v>5905.2919708029194</v>
      </c>
      <c r="F23" s="19">
        <f t="shared" ref="F23:F25" si="1">IF(D23,E23*21%,"")</f>
        <v>1240.111313868613</v>
      </c>
      <c r="G23" s="31"/>
      <c r="H23" s="44">
        <f>G19-D23</f>
        <v>920</v>
      </c>
      <c r="I23" s="45">
        <f>D23-DATE('Année comptable'!A1,4,1)</f>
        <v>90</v>
      </c>
      <c r="J23" s="45">
        <f>DATE('Année comptable'!A1,6,31)-B5</f>
        <v>177</v>
      </c>
      <c r="K23" s="45">
        <f>D23-C23</f>
        <v>45473</v>
      </c>
    </row>
    <row r="24" spans="1:11" ht="15.75" thickBot="1" x14ac:dyDescent="0.3">
      <c r="A24" s="15" t="s">
        <v>17</v>
      </c>
      <c r="B24" s="16" t="str">
        <f>IF(OR(D$5="",COUNTA(D$22:D23)&gt;=1),"",IF(D24="",G$5/C$5*3,I$20*I24))</f>
        <v/>
      </c>
      <c r="C24" s="17"/>
      <c r="D24" s="17"/>
      <c r="E24" s="18" t="str">
        <f>IF(D24,I20*H24,"")</f>
        <v/>
      </c>
      <c r="F24" s="19" t="str">
        <f t="shared" si="1"/>
        <v/>
      </c>
      <c r="G24" s="31"/>
      <c r="H24" s="44">
        <f>G19-D24</f>
        <v>46393</v>
      </c>
      <c r="I24" s="45">
        <f>D24-DATE('Année comptable'!A1,7,1)</f>
        <v>-45474</v>
      </c>
      <c r="J24" s="45">
        <f>DATE('Année comptable'!A1,9,31)-B5</f>
        <v>269</v>
      </c>
      <c r="K24" s="45">
        <f>D24-C24</f>
        <v>0</v>
      </c>
    </row>
    <row r="25" spans="1:11" ht="15.75" thickBot="1" x14ac:dyDescent="0.3">
      <c r="A25" s="15" t="s">
        <v>18</v>
      </c>
      <c r="B25" s="16" t="str">
        <f>IF(OR(D$5="",COUNTA(D$22:D24)&gt;=1),"",IF(D25="",G$5/C$5*3,I$20*I25))</f>
        <v/>
      </c>
      <c r="C25" s="17"/>
      <c r="D25" s="17"/>
      <c r="E25" s="18" t="str">
        <f>IF(D25,I20*H25,"")</f>
        <v/>
      </c>
      <c r="F25" s="19" t="str">
        <f t="shared" si="1"/>
        <v/>
      </c>
      <c r="G25" s="31"/>
      <c r="H25" s="46">
        <f>G19-D25</f>
        <v>46393</v>
      </c>
      <c r="I25" s="47">
        <f>D25-DATE('Année comptable'!A1,10,1)</f>
        <v>-45566</v>
      </c>
      <c r="J25" s="47">
        <f>DATE('Année comptable'!A1,12,32)-B5</f>
        <v>361</v>
      </c>
      <c r="K25" s="47">
        <f>D25-C25</f>
        <v>0</v>
      </c>
    </row>
    <row r="26" spans="1:11" x14ac:dyDescent="0.25">
      <c r="A26" s="10"/>
      <c r="G26" s="32"/>
      <c r="H26" s="33"/>
      <c r="I26" s="33"/>
      <c r="J26" s="33"/>
      <c r="K26" s="33"/>
    </row>
    <row r="27" spans="1:11" ht="15.75" thickBot="1" x14ac:dyDescent="0.3">
      <c r="A27" s="21" t="s">
        <v>23</v>
      </c>
      <c r="B27" s="22">
        <f>SUM(B22:B25)</f>
        <v>1163.9416058394161</v>
      </c>
      <c r="C27" s="23"/>
      <c r="D27" s="24"/>
      <c r="E27" s="25"/>
      <c r="F27" s="28"/>
      <c r="G27" s="30"/>
      <c r="H27" s="33"/>
      <c r="I27" s="33"/>
      <c r="J27" s="33"/>
      <c r="K27" s="33"/>
    </row>
    <row r="28" spans="1:11" ht="15.75" thickBot="1" x14ac:dyDescent="0.3">
      <c r="A28" s="1"/>
      <c r="B28" s="1"/>
      <c r="C28" s="1"/>
      <c r="D28" s="1"/>
      <c r="E28" s="1"/>
      <c r="F28" s="1"/>
      <c r="G28" s="29"/>
      <c r="H28" s="33"/>
      <c r="I28" s="33"/>
      <c r="J28" s="33"/>
      <c r="K28" s="33"/>
    </row>
    <row r="29" spans="1:11" x14ac:dyDescent="0.25">
      <c r="A29" s="9" t="s">
        <v>20</v>
      </c>
      <c r="B29" s="93" t="str">
        <f>IF(OR(A6=""),"",A6)</f>
        <v>Exemple erreur 2</v>
      </c>
      <c r="C29" s="94"/>
      <c r="D29" s="95"/>
      <c r="E29" s="96" t="s">
        <v>9</v>
      </c>
      <c r="F29" s="97"/>
      <c r="G29" s="38">
        <f>IF(C6,EDATE(B6,C6),"")</f>
        <v>46393</v>
      </c>
      <c r="H29" s="48" t="s">
        <v>22</v>
      </c>
      <c r="I29" s="49">
        <f>G29-B6</f>
        <v>1096</v>
      </c>
    </row>
    <row r="30" spans="1:11" x14ac:dyDescent="0.25">
      <c r="A30" s="10"/>
      <c r="B30" s="1"/>
      <c r="C30" s="1"/>
      <c r="D30" s="1"/>
      <c r="E30" s="1"/>
      <c r="F30" s="1"/>
      <c r="G30" s="31"/>
      <c r="H30" s="51" t="s">
        <v>31</v>
      </c>
      <c r="I30" s="52">
        <f>G6/I29</f>
        <v>6.4187956204379564</v>
      </c>
      <c r="J30" s="33"/>
      <c r="K30" s="33"/>
    </row>
    <row r="31" spans="1:11" ht="15.75" thickBot="1" x14ac:dyDescent="0.3">
      <c r="A31" s="11" t="s">
        <v>10</v>
      </c>
      <c r="B31" s="12" t="s">
        <v>11</v>
      </c>
      <c r="C31" s="13" t="s">
        <v>27</v>
      </c>
      <c r="D31" s="13" t="s">
        <v>12</v>
      </c>
      <c r="E31" s="13" t="s">
        <v>13</v>
      </c>
      <c r="F31" s="14" t="s">
        <v>14</v>
      </c>
      <c r="G31" s="31"/>
      <c r="H31" s="42" t="s">
        <v>29</v>
      </c>
      <c r="I31" s="43" t="s">
        <v>32</v>
      </c>
      <c r="J31" s="43" t="s">
        <v>30</v>
      </c>
      <c r="K31" s="43" t="s">
        <v>28</v>
      </c>
    </row>
    <row r="32" spans="1:11" ht="15.75" thickBot="1" x14ac:dyDescent="0.3">
      <c r="A32" s="15" t="s">
        <v>15</v>
      </c>
      <c r="B32" s="16">
        <f>IF(D$6="","",IF(D32="",G$6/C$6*3,I$30*I32))</f>
        <v>38.512773722627742</v>
      </c>
      <c r="C32" s="17"/>
      <c r="D32" s="17">
        <v>45298</v>
      </c>
      <c r="E32" s="18">
        <f>IF(D32,I30*H32,"")</f>
        <v>7028.5812043795622</v>
      </c>
      <c r="F32" s="19">
        <f>IF(D32,E32*21%,"")</f>
        <v>1476.0020529197079</v>
      </c>
      <c r="G32" s="31"/>
      <c r="H32" s="44">
        <f>G29-D32</f>
        <v>1095</v>
      </c>
      <c r="I32" s="45">
        <f>D32-DATE('Année comptable'!A1,1,1)</f>
        <v>6</v>
      </c>
      <c r="J32" s="45">
        <f>DATE('Année comptable'!A1,3,32)-B6</f>
        <v>86</v>
      </c>
      <c r="K32" s="45">
        <f>D32-C32</f>
        <v>45298</v>
      </c>
    </row>
    <row r="33" spans="1:11" ht="15.75" thickBot="1" x14ac:dyDescent="0.3">
      <c r="A33" s="15" t="s">
        <v>16</v>
      </c>
      <c r="B33" s="16" t="str">
        <f>IF(OR(D$6="",COUNTA(D$32:D32)&gt;=1),"",IF(D33="",G$6/C$6*3,I$30*I33))</f>
        <v/>
      </c>
      <c r="C33" s="17"/>
      <c r="D33" s="17"/>
      <c r="E33" s="18" t="str">
        <f>IF(D33,I30*H33,"")</f>
        <v/>
      </c>
      <c r="F33" s="19" t="str">
        <f t="shared" ref="F33:F35" si="2">IF(D33,E33*21%,"")</f>
        <v/>
      </c>
      <c r="G33" s="31"/>
      <c r="H33" s="44">
        <f>G29-D33</f>
        <v>46393</v>
      </c>
      <c r="I33" s="45">
        <f>D33-DATE('Année comptable'!A1,4,1)</f>
        <v>-45383</v>
      </c>
      <c r="J33" s="45">
        <f>DATE('Année comptable'!A1,6,31)-B6</f>
        <v>177</v>
      </c>
      <c r="K33" s="45">
        <f>D33-C33</f>
        <v>0</v>
      </c>
    </row>
    <row r="34" spans="1:11" ht="15.75" thickBot="1" x14ac:dyDescent="0.3">
      <c r="A34" s="15" t="s">
        <v>17</v>
      </c>
      <c r="B34" s="16" t="str">
        <f>IF(OR(D$6="",COUNTA(D$32:D33)&gt;=1),"",IF(D34="",G$6/C$6*3,I$30*I34))</f>
        <v/>
      </c>
      <c r="C34" s="17"/>
      <c r="D34" s="17"/>
      <c r="E34" s="18" t="str">
        <f>IF(D34,I30*H34,"")</f>
        <v/>
      </c>
      <c r="F34" s="19" t="str">
        <f t="shared" si="2"/>
        <v/>
      </c>
      <c r="G34" s="31"/>
      <c r="H34" s="44">
        <f>G29-D34</f>
        <v>46393</v>
      </c>
      <c r="I34" s="45">
        <f>D34-DATE('Année comptable'!A1,7,1)</f>
        <v>-45474</v>
      </c>
      <c r="J34" s="45">
        <f>DATE('Année comptable'!A1,9,31)-B6</f>
        <v>269</v>
      </c>
      <c r="K34" s="45">
        <f>D34-C34</f>
        <v>0</v>
      </c>
    </row>
    <row r="35" spans="1:11" ht="15.75" thickBot="1" x14ac:dyDescent="0.3">
      <c r="A35" s="15" t="s">
        <v>18</v>
      </c>
      <c r="B35" s="16" t="str">
        <f>IF(OR(D$6="",COUNTA(D$32:D34)&gt;=1),"",IF(D35="",G$6/C$6*3,I$30*I35))</f>
        <v/>
      </c>
      <c r="C35" s="17"/>
      <c r="D35" s="17"/>
      <c r="E35" s="18" t="str">
        <f>IF(D35,I30*H35,"")</f>
        <v/>
      </c>
      <c r="F35" s="19" t="str">
        <f t="shared" si="2"/>
        <v/>
      </c>
      <c r="G35" s="31"/>
      <c r="H35" s="46">
        <f>G29-D35</f>
        <v>46393</v>
      </c>
      <c r="I35" s="47">
        <f>D35-DATE('Année comptable'!A1,10,1)</f>
        <v>-45566</v>
      </c>
      <c r="J35" s="47">
        <f>DATE('Année comptable'!A1,12,32)-B6</f>
        <v>361</v>
      </c>
      <c r="K35" s="47">
        <f>D35-C35</f>
        <v>0</v>
      </c>
    </row>
    <row r="36" spans="1:11" x14ac:dyDescent="0.25">
      <c r="A36" s="10"/>
      <c r="G36" s="32"/>
      <c r="H36" s="33"/>
      <c r="I36" s="33"/>
      <c r="J36" s="33"/>
      <c r="K36" s="33"/>
    </row>
    <row r="37" spans="1:11" ht="15.75" thickBot="1" x14ac:dyDescent="0.3">
      <c r="A37" s="21" t="s">
        <v>23</v>
      </c>
      <c r="B37" s="22">
        <f>SUM(B32:B35)</f>
        <v>38.512773722627742</v>
      </c>
      <c r="C37" s="23"/>
      <c r="D37" s="24"/>
      <c r="E37" s="25"/>
      <c r="F37" s="28"/>
      <c r="G37" s="30"/>
      <c r="H37" s="33"/>
      <c r="I37" s="33"/>
      <c r="J37" s="33"/>
      <c r="K37" s="33"/>
    </row>
    <row r="38" spans="1:11" ht="15.75" thickBot="1" x14ac:dyDescent="0.3">
      <c r="A38" s="1"/>
      <c r="B38" s="1"/>
      <c r="C38" s="1"/>
      <c r="D38" s="1"/>
      <c r="E38" s="1"/>
      <c r="F38" s="1"/>
      <c r="G38" s="1"/>
      <c r="H38" s="33"/>
      <c r="I38" s="33"/>
      <c r="J38" s="33"/>
      <c r="K38" s="33"/>
    </row>
    <row r="39" spans="1:11" x14ac:dyDescent="0.25">
      <c r="A39" s="9" t="s">
        <v>21</v>
      </c>
      <c r="B39" s="93" t="str">
        <f>IF(OR(A7=""),"",A7)</f>
        <v/>
      </c>
      <c r="C39" s="94"/>
      <c r="D39" s="95"/>
      <c r="E39" s="96" t="s">
        <v>9</v>
      </c>
      <c r="F39" s="97"/>
      <c r="G39" s="38" t="str">
        <f>IF(C7,EDATE(B7,C7),"")</f>
        <v/>
      </c>
      <c r="H39" s="48" t="s">
        <v>22</v>
      </c>
      <c r="I39" s="49" t="e">
        <f>G39-B7</f>
        <v>#VALUE!</v>
      </c>
    </row>
    <row r="40" spans="1:11" x14ac:dyDescent="0.25">
      <c r="A40" s="10"/>
      <c r="B40" s="1"/>
      <c r="C40" s="1"/>
      <c r="D40" s="1"/>
      <c r="E40" s="1"/>
      <c r="F40" s="1"/>
      <c r="G40" s="31"/>
      <c r="H40" s="51" t="s">
        <v>31</v>
      </c>
      <c r="I40" s="52" t="e">
        <f>G7/I39</f>
        <v>#VALUE!</v>
      </c>
      <c r="J40" s="33"/>
      <c r="K40" s="33"/>
    </row>
    <row r="41" spans="1:11" ht="15.75" thickBot="1" x14ac:dyDescent="0.3">
      <c r="A41" s="11" t="s">
        <v>10</v>
      </c>
      <c r="B41" s="12" t="s">
        <v>11</v>
      </c>
      <c r="C41" s="13" t="s">
        <v>27</v>
      </c>
      <c r="D41" s="13" t="s">
        <v>12</v>
      </c>
      <c r="E41" s="13" t="s">
        <v>13</v>
      </c>
      <c r="F41" s="14" t="s">
        <v>14</v>
      </c>
      <c r="G41" s="31"/>
      <c r="H41" s="42" t="s">
        <v>29</v>
      </c>
      <c r="I41" s="43" t="s">
        <v>32</v>
      </c>
      <c r="J41" s="43" t="s">
        <v>30</v>
      </c>
      <c r="K41" s="43" t="s">
        <v>28</v>
      </c>
    </row>
    <row r="42" spans="1:11" ht="15.75" thickBot="1" x14ac:dyDescent="0.3">
      <c r="A42" s="15" t="s">
        <v>15</v>
      </c>
      <c r="B42" s="16" t="str">
        <f>IF(D$7="","",IF(D42="",G$7/C$7*3,I$40*I42))</f>
        <v/>
      </c>
      <c r="C42" s="17"/>
      <c r="D42" s="17"/>
      <c r="E42" s="18" t="str">
        <f>IF(D42,I40*H42,"")</f>
        <v/>
      </c>
      <c r="F42" s="19" t="str">
        <f>IF(D42,E42*21%,"")</f>
        <v/>
      </c>
      <c r="G42" s="31"/>
      <c r="H42" s="44" t="e">
        <f>G39-D42</f>
        <v>#VALUE!</v>
      </c>
      <c r="I42" s="45">
        <f>D42-DATE('Année comptable'!A1,1,1)</f>
        <v>-45292</v>
      </c>
      <c r="J42" s="45">
        <f>DATE('Année comptable'!A1,3,32)-B7</f>
        <v>45383</v>
      </c>
      <c r="K42" s="45">
        <f>D42-C42</f>
        <v>0</v>
      </c>
    </row>
    <row r="43" spans="1:11" ht="15.75" thickBot="1" x14ac:dyDescent="0.3">
      <c r="A43" s="15" t="s">
        <v>16</v>
      </c>
      <c r="B43" s="16" t="str">
        <f>IF(OR(D$7="",COUNTA(D$42:D42)&gt;=1),"",IF(D43="",G$7/C$7*3,I$40*I43))</f>
        <v/>
      </c>
      <c r="C43" s="17"/>
      <c r="D43" s="17"/>
      <c r="E43" s="18" t="str">
        <f>IF(D43,I40*H43,"")</f>
        <v/>
      </c>
      <c r="F43" s="19" t="str">
        <f t="shared" ref="F43:F45" si="3">IF(D43,E43*21%,"")</f>
        <v/>
      </c>
      <c r="G43" s="31"/>
      <c r="H43" s="44" t="e">
        <f>G39-D43</f>
        <v>#VALUE!</v>
      </c>
      <c r="I43" s="45">
        <f>D43-DATE('Année comptable'!A1,4,1)</f>
        <v>-45383</v>
      </c>
      <c r="J43" s="45">
        <f>DATE('Année comptable'!A1,6,31)-B7</f>
        <v>45474</v>
      </c>
      <c r="K43" s="45">
        <f>D43-C43</f>
        <v>0</v>
      </c>
    </row>
    <row r="44" spans="1:11" ht="15.75" thickBot="1" x14ac:dyDescent="0.3">
      <c r="A44" s="15" t="s">
        <v>17</v>
      </c>
      <c r="B44" s="16" t="str">
        <f>IF(OR(D$7="",COUNTA(D$42:D43)&gt;=1),"",IF(D44="",G$7/C$7*3,I$40*I44))</f>
        <v/>
      </c>
      <c r="C44" s="17"/>
      <c r="D44" s="17"/>
      <c r="E44" s="18" t="str">
        <f>IF(D44,I40*H44,"")</f>
        <v/>
      </c>
      <c r="F44" s="19" t="str">
        <f t="shared" si="3"/>
        <v/>
      </c>
      <c r="G44" s="31"/>
      <c r="H44" s="44" t="e">
        <f>G39-D44</f>
        <v>#VALUE!</v>
      </c>
      <c r="I44" s="45">
        <f>D44-DATE('Année comptable'!A1,7,1)</f>
        <v>-45474</v>
      </c>
      <c r="J44" s="45">
        <f>DATE('Année comptable'!A1,9,31)-B7</f>
        <v>45566</v>
      </c>
      <c r="K44" s="45">
        <f>D44-C44</f>
        <v>0</v>
      </c>
    </row>
    <row r="45" spans="1:11" ht="15.75" thickBot="1" x14ac:dyDescent="0.3">
      <c r="A45" s="15" t="s">
        <v>18</v>
      </c>
      <c r="B45" s="16" t="str">
        <f>IF(OR(D$7="",COUNTA(D$42:D44)&gt;=1),"",IF(D45="",G$7/C$7*3,I$40*I45))</f>
        <v/>
      </c>
      <c r="C45" s="17"/>
      <c r="D45" s="17"/>
      <c r="E45" s="18" t="str">
        <f>IF(D45,I40*H45,"")</f>
        <v/>
      </c>
      <c r="F45" s="19" t="str">
        <f t="shared" si="3"/>
        <v/>
      </c>
      <c r="G45" s="31"/>
      <c r="H45" s="46" t="e">
        <f>G39-D45</f>
        <v>#VALUE!</v>
      </c>
      <c r="I45" s="47">
        <f>D45-DATE('Année comptable'!A1,10,1)</f>
        <v>-45566</v>
      </c>
      <c r="J45" s="47">
        <f>DATE('Année comptable'!A1,12,32)-B7</f>
        <v>45658</v>
      </c>
      <c r="K45" s="47">
        <f>D45-C45</f>
        <v>0</v>
      </c>
    </row>
    <row r="46" spans="1:11" x14ac:dyDescent="0.25">
      <c r="A46" s="10"/>
      <c r="G46" s="32"/>
      <c r="H46" s="33"/>
      <c r="I46" s="33"/>
      <c r="J46" s="33"/>
      <c r="K46" s="33"/>
    </row>
    <row r="47" spans="1:11" ht="15.75" thickBot="1" x14ac:dyDescent="0.3">
      <c r="A47" s="21" t="s">
        <v>23</v>
      </c>
      <c r="B47" s="22">
        <f>SUM(B42:B45)</f>
        <v>0</v>
      </c>
      <c r="C47" s="23"/>
      <c r="D47" s="24"/>
      <c r="E47" s="25"/>
      <c r="F47" s="28"/>
      <c r="G47" s="30"/>
      <c r="H47" s="33"/>
      <c r="I47" s="33"/>
      <c r="J47" s="33"/>
      <c r="K47" s="33"/>
    </row>
    <row r="48" spans="1:11" x14ac:dyDescent="0.25">
      <c r="H48" s="33"/>
      <c r="I48" s="33"/>
      <c r="J48" s="33"/>
      <c r="K48" s="33"/>
    </row>
  </sheetData>
  <mergeCells count="9">
    <mergeCell ref="B39:D39"/>
    <mergeCell ref="E39:F39"/>
    <mergeCell ref="A1:G1"/>
    <mergeCell ref="B9:D9"/>
    <mergeCell ref="E9:F9"/>
    <mergeCell ref="B19:D19"/>
    <mergeCell ref="E19:F19"/>
    <mergeCell ref="B29:D29"/>
    <mergeCell ref="E29:F29"/>
  </mergeCells>
  <pageMargins left="0.7" right="0.7" top="0.75" bottom="0.75" header="0.3" footer="0.3"/>
  <pageSetup paperSize="9" orientation="portrait" r:id="rId1"/>
  <ignoredErrors>
    <ignoredError sqref="H42:H45 I39:I40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DBBB9-7957-4D79-A999-5A660EB7E130}">
  <sheetPr codeName="Feuil2"/>
  <dimension ref="A1:J7"/>
  <sheetViews>
    <sheetView zoomScale="170" zoomScaleNormal="170" workbookViewId="0">
      <selection activeCell="H7" sqref="H7"/>
    </sheetView>
  </sheetViews>
  <sheetFormatPr baseColWidth="10" defaultRowHeight="15" x14ac:dyDescent="0.25"/>
  <cols>
    <col min="3" max="3" width="16.5703125" style="68" customWidth="1"/>
    <col min="4" max="4" width="14.28515625" customWidth="1"/>
    <col min="5" max="6" width="16.140625" customWidth="1"/>
    <col min="7" max="7" width="13.7109375" customWidth="1"/>
    <col min="8" max="8" width="16.28515625" customWidth="1"/>
    <col min="9" max="9" width="13.7109375" customWidth="1"/>
    <col min="10" max="10" width="18.42578125" customWidth="1"/>
  </cols>
  <sheetData>
    <row r="1" spans="1:10" ht="15.75" thickBot="1" x14ac:dyDescent="0.3">
      <c r="A1">
        <v>2024</v>
      </c>
    </row>
    <row r="2" spans="1:10" x14ac:dyDescent="0.25">
      <c r="C2" s="105" t="s">
        <v>56</v>
      </c>
      <c r="D2" s="106"/>
      <c r="E2" s="106"/>
      <c r="F2" s="106"/>
      <c r="G2" s="106"/>
      <c r="H2" s="106"/>
      <c r="I2" s="106"/>
      <c r="J2" s="107"/>
    </row>
    <row r="3" spans="1:10" x14ac:dyDescent="0.25">
      <c r="C3" s="108"/>
      <c r="D3" s="109"/>
      <c r="E3" s="109"/>
      <c r="F3" s="109"/>
      <c r="G3" s="109"/>
      <c r="H3" s="109"/>
      <c r="I3" s="109"/>
      <c r="J3" s="110"/>
    </row>
    <row r="4" spans="1:10" ht="35.25" customHeight="1" x14ac:dyDescent="0.25">
      <c r="C4" s="85"/>
      <c r="E4" s="103" t="s">
        <v>48</v>
      </c>
      <c r="F4" s="103"/>
      <c r="G4" s="103" t="s">
        <v>46</v>
      </c>
      <c r="H4" s="103"/>
      <c r="I4" s="103" t="s">
        <v>47</v>
      </c>
      <c r="J4" s="104"/>
    </row>
    <row r="5" spans="1:10" ht="37.5" customHeight="1" x14ac:dyDescent="0.25">
      <c r="C5" s="85"/>
      <c r="D5" s="69" t="s">
        <v>43</v>
      </c>
      <c r="E5" s="69" t="s">
        <v>44</v>
      </c>
      <c r="F5" s="58" t="s">
        <v>49</v>
      </c>
      <c r="G5" s="69" t="s">
        <v>44</v>
      </c>
      <c r="H5" s="69" t="s">
        <v>45</v>
      </c>
      <c r="I5" s="69" t="s">
        <v>44</v>
      </c>
      <c r="J5" s="86" t="s">
        <v>45</v>
      </c>
    </row>
    <row r="6" spans="1:10" ht="39" customHeight="1" x14ac:dyDescent="0.25">
      <c r="C6" s="87" t="s">
        <v>42</v>
      </c>
      <c r="D6" s="81">
        <v>1</v>
      </c>
      <c r="E6" s="81">
        <v>2</v>
      </c>
      <c r="F6" s="81">
        <v>3</v>
      </c>
      <c r="G6" s="82"/>
      <c r="H6" s="82"/>
      <c r="I6" s="82"/>
      <c r="J6" s="88"/>
    </row>
    <row r="7" spans="1:10" ht="39" customHeight="1" thickBot="1" x14ac:dyDescent="0.3">
      <c r="C7" s="89" t="s">
        <v>41</v>
      </c>
      <c r="D7" s="90">
        <v>4</v>
      </c>
      <c r="E7" s="91"/>
      <c r="F7" s="91"/>
      <c r="G7" s="90">
        <v>5</v>
      </c>
      <c r="H7" s="90">
        <v>6</v>
      </c>
      <c r="I7" s="90">
        <v>7</v>
      </c>
      <c r="J7" s="92">
        <v>8</v>
      </c>
    </row>
  </sheetData>
  <mergeCells count="4">
    <mergeCell ref="G4:H4"/>
    <mergeCell ref="E4:F4"/>
    <mergeCell ref="I4:J4"/>
    <mergeCell ref="C2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8CA44-E94F-4123-86D6-8C0E9D9E3AAF}">
  <sheetPr codeName="Feuil3"/>
  <dimension ref="A1:V48"/>
  <sheetViews>
    <sheetView zoomScale="130" zoomScaleNormal="130" workbookViewId="0">
      <selection activeCell="I19" sqref="I19"/>
    </sheetView>
  </sheetViews>
  <sheetFormatPr baseColWidth="10" defaultColWidth="8.85546875" defaultRowHeight="15" x14ac:dyDescent="0.25"/>
  <cols>
    <col min="1" max="1" width="13.42578125" customWidth="1"/>
    <col min="2" max="4" width="10.7109375" customWidth="1"/>
    <col min="5" max="5" width="13.28515625" customWidth="1"/>
    <col min="6" max="7" width="10.7109375" customWidth="1"/>
    <col min="8" max="9" width="12.140625" customWidth="1"/>
    <col min="10" max="10" width="12.5703125" customWidth="1"/>
    <col min="11" max="11" width="12.85546875" customWidth="1"/>
    <col min="12" max="12" width="10.42578125" customWidth="1"/>
    <col min="13" max="13" width="10.28515625" customWidth="1"/>
    <col min="14" max="14" width="6.7109375" customWidth="1"/>
    <col min="15" max="22" width="9" customWidth="1"/>
  </cols>
  <sheetData>
    <row r="1" spans="1:22" x14ac:dyDescent="0.25">
      <c r="A1" s="98" t="s">
        <v>0</v>
      </c>
      <c r="B1" s="99"/>
      <c r="C1" s="99"/>
      <c r="D1" s="99"/>
      <c r="E1" s="99"/>
      <c r="F1" s="99"/>
      <c r="G1" s="100"/>
    </row>
    <row r="2" spans="1:22" x14ac:dyDescent="0.25">
      <c r="A2" s="39"/>
      <c r="B2" s="1"/>
      <c r="C2" s="1"/>
      <c r="D2" s="1"/>
      <c r="E2" s="1"/>
      <c r="F2" s="1"/>
      <c r="G2" s="35"/>
      <c r="J2" s="76"/>
      <c r="K2" t="s">
        <v>52</v>
      </c>
    </row>
    <row r="3" spans="1:22" ht="15" customHeight="1" x14ac:dyDescent="0.25">
      <c r="A3" s="40" t="s">
        <v>1</v>
      </c>
      <c r="B3" s="2" t="s">
        <v>2</v>
      </c>
      <c r="C3" s="2" t="s">
        <v>3</v>
      </c>
      <c r="D3" s="3" t="s">
        <v>4</v>
      </c>
      <c r="E3" s="3" t="s">
        <v>5</v>
      </c>
      <c r="F3" s="3" t="s">
        <v>6</v>
      </c>
      <c r="G3" s="36" t="s">
        <v>7</v>
      </c>
    </row>
    <row r="4" spans="1:22" ht="15" customHeight="1" x14ac:dyDescent="0.25">
      <c r="A4" s="41" t="s">
        <v>24</v>
      </c>
      <c r="B4" s="4">
        <v>44887</v>
      </c>
      <c r="C4" s="5">
        <v>36</v>
      </c>
      <c r="D4" s="6">
        <v>14000</v>
      </c>
      <c r="E4" s="7">
        <v>0.75</v>
      </c>
      <c r="F4" s="8">
        <v>0.67</v>
      </c>
      <c r="G4" s="55">
        <f>IF(D4,D4*E4*F4,0)</f>
        <v>7035</v>
      </c>
      <c r="I4" s="59"/>
      <c r="J4" s="84" t="s">
        <v>51</v>
      </c>
      <c r="K4" t="s">
        <v>54</v>
      </c>
    </row>
    <row r="5" spans="1:22" x14ac:dyDescent="0.25">
      <c r="A5" s="41" t="s">
        <v>25</v>
      </c>
      <c r="B5" s="4">
        <v>44583</v>
      </c>
      <c r="C5" s="5">
        <v>30</v>
      </c>
      <c r="D5" s="6">
        <v>14000</v>
      </c>
      <c r="E5" s="7">
        <v>0.75</v>
      </c>
      <c r="F5" s="8">
        <v>0.67</v>
      </c>
      <c r="G5" s="55">
        <f t="shared" ref="G5:G7" si="0">IF(D5,D5*E5*F5,0)</f>
        <v>7035</v>
      </c>
      <c r="J5" s="84" t="s">
        <v>53</v>
      </c>
      <c r="K5" t="s">
        <v>55</v>
      </c>
    </row>
    <row r="6" spans="1:22" x14ac:dyDescent="0.25">
      <c r="A6" s="41" t="s">
        <v>26</v>
      </c>
      <c r="B6" s="4">
        <v>45297</v>
      </c>
      <c r="C6" s="5">
        <v>36</v>
      </c>
      <c r="D6" s="6">
        <v>14000</v>
      </c>
      <c r="E6" s="7">
        <v>0.75</v>
      </c>
      <c r="F6" s="8">
        <v>0.67</v>
      </c>
      <c r="G6" s="55">
        <f t="shared" si="0"/>
        <v>7035</v>
      </c>
      <c r="J6" s="84" t="s">
        <v>57</v>
      </c>
      <c r="K6" t="s">
        <v>60</v>
      </c>
    </row>
    <row r="7" spans="1:22" x14ac:dyDescent="0.25">
      <c r="A7" s="41"/>
      <c r="B7" s="4"/>
      <c r="C7" s="5"/>
      <c r="D7" s="6"/>
      <c r="E7" s="7"/>
      <c r="F7" s="8"/>
      <c r="G7" s="55">
        <f t="shared" si="0"/>
        <v>0</v>
      </c>
      <c r="J7" s="84" t="s">
        <v>58</v>
      </c>
      <c r="K7" t="s">
        <v>59</v>
      </c>
    </row>
    <row r="8" spans="1:22" ht="15.75" thickBot="1" x14ac:dyDescent="0.3">
      <c r="A8" s="1"/>
      <c r="B8" s="1"/>
      <c r="C8" s="1"/>
      <c r="D8" s="1"/>
      <c r="E8" s="1"/>
      <c r="F8" s="1"/>
      <c r="G8" s="1"/>
    </row>
    <row r="9" spans="1:22" ht="28.5" customHeight="1" x14ac:dyDescent="0.25">
      <c r="A9" s="9" t="s">
        <v>8</v>
      </c>
      <c r="B9" s="93" t="str">
        <f>IF(OR(A4=""),"",A4)</f>
        <v>Voiture unetelle</v>
      </c>
      <c r="C9" s="94"/>
      <c r="D9" s="95"/>
      <c r="E9" s="101" t="s">
        <v>9</v>
      </c>
      <c r="F9" s="102"/>
      <c r="G9" s="53">
        <f>IF(C4,EDATE(B4,C4),"")</f>
        <v>45983</v>
      </c>
      <c r="H9" s="54" t="s">
        <v>33</v>
      </c>
      <c r="I9" s="76">
        <f>G9-B4</f>
        <v>1096</v>
      </c>
      <c r="J9" s="56"/>
      <c r="K9" s="56"/>
      <c r="L9" s="56"/>
      <c r="M9" s="56"/>
    </row>
    <row r="10" spans="1:22" ht="20.25" customHeight="1" x14ac:dyDescent="0.25">
      <c r="A10" s="10"/>
      <c r="B10" s="1"/>
      <c r="C10" s="1"/>
      <c r="D10" s="1"/>
      <c r="E10" s="1"/>
      <c r="F10" s="1"/>
      <c r="H10" s="75" t="s">
        <v>31</v>
      </c>
      <c r="I10" s="77">
        <f>G4/I9</f>
        <v>6.4187956204379564</v>
      </c>
      <c r="J10" s="56"/>
      <c r="K10" s="70"/>
      <c r="L10" s="61" t="s">
        <v>34</v>
      </c>
      <c r="M10" s="56"/>
      <c r="N10" s="73">
        <f>SUM(N12:N15)</f>
        <v>1</v>
      </c>
    </row>
    <row r="11" spans="1:22" ht="43.5" customHeight="1" thickBot="1" x14ac:dyDescent="0.3">
      <c r="A11" s="11" t="s">
        <v>10</v>
      </c>
      <c r="B11" s="12" t="s">
        <v>11</v>
      </c>
      <c r="C11" s="57" t="s">
        <v>27</v>
      </c>
      <c r="D11" s="13" t="s">
        <v>12</v>
      </c>
      <c r="E11" s="13" t="s">
        <v>13</v>
      </c>
      <c r="F11" s="14" t="s">
        <v>14</v>
      </c>
      <c r="H11" s="62" t="s">
        <v>35</v>
      </c>
      <c r="I11" s="64" t="s">
        <v>36</v>
      </c>
      <c r="J11" s="66" t="s">
        <v>39</v>
      </c>
      <c r="K11" s="67" t="s">
        <v>40</v>
      </c>
      <c r="L11" s="65" t="s">
        <v>38</v>
      </c>
      <c r="M11" s="63" t="s">
        <v>37</v>
      </c>
      <c r="N11" s="71" t="s">
        <v>50</v>
      </c>
      <c r="O11" s="74">
        <v>1</v>
      </c>
      <c r="P11" s="74">
        <v>2</v>
      </c>
      <c r="Q11" s="74">
        <v>3</v>
      </c>
      <c r="R11" s="74">
        <v>4</v>
      </c>
      <c r="S11" s="74">
        <v>5</v>
      </c>
      <c r="T11" s="74">
        <v>6</v>
      </c>
      <c r="U11" s="74">
        <v>7</v>
      </c>
      <c r="V11" s="74">
        <v>8</v>
      </c>
    </row>
    <row r="12" spans="1:22" ht="15.75" thickBot="1" x14ac:dyDescent="0.3">
      <c r="A12" s="15" t="s">
        <v>15</v>
      </c>
      <c r="B12" s="83">
        <f>HLOOKUP(N$10,$O$11:$V$15,2)</f>
        <v>586.25</v>
      </c>
      <c r="C12" s="17"/>
      <c r="D12" s="17"/>
      <c r="E12" s="18" t="str">
        <f>IF(D12,I10*H12,"")</f>
        <v/>
      </c>
      <c r="F12" s="19" t="str">
        <f>IF(D12,E12*21%,"")</f>
        <v/>
      </c>
      <c r="H12" s="78">
        <f>IF(D12&lt;&gt;"",1+G$9-D12,0)</f>
        <v>0</v>
      </c>
      <c r="I12" s="60">
        <f>IF(D12&lt;&gt;"",1+D12-DATE('Année comptable'!A$1,1,1),0)</f>
        <v>0</v>
      </c>
      <c r="J12" s="60">
        <f>IF(D12&lt;&gt;"",1+DATE('Année comptable'!A$1,3,31)-D12,0)</f>
        <v>0</v>
      </c>
      <c r="K12" s="60">
        <f>IF(C12&lt;&gt;"",1+C12-DATE('Année comptable'!A$1,1,1),0)</f>
        <v>0</v>
      </c>
      <c r="L12" s="60">
        <f>IF(C12&lt;&gt;"",1+DATE('Année comptable'!A$1,3,31)-C12,0)</f>
        <v>0</v>
      </c>
      <c r="M12" s="60">
        <f>IF(AND(C12&lt;&gt;"",D12&lt;&gt;""),1+D12-C12,0)</f>
        <v>0</v>
      </c>
      <c r="N12" s="72">
        <f>IF(SUM(K12:K15)=0,IF(SUM(I12:I15)=0,1,IF(SUM(J12:J15)=1,2,3)),0)</f>
        <v>1</v>
      </c>
      <c r="O12" s="79">
        <f t="shared" ref="O12:O15" si="1">G$4/C$4*3</f>
        <v>586.25</v>
      </c>
      <c r="P12" s="79">
        <f>IF(SUM(I12:I$15)&gt;0,G$4/C$4*3,0)</f>
        <v>0</v>
      </c>
      <c r="Q12" s="79">
        <f>IF(AND(SUM(I12:I$15)&gt;0,I12=0),G$4/C$4*3,I$10*I12)</f>
        <v>0</v>
      </c>
      <c r="R12" s="79">
        <f>IF(K12=1,G$4/C$4*3,L12*I$10)</f>
        <v>0</v>
      </c>
      <c r="S12" s="79">
        <f>IF(K12=1,G$4/C$4*3,M12*I$10)</f>
        <v>0</v>
      </c>
      <c r="T12" s="79">
        <f>M12*I$10</f>
        <v>0</v>
      </c>
      <c r="U12" s="79">
        <f>IF(L12=0,0,IF(K12=1,G$4/C$4*3,L12*I$10))</f>
        <v>0</v>
      </c>
      <c r="V12" s="80">
        <f>IF(L12=0,0,IF(K12=1,G$4/C$4*3,L12*I$10))</f>
        <v>0</v>
      </c>
    </row>
    <row r="13" spans="1:22" ht="15.75" thickBot="1" x14ac:dyDescent="0.3">
      <c r="A13" s="15" t="s">
        <v>16</v>
      </c>
      <c r="B13" s="83">
        <f>HLOOKUP(N$10,$O$11:$V$15,3)</f>
        <v>586.25</v>
      </c>
      <c r="C13" s="17"/>
      <c r="D13" s="17"/>
      <c r="E13" s="18" t="str">
        <f>IF(D13,I10*H13,"")</f>
        <v/>
      </c>
      <c r="F13" s="19" t="str">
        <f t="shared" ref="F13:F15" si="2">IF(D13,E13*21%,"")</f>
        <v/>
      </c>
      <c r="H13" s="78">
        <f>IF(D13&lt;&gt;"",1+G$9-D13,0)</f>
        <v>0</v>
      </c>
      <c r="I13" s="60">
        <f>IF(D13&lt;&gt;"",1+D13-DATE('Année comptable'!A$1,4,1),0)</f>
        <v>0</v>
      </c>
      <c r="J13" s="60">
        <f>IF(D13&lt;&gt;"",1+DATE('Année comptable'!A$1,6,30)-D13,0)</f>
        <v>0</v>
      </c>
      <c r="K13" s="60">
        <f>IF(C13&lt;&gt;"",1+C13-DATE('Année comptable'!A$1,4,1),0)</f>
        <v>0</v>
      </c>
      <c r="L13" s="60">
        <f>IF(C13&lt;&gt;"",1+DATE('Année comptable'!A$1,6,30)-C13,0)</f>
        <v>0</v>
      </c>
      <c r="M13" s="60">
        <f>IF(AND(C13&lt;&gt;"",D13&lt;&gt;""),1+D13-C13,0)</f>
        <v>0</v>
      </c>
      <c r="N13" s="72">
        <f>IF(AND(SUM(K12:K15)&gt;0,SUM(I12:I15)=0),4,0)</f>
        <v>0</v>
      </c>
      <c r="O13" s="79">
        <f t="shared" si="1"/>
        <v>586.25</v>
      </c>
      <c r="P13" s="79">
        <f>IF(SUM(I13:I$15)&gt;0,G$4/C$4*3,0)</f>
        <v>0</v>
      </c>
      <c r="Q13" s="79">
        <f>IF(AND(SUM(I13:I$15)&gt;0,I13=0),G$4/C$4*3,I$10*I13)</f>
        <v>0</v>
      </c>
      <c r="R13" s="79">
        <f>IF(OR(K13=1,SUM(L$12:L12)&gt;1),G$4/C$4*3,I$10*L13)</f>
        <v>0</v>
      </c>
      <c r="S13" s="79">
        <f t="shared" ref="S13:S15" si="3">IF(K13=1,G$4/C$4*3,M13*I$10)</f>
        <v>0</v>
      </c>
      <c r="T13" s="79">
        <f t="shared" ref="T13:T15" si="4">M13*I$10</f>
        <v>0</v>
      </c>
      <c r="U13" s="79">
        <f>IF(OR(SUM(L$12:L13)=0,SUM(J13:J$15)=0),0,IF(K13&gt;1,L13*I$10,G$4/C$4*3))</f>
        <v>0</v>
      </c>
      <c r="V13" s="80">
        <f>IF(OR(SUM(L$12:L13)=0,SUM(J13:J$15)=0),0,IF(J13&gt;1,I13*I$10,G$4/C$4*3))</f>
        <v>0</v>
      </c>
    </row>
    <row r="14" spans="1:22" ht="15.75" thickBot="1" x14ac:dyDescent="0.3">
      <c r="A14" s="15" t="s">
        <v>17</v>
      </c>
      <c r="B14" s="83">
        <f>HLOOKUP(N$10,$O$11:$V$15,4)</f>
        <v>586.25</v>
      </c>
      <c r="C14" s="17"/>
      <c r="D14" s="17"/>
      <c r="E14" s="18" t="str">
        <f>IF(D14,I10*H14,"")</f>
        <v/>
      </c>
      <c r="F14" s="19" t="str">
        <f t="shared" si="2"/>
        <v/>
      </c>
      <c r="H14" s="78">
        <f>IF(D14&lt;&gt;"",1+G$9-D14,0)</f>
        <v>0</v>
      </c>
      <c r="I14" s="60">
        <f>IF(D14&lt;&gt;"",1+D14-DATE('Année comptable'!A$1,7,1),0)</f>
        <v>0</v>
      </c>
      <c r="J14" s="60">
        <f>IF(D14&lt;&gt;"",1+DATE('Année comptable'!A$1,9,30)-D14,0)</f>
        <v>0</v>
      </c>
      <c r="K14" s="60">
        <f>IF(C14&lt;&gt;"",1+C14-DATE('Année comptable'!A$1,7,1),0)</f>
        <v>0</v>
      </c>
      <c r="L14" s="60">
        <f>IF(C14&lt;&gt;"",1+DATE('Année comptable'!A$1,9,30)-C14,0)</f>
        <v>0</v>
      </c>
      <c r="M14" s="60">
        <f>IF(AND(C14&lt;&gt;"",D14&lt;&gt;""),1+D14-C14,0)</f>
        <v>0</v>
      </c>
      <c r="N14" s="72">
        <f>IF(AND(SUM(K12:K15)&gt;0,SUM(M12:M15)&gt;0),IF(SUM(J12:J15)=1,5,6),0)</f>
        <v>0</v>
      </c>
      <c r="O14" s="79">
        <f t="shared" si="1"/>
        <v>586.25</v>
      </c>
      <c r="P14" s="79">
        <f>IF(SUM(I14:I$15)&gt;0,G$4/C$4*3,0)</f>
        <v>0</v>
      </c>
      <c r="Q14" s="79">
        <f>IF(AND(SUM(I14:I$15)&gt;0,I14=0),G$4/C$4*3,I$10*I14)</f>
        <v>0</v>
      </c>
      <c r="R14" s="79">
        <f>IF(OR(K14=1,SUM(L$12:L13)&gt;1),G$4/C$4*3,I$10*L14)</f>
        <v>0</v>
      </c>
      <c r="S14" s="79">
        <f t="shared" si="3"/>
        <v>0</v>
      </c>
      <c r="T14" s="79">
        <f t="shared" si="4"/>
        <v>0</v>
      </c>
      <c r="U14" s="79">
        <f>IF(OR(SUM(L$12:L14)=0,SUM(J14:J$15)=0),0,IF(K14&gt;1,L14*I$10,G$4/C$4*3))</f>
        <v>0</v>
      </c>
      <c r="V14" s="80">
        <f>IF(OR(SUM(L$12:L14)=0,SUM(J14:J$15)=0),0,IF(J14&gt;1,I14*I$10,G$4/C$4*3))</f>
        <v>0</v>
      </c>
    </row>
    <row r="15" spans="1:22" ht="15.75" thickBot="1" x14ac:dyDescent="0.3">
      <c r="A15" s="15" t="s">
        <v>18</v>
      </c>
      <c r="B15" s="83">
        <f>HLOOKUP(N$10,$O$11:$V$15,5)</f>
        <v>586.25</v>
      </c>
      <c r="C15" s="17"/>
      <c r="D15" s="17"/>
      <c r="E15" s="18" t="str">
        <f>IF(D15,I10*H15,"")</f>
        <v/>
      </c>
      <c r="F15" s="19" t="str">
        <f t="shared" si="2"/>
        <v/>
      </c>
      <c r="H15" s="78">
        <f>IF(D15&lt;&gt;"",1+G$9-D15,0)</f>
        <v>0</v>
      </c>
      <c r="I15" s="60">
        <f>IF(D15&lt;&gt;"",1+D15-DATE('Année comptable'!A$1,10,1),0)</f>
        <v>0</v>
      </c>
      <c r="J15" s="60">
        <f>IF(D15&lt;&gt;"",1+DATE('Année comptable'!A$1,12,31)-D15,0)</f>
        <v>0</v>
      </c>
      <c r="K15" s="60">
        <f>IF(C15&lt;&gt;"",1+C15-DATE('Année comptable'!A$1,10,1),0)</f>
        <v>0</v>
      </c>
      <c r="L15" s="60">
        <f>IF(C15&lt;&gt;"",1+DATE('Année comptable'!A$1,12,31)-C15,0)</f>
        <v>0</v>
      </c>
      <c r="M15" s="60">
        <f>IF(AND(C15&lt;&gt;"",D15&lt;&gt;""),1+D15-C15,0)</f>
        <v>0</v>
      </c>
      <c r="N15" s="72">
        <f>IF(AND(SUM(K12:K15)&gt;0,SUM(M12:M15)=0,SUM(I12:I15)&gt;0),IF(SUM(J12:J15)=1,7,8),0)</f>
        <v>0</v>
      </c>
      <c r="O15" s="79">
        <f t="shared" si="1"/>
        <v>586.25</v>
      </c>
      <c r="P15" s="79">
        <f>IF(SUM(I15:I$15)&gt;0,G$4/C$4*3,0)</f>
        <v>0</v>
      </c>
      <c r="Q15" s="79">
        <f>IF(AND(SUM(I15:I$15)&gt;0,I15=0),G$4/C$4*3,I$10*I15)</f>
        <v>0</v>
      </c>
      <c r="R15" s="79">
        <f>IF(OR(K15=1,SUM(L$12:L14)&gt;1),G$4/C$4*3,I$10*L15)</f>
        <v>0</v>
      </c>
      <c r="S15" s="79">
        <f t="shared" si="3"/>
        <v>0</v>
      </c>
      <c r="T15" s="79">
        <f t="shared" si="4"/>
        <v>0</v>
      </c>
      <c r="U15" s="79">
        <f>IF(OR(SUM(L$12:L15)=0,SUM(J15:J$15)=0),0,IF(K15&gt;1,L15*I$10,G$4/C$4*3))</f>
        <v>0</v>
      </c>
      <c r="V15" s="80">
        <f>IF(OR(SUM(L$12:L15)=0,SUM(J15:J$15)=0),0,IF(J15&gt;1,I15*I$10,G$4/C$4*3))</f>
        <v>0</v>
      </c>
    </row>
    <row r="16" spans="1:22" x14ac:dyDescent="0.25">
      <c r="A16" s="10"/>
      <c r="G16" s="31"/>
      <c r="H16" s="33"/>
      <c r="I16" s="33"/>
      <c r="J16" s="33"/>
      <c r="K16" s="33"/>
      <c r="M16" s="33"/>
    </row>
    <row r="17" spans="1:22" ht="15.75" thickBot="1" x14ac:dyDescent="0.3">
      <c r="A17" s="21" t="s">
        <v>23</v>
      </c>
      <c r="B17" s="55">
        <f>SUM(B12:B15)</f>
        <v>2345</v>
      </c>
      <c r="C17" s="23"/>
      <c r="D17" s="24"/>
      <c r="E17" s="24"/>
      <c r="F17" s="25"/>
      <c r="G17" s="26"/>
      <c r="H17" s="33"/>
      <c r="I17" s="33"/>
      <c r="J17" s="33"/>
      <c r="K17" s="33"/>
      <c r="L17" s="33"/>
      <c r="M17" s="33"/>
    </row>
    <row r="18" spans="1:22" ht="15.75" thickBot="1" x14ac:dyDescent="0.3">
      <c r="A18" s="1"/>
      <c r="B18" s="1"/>
      <c r="C18" s="1"/>
      <c r="D18" s="1"/>
      <c r="E18" s="1"/>
      <c r="F18" s="1"/>
      <c r="G18" s="1"/>
      <c r="H18" s="33"/>
      <c r="I18" s="33"/>
      <c r="J18" s="33"/>
      <c r="K18" s="33"/>
      <c r="L18" s="33"/>
      <c r="M18" s="33"/>
    </row>
    <row r="19" spans="1:22" ht="25.5" x14ac:dyDescent="0.25">
      <c r="A19" s="9" t="s">
        <v>19</v>
      </c>
      <c r="B19" s="93" t="str">
        <f>IF(OR(A5=""),"",A5)</f>
        <v>Exemple erreur 1</v>
      </c>
      <c r="C19" s="94"/>
      <c r="D19" s="95"/>
      <c r="E19" s="96" t="s">
        <v>9</v>
      </c>
      <c r="F19" s="97"/>
      <c r="G19" s="38">
        <f>IF(C5,EDATE(B5,C5),"")</f>
        <v>45495</v>
      </c>
      <c r="H19" s="54" t="s">
        <v>33</v>
      </c>
      <c r="I19" s="76">
        <f>G19-B5</f>
        <v>912</v>
      </c>
      <c r="J19" s="56"/>
      <c r="K19" s="56"/>
      <c r="L19" s="56"/>
      <c r="M19" s="56"/>
    </row>
    <row r="20" spans="1:22" x14ac:dyDescent="0.25">
      <c r="A20" s="10"/>
      <c r="B20" s="1"/>
      <c r="C20" s="1"/>
      <c r="D20" s="1"/>
      <c r="E20" s="1"/>
      <c r="F20" s="1"/>
      <c r="G20" s="31"/>
      <c r="H20" s="75" t="s">
        <v>31</v>
      </c>
      <c r="I20" s="77">
        <f>G5/I19</f>
        <v>7.7138157894736841</v>
      </c>
      <c r="J20" s="56"/>
      <c r="K20" s="70"/>
      <c r="L20" s="61"/>
      <c r="M20" s="56"/>
      <c r="N20" s="73">
        <f>SUM(N22:N25)</f>
        <v>6</v>
      </c>
    </row>
    <row r="21" spans="1:22" ht="60.75" thickBot="1" x14ac:dyDescent="0.3">
      <c r="A21" s="11" t="s">
        <v>10</v>
      </c>
      <c r="B21" s="12" t="s">
        <v>11</v>
      </c>
      <c r="C21" s="13" t="s">
        <v>27</v>
      </c>
      <c r="D21" s="13" t="s">
        <v>12</v>
      </c>
      <c r="E21" s="13" t="s">
        <v>13</v>
      </c>
      <c r="F21" s="14" t="s">
        <v>14</v>
      </c>
      <c r="G21" s="31"/>
      <c r="H21" s="62" t="s">
        <v>35</v>
      </c>
      <c r="I21" s="64" t="s">
        <v>36</v>
      </c>
      <c r="J21" s="66" t="s">
        <v>39</v>
      </c>
      <c r="K21" s="67" t="s">
        <v>40</v>
      </c>
      <c r="L21" s="65" t="s">
        <v>38</v>
      </c>
      <c r="M21" s="63" t="s">
        <v>37</v>
      </c>
      <c r="N21" s="71" t="s">
        <v>50</v>
      </c>
      <c r="O21" s="74">
        <v>1</v>
      </c>
      <c r="P21" s="74">
        <v>2</v>
      </c>
      <c r="Q21" s="74">
        <v>3</v>
      </c>
      <c r="R21" s="74">
        <v>4</v>
      </c>
      <c r="S21" s="74">
        <v>5</v>
      </c>
      <c r="T21" s="74">
        <v>6</v>
      </c>
      <c r="U21" s="74">
        <v>7</v>
      </c>
      <c r="V21" s="74">
        <v>8</v>
      </c>
    </row>
    <row r="22" spans="1:22" ht="15.75" thickBot="1" x14ac:dyDescent="0.3">
      <c r="A22" s="15" t="s">
        <v>15</v>
      </c>
      <c r="B22" s="83">
        <f>HLOOKUP(N$20,$O$21:$V$25,2)</f>
        <v>0</v>
      </c>
      <c r="C22" s="17"/>
      <c r="D22" s="17"/>
      <c r="E22" s="18" t="str">
        <f>IF(D22,I20*H22,"")</f>
        <v/>
      </c>
      <c r="F22" s="19" t="str">
        <f>IF(D22,E22*21%,"")</f>
        <v/>
      </c>
      <c r="G22" s="31"/>
      <c r="H22" s="78">
        <f>IF(D22&lt;&gt;"",1+G$19-D22,0)</f>
        <v>0</v>
      </c>
      <c r="I22" s="60">
        <f>IF(D22&lt;&gt;"",1+D22-DATE('Année comptable'!A$1,1,1),0)</f>
        <v>0</v>
      </c>
      <c r="J22" s="60">
        <f>IF(D22&lt;&gt;"",1+DATE('Année comptable'!A$1,3,31)-D22,0)</f>
        <v>0</v>
      </c>
      <c r="K22" s="60">
        <f>IF(C22&lt;&gt;"",1+C22-DATE('Année comptable'!A$1,1,1),0)</f>
        <v>0</v>
      </c>
      <c r="L22" s="60">
        <f>IF(C22&lt;&gt;"",1+DATE('Année comptable'!A$1,3,31)-C22,0)</f>
        <v>0</v>
      </c>
      <c r="M22" s="60">
        <f>IF(AND(C22&lt;&gt;"",D22&lt;&gt;""),1+D22-C22,0)</f>
        <v>0</v>
      </c>
      <c r="N22" s="72">
        <f>IF(SUM(K22:K25)=0,IF(SUM(I22:I25)=0,1,IF(SUM(J22:J25)=1,2,3)),0)</f>
        <v>0</v>
      </c>
      <c r="O22" s="79">
        <f>G$5/C$5*3</f>
        <v>703.5</v>
      </c>
      <c r="P22" s="79">
        <f>IF(SUM(I22:I$25)&gt;0,G$5/C$5*3,0)</f>
        <v>703.5</v>
      </c>
      <c r="Q22" s="79">
        <f>IF(AND(SUM(I22:I$25)&gt;0,I22=0),G$5/C$5*3,I$20*I22)</f>
        <v>703.5</v>
      </c>
      <c r="R22" s="79">
        <f>IF(K22=1,G$5/C$5*3,L22*I$20)</f>
        <v>0</v>
      </c>
      <c r="S22" s="79">
        <f>IF(K22=1,G$5/C$5*3,M22*I$20)</f>
        <v>0</v>
      </c>
      <c r="T22" s="79">
        <f>M22*I$20</f>
        <v>0</v>
      </c>
      <c r="U22" s="79">
        <f>IF(L22=0,0,IF(K22=1,G$5/C$5*3,L22*I$20))</f>
        <v>0</v>
      </c>
      <c r="V22" s="80">
        <f>IF(L22=0,0,IF(K22=1,G$5/C$5*3,L22*I$20))</f>
        <v>0</v>
      </c>
    </row>
    <row r="23" spans="1:22" ht="15.75" thickBot="1" x14ac:dyDescent="0.3">
      <c r="A23" s="15" t="s">
        <v>16</v>
      </c>
      <c r="B23" s="83">
        <f>HLOOKUP(N$20,$O$21:$V$25,3)</f>
        <v>462.82894736842104</v>
      </c>
      <c r="C23" s="17">
        <v>45394</v>
      </c>
      <c r="D23" s="17">
        <v>45453</v>
      </c>
      <c r="E23" s="18">
        <f>IF(D23,I20*H23,"")</f>
        <v>331.69407894736844</v>
      </c>
      <c r="F23" s="19">
        <f t="shared" ref="F23:F25" si="5">IF(D23,E23*21%,"")</f>
        <v>69.655756578947376</v>
      </c>
      <c r="G23" s="31"/>
      <c r="H23" s="78">
        <f t="shared" ref="H23:H25" si="6">IF(D23&lt;&gt;"",1+G$19-D23,0)</f>
        <v>43</v>
      </c>
      <c r="I23" s="60">
        <f>IF(D23&lt;&gt;"",1+D23-DATE('Année comptable'!A$1,4,1),0)</f>
        <v>71</v>
      </c>
      <c r="J23" s="60">
        <f>IF(D23&lt;&gt;"",1+DATE('Année comptable'!A$1,6,30)-D23,0)</f>
        <v>21</v>
      </c>
      <c r="K23" s="60">
        <f>IF(C23&lt;&gt;"",1+C23-DATE('Année comptable'!A$1,4,1),0)</f>
        <v>12</v>
      </c>
      <c r="L23" s="60">
        <f>IF(C23&lt;&gt;"",1+DATE('Année comptable'!A$1,6,30)-C23,0)</f>
        <v>80</v>
      </c>
      <c r="M23" s="60">
        <f>IF(AND(C23&lt;&gt;"",D23&lt;&gt;""),1+D23-C23,0)</f>
        <v>60</v>
      </c>
      <c r="N23" s="72">
        <f>IF(AND(SUM(K22:K25)&gt;0,SUM(I22:I25)=0),4,0)</f>
        <v>0</v>
      </c>
      <c r="O23" s="79">
        <f>G$5/C$5*3</f>
        <v>703.5</v>
      </c>
      <c r="P23" s="79">
        <f>IF(SUM(I23:I$25)&gt;0,G$5/C$5*3,0)</f>
        <v>703.5</v>
      </c>
      <c r="Q23" s="79">
        <f>IF(AND(SUM(I23:I$25)&gt;0,I23=0),G$5/C$5*3,I$20*I23)</f>
        <v>547.68092105263156</v>
      </c>
      <c r="R23" s="79">
        <f>IF(OR(K23=1,SUM(L$22:L22)&gt;1),G$5/C$5*3,I$20*L23)</f>
        <v>617.10526315789468</v>
      </c>
      <c r="S23" s="79">
        <f>IF(K23=1,G$5/C$5*3,M23*I$20)</f>
        <v>462.82894736842104</v>
      </c>
      <c r="T23" s="79">
        <f>M23*I$20</f>
        <v>462.82894736842104</v>
      </c>
      <c r="U23" s="79">
        <f>IF(OR(SUM(L$22:L23)=0,SUM(J23:J$25)=0),0,IF(K23&gt;1,L23*I$20,G$5/C$5*3))</f>
        <v>617.10526315789468</v>
      </c>
      <c r="V23" s="80">
        <f>IF(OR(SUM(L$22:L23)=0,SUM(J23:J$25)=0),0,IF(J23&gt;1,I23*I$20,G$5/C$5*3))</f>
        <v>547.68092105263156</v>
      </c>
    </row>
    <row r="24" spans="1:22" ht="15.75" thickBot="1" x14ac:dyDescent="0.3">
      <c r="A24" s="15" t="s">
        <v>17</v>
      </c>
      <c r="B24" s="83">
        <f>HLOOKUP(N$20,$O$21:$V$25,4)</f>
        <v>0</v>
      </c>
      <c r="C24" s="17"/>
      <c r="D24" s="17"/>
      <c r="E24" s="18" t="str">
        <f>IF(D24,I20*H24,"")</f>
        <v/>
      </c>
      <c r="F24" s="19" t="str">
        <f t="shared" si="5"/>
        <v/>
      </c>
      <c r="G24" s="31"/>
      <c r="H24" s="78">
        <f t="shared" si="6"/>
        <v>0</v>
      </c>
      <c r="I24" s="60">
        <f>IF(D24&lt;&gt;"",1+D24-DATE('Année comptable'!A$1,7,1),0)</f>
        <v>0</v>
      </c>
      <c r="J24" s="60">
        <f>IF(D24&lt;&gt;"",1+DATE('Année comptable'!A$1,9,30)-D24,0)</f>
        <v>0</v>
      </c>
      <c r="K24" s="60">
        <f>IF(C24&lt;&gt;"",1+C24-DATE('Année comptable'!A$1,7,1),0)</f>
        <v>0</v>
      </c>
      <c r="L24" s="60">
        <f>IF(C24&lt;&gt;"",1+DATE('Année comptable'!A$1,9,30)-C24,0)</f>
        <v>0</v>
      </c>
      <c r="M24" s="60">
        <f>IF(AND(C24&lt;&gt;"",D24&lt;&gt;""),1+D24-C24,0)</f>
        <v>0</v>
      </c>
      <c r="N24" s="72">
        <f>IF(AND(SUM(K22:K25)&gt;0,SUM(M22:M25)&gt;0),IF(SUM(J22:J25)=1,5,6),0)</f>
        <v>6</v>
      </c>
      <c r="O24" s="79">
        <f>G$5/C$5*3</f>
        <v>703.5</v>
      </c>
      <c r="P24" s="79">
        <f>IF(SUM(I24:I$25)&gt;0,G$5/C$5*3,0)</f>
        <v>0</v>
      </c>
      <c r="Q24" s="79">
        <f>IF(AND(SUM(I24:I$25)&gt;0,I24=0),G$5/C$5*3,I$20*I24)</f>
        <v>0</v>
      </c>
      <c r="R24" s="79">
        <f>IF(OR(K24=1,SUM(L$22:L23)&gt;1),G$5/C$5*3,I$20*L24)</f>
        <v>703.5</v>
      </c>
      <c r="S24" s="79">
        <f>IF(K24=1,G$5/C$5*3,M24*I$20)</f>
        <v>0</v>
      </c>
      <c r="T24" s="79">
        <f>M24*I$20</f>
        <v>0</v>
      </c>
      <c r="U24" s="79">
        <f>IF(OR(SUM(L$22:L24)=0,SUM(J24:J$25)=0),0,IF(K24&gt;1,L24*I$20,G$5/C$5*3))</f>
        <v>0</v>
      </c>
      <c r="V24" s="80">
        <f>IF(OR(SUM(L$22:L24)=0,SUM(J24:J$25)=0),0,IF(J24&gt;1,I24*I$20,G$5/C$5*3))</f>
        <v>0</v>
      </c>
    </row>
    <row r="25" spans="1:22" ht="15.75" thickBot="1" x14ac:dyDescent="0.3">
      <c r="A25" s="15" t="s">
        <v>18</v>
      </c>
      <c r="B25" s="83">
        <f>HLOOKUP(N$20,$O$21:$V$25,5)</f>
        <v>0</v>
      </c>
      <c r="C25" s="17"/>
      <c r="D25" s="17"/>
      <c r="E25" s="18" t="str">
        <f>IF(D25,I20*H25,"")</f>
        <v/>
      </c>
      <c r="F25" s="19" t="str">
        <f t="shared" si="5"/>
        <v/>
      </c>
      <c r="G25" s="31"/>
      <c r="H25" s="78">
        <f t="shared" si="6"/>
        <v>0</v>
      </c>
      <c r="I25" s="60">
        <f>IF(D25&lt;&gt;"",1+D25-DATE('Année comptable'!A$1,10,1),0)</f>
        <v>0</v>
      </c>
      <c r="J25" s="60">
        <f>IF(D25&lt;&gt;"",1+DATE('Année comptable'!A$1,12,31)-D25,0)</f>
        <v>0</v>
      </c>
      <c r="K25" s="60">
        <f>IF(C25&lt;&gt;"",1+C25-DATE('Année comptable'!A$1,10,1),0)</f>
        <v>0</v>
      </c>
      <c r="L25" s="60">
        <f>IF(C25&lt;&gt;"",1+DATE('Année comptable'!A$1,12,31)-C25,0)</f>
        <v>0</v>
      </c>
      <c r="M25" s="60">
        <f>IF(AND(C25&lt;&gt;"",D25&lt;&gt;""),1+D25-C25,0)</f>
        <v>0</v>
      </c>
      <c r="N25" s="72">
        <f>IF(AND(SUM(K22:K25)&gt;0,SUM(M22:M25)=0,SUM(I22:I25)&gt;0),IF(SUM(J22:J25)=1,7,8),0)</f>
        <v>0</v>
      </c>
      <c r="O25" s="79">
        <f>G$5/C$5*3</f>
        <v>703.5</v>
      </c>
      <c r="P25" s="79">
        <f>IF(SUM(I$25:I25)&gt;0,G$5/C$5*3,0)</f>
        <v>0</v>
      </c>
      <c r="Q25" s="79">
        <f>IF(AND(SUM(I$25:I25)&gt;0,I25=0),G$5/C$5*3,I$20*I25)</f>
        <v>0</v>
      </c>
      <c r="R25" s="79">
        <f>IF(OR(K25=1,SUM(L$22:L24)&gt;1),G$5/C$5*3,I$20*L25)</f>
        <v>703.5</v>
      </c>
      <c r="S25" s="79">
        <f>IF(K25=1,G$5/C$5*3,M25*I$20)</f>
        <v>0</v>
      </c>
      <c r="T25" s="79">
        <f>M25*I$20</f>
        <v>0</v>
      </c>
      <c r="U25" s="79">
        <f>IF(OR(SUM(L$22:L25)=0,SUM(J$25:J25)=0),0,IF(K25&gt;1,L25*I$20,G$5/C$5*3))</f>
        <v>0</v>
      </c>
      <c r="V25" s="80">
        <f>IF(OR(SUM(L$22:L25)=0,SUM(J$25:J25)=0),0,IF(J25&gt;1,I25*I$20,G$5/C$5*3))</f>
        <v>0</v>
      </c>
    </row>
    <row r="26" spans="1:22" x14ac:dyDescent="0.25">
      <c r="A26" s="10"/>
      <c r="G26" s="32"/>
      <c r="H26" s="33"/>
      <c r="I26" s="33"/>
      <c r="J26" s="33"/>
      <c r="K26" s="33"/>
      <c r="L26" s="33"/>
      <c r="M26" s="33"/>
    </row>
    <row r="27" spans="1:22" ht="15.75" thickBot="1" x14ac:dyDescent="0.3">
      <c r="A27" s="21" t="s">
        <v>23</v>
      </c>
      <c r="B27" s="55">
        <f>SUM(B22:B25)</f>
        <v>462.82894736842104</v>
      </c>
      <c r="C27" s="23"/>
      <c r="D27" s="24"/>
      <c r="E27" s="25"/>
      <c r="F27" s="28"/>
      <c r="G27" s="30"/>
      <c r="H27" s="33"/>
      <c r="I27" s="33"/>
      <c r="J27" s="33"/>
      <c r="K27" s="33"/>
      <c r="L27" s="33"/>
      <c r="M27" s="33"/>
    </row>
    <row r="28" spans="1:22" ht="15.75" thickBot="1" x14ac:dyDescent="0.3">
      <c r="A28" s="1"/>
      <c r="B28" s="1"/>
      <c r="C28" s="1"/>
      <c r="D28" s="1"/>
      <c r="E28" s="1"/>
      <c r="F28" s="1"/>
      <c r="G28" s="29"/>
      <c r="H28" s="33"/>
      <c r="I28" s="33"/>
      <c r="J28" s="33"/>
      <c r="K28" s="33"/>
      <c r="L28" s="33"/>
      <c r="M28" s="33"/>
    </row>
    <row r="29" spans="1:22" x14ac:dyDescent="0.25">
      <c r="A29" s="9" t="s">
        <v>20</v>
      </c>
      <c r="B29" s="93" t="str">
        <f>IF(OR(A6=""),"",A6)</f>
        <v>Exemple erreur 2</v>
      </c>
      <c r="C29" s="94"/>
      <c r="D29" s="95"/>
      <c r="E29" s="96" t="s">
        <v>9</v>
      </c>
      <c r="F29" s="97"/>
      <c r="G29" s="38">
        <f>IF(C6,EDATE(B6,C6),"")</f>
        <v>46393</v>
      </c>
      <c r="H29" s="54"/>
      <c r="I29" s="76"/>
      <c r="J29" s="56"/>
      <c r="K29" s="56"/>
      <c r="L29" s="56"/>
      <c r="M29" s="56"/>
    </row>
    <row r="30" spans="1:22" x14ac:dyDescent="0.25">
      <c r="A30" s="10"/>
      <c r="B30" s="1"/>
      <c r="C30" s="1"/>
      <c r="D30" s="1"/>
      <c r="E30" s="1"/>
      <c r="F30" s="1"/>
      <c r="G30" s="31"/>
      <c r="H30" s="75"/>
      <c r="I30" s="77"/>
      <c r="J30" s="56"/>
      <c r="K30" s="70"/>
      <c r="L30" s="61"/>
      <c r="M30" s="56"/>
      <c r="N30" s="73"/>
    </row>
    <row r="31" spans="1:22" ht="21.75" thickBot="1" x14ac:dyDescent="0.3">
      <c r="A31" s="11" t="s">
        <v>10</v>
      </c>
      <c r="B31" s="12" t="s">
        <v>11</v>
      </c>
      <c r="C31" s="13" t="s">
        <v>27</v>
      </c>
      <c r="D31" s="13" t="s">
        <v>12</v>
      </c>
      <c r="E31" s="13" t="s">
        <v>13</v>
      </c>
      <c r="F31" s="14" t="s">
        <v>14</v>
      </c>
      <c r="G31" s="31"/>
      <c r="H31" s="62"/>
      <c r="I31" s="64"/>
      <c r="J31" s="66"/>
      <c r="K31" s="67"/>
      <c r="L31" s="65"/>
      <c r="M31" s="63"/>
      <c r="N31" s="71"/>
      <c r="O31" s="74"/>
      <c r="P31" s="74"/>
      <c r="Q31" s="74"/>
      <c r="R31" s="74"/>
      <c r="S31" s="74"/>
      <c r="T31" s="74"/>
      <c r="U31" s="74"/>
      <c r="V31" s="74"/>
    </row>
    <row r="32" spans="1:22" ht="15.75" thickBot="1" x14ac:dyDescent="0.3">
      <c r="A32" s="15" t="s">
        <v>15</v>
      </c>
      <c r="B32" s="83" t="e">
        <f>HLOOKUP(N$30,$O$31:$V$35,2)</f>
        <v>#N/A</v>
      </c>
      <c r="C32" s="17"/>
      <c r="D32" s="17">
        <v>45298</v>
      </c>
      <c r="E32" s="18">
        <f>IF(D32,I30*H32,"")</f>
        <v>0</v>
      </c>
      <c r="F32" s="19">
        <f>IF(D32,E32*21%,"")</f>
        <v>0</v>
      </c>
      <c r="G32" s="31"/>
      <c r="H32" s="78"/>
      <c r="I32" s="60"/>
      <c r="J32" s="60"/>
      <c r="K32" s="60"/>
      <c r="L32" s="60"/>
      <c r="M32" s="60"/>
      <c r="N32" s="72"/>
      <c r="O32" s="79"/>
      <c r="P32" s="79"/>
      <c r="Q32" s="79"/>
      <c r="R32" s="79"/>
      <c r="S32" s="79"/>
      <c r="T32" s="79"/>
      <c r="U32" s="79"/>
      <c r="V32" s="80"/>
    </row>
    <row r="33" spans="1:22" ht="15.75" thickBot="1" x14ac:dyDescent="0.3">
      <c r="A33" s="15" t="s">
        <v>16</v>
      </c>
      <c r="B33" s="83" t="e">
        <f>HLOOKUP(N$30,$O$31:$V$35,3)</f>
        <v>#N/A</v>
      </c>
      <c r="C33" s="17"/>
      <c r="D33" s="17"/>
      <c r="E33" s="18" t="str">
        <f>IF(D33,I30*H33,"")</f>
        <v/>
      </c>
      <c r="F33" s="19" t="str">
        <f t="shared" ref="F33:F35" si="7">IF(D33,E33*21%,"")</f>
        <v/>
      </c>
      <c r="G33" s="31"/>
      <c r="H33" s="78"/>
      <c r="I33" s="60"/>
      <c r="J33" s="60"/>
      <c r="K33" s="60"/>
      <c r="L33" s="60"/>
      <c r="M33" s="60"/>
      <c r="N33" s="72"/>
      <c r="O33" s="79"/>
      <c r="P33" s="79"/>
      <c r="Q33" s="79"/>
      <c r="R33" s="79"/>
      <c r="S33" s="79"/>
      <c r="T33" s="79"/>
      <c r="U33" s="79"/>
      <c r="V33" s="80"/>
    </row>
    <row r="34" spans="1:22" ht="15.75" thickBot="1" x14ac:dyDescent="0.3">
      <c r="A34" s="15" t="s">
        <v>17</v>
      </c>
      <c r="B34" s="83" t="e">
        <f>HLOOKUP(N$30,$O$31:$V$35,4)</f>
        <v>#N/A</v>
      </c>
      <c r="C34" s="17"/>
      <c r="D34" s="17"/>
      <c r="E34" s="18" t="str">
        <f>IF(D34,I30*H34,"")</f>
        <v/>
      </c>
      <c r="F34" s="19" t="str">
        <f t="shared" si="7"/>
        <v/>
      </c>
      <c r="G34" s="31"/>
      <c r="H34" s="78"/>
      <c r="I34" s="60"/>
      <c r="J34" s="60"/>
      <c r="K34" s="60"/>
      <c r="L34" s="60"/>
      <c r="M34" s="60"/>
      <c r="N34" s="72"/>
      <c r="O34" s="79"/>
      <c r="P34" s="79"/>
      <c r="Q34" s="79"/>
      <c r="R34" s="79"/>
      <c r="S34" s="79"/>
      <c r="T34" s="79"/>
      <c r="U34" s="79"/>
      <c r="V34" s="80"/>
    </row>
    <row r="35" spans="1:22" ht="15.75" thickBot="1" x14ac:dyDescent="0.3">
      <c r="A35" s="15" t="s">
        <v>18</v>
      </c>
      <c r="B35" s="83" t="e">
        <f>HLOOKUP(N$30,$O$31:$V$35,5)</f>
        <v>#N/A</v>
      </c>
      <c r="C35" s="17"/>
      <c r="D35" s="17"/>
      <c r="E35" s="18" t="str">
        <f>IF(D35,I30*H35,"")</f>
        <v/>
      </c>
      <c r="F35" s="19" t="str">
        <f t="shared" si="7"/>
        <v/>
      </c>
      <c r="G35" s="31"/>
      <c r="H35" s="78"/>
      <c r="I35" s="60"/>
      <c r="J35" s="60"/>
      <c r="K35" s="60"/>
      <c r="L35" s="60"/>
      <c r="M35" s="60"/>
      <c r="N35" s="72"/>
      <c r="O35" s="79"/>
      <c r="P35" s="79"/>
      <c r="Q35" s="79"/>
      <c r="R35" s="79"/>
      <c r="S35" s="79"/>
      <c r="T35" s="79"/>
      <c r="U35" s="79"/>
      <c r="V35" s="80"/>
    </row>
    <row r="36" spans="1:22" x14ac:dyDescent="0.25">
      <c r="A36" s="10"/>
      <c r="G36" s="32"/>
      <c r="H36" s="33"/>
      <c r="I36" s="33"/>
      <c r="J36" s="33"/>
      <c r="K36" s="33"/>
      <c r="L36" s="33"/>
      <c r="M36" s="33"/>
    </row>
    <row r="37" spans="1:22" ht="15.75" thickBot="1" x14ac:dyDescent="0.3">
      <c r="A37" s="21" t="s">
        <v>23</v>
      </c>
      <c r="B37" s="22" t="e">
        <f>SUM(B32:B35)</f>
        <v>#N/A</v>
      </c>
      <c r="C37" s="23"/>
      <c r="D37" s="24"/>
      <c r="E37" s="25"/>
      <c r="F37" s="28"/>
      <c r="G37" s="30"/>
      <c r="H37" s="33"/>
      <c r="I37" s="33"/>
      <c r="J37" s="33"/>
      <c r="K37" s="33"/>
      <c r="L37" s="33"/>
      <c r="M37" s="33"/>
    </row>
    <row r="38" spans="1:22" ht="15.75" thickBot="1" x14ac:dyDescent="0.3">
      <c r="A38" s="1"/>
      <c r="B38" s="1"/>
      <c r="C38" s="1"/>
      <c r="D38" s="1"/>
      <c r="E38" s="1"/>
      <c r="F38" s="1"/>
      <c r="G38" s="1"/>
      <c r="H38" s="33"/>
      <c r="I38" s="33"/>
      <c r="J38" s="33"/>
      <c r="K38" s="33"/>
      <c r="L38" s="33"/>
      <c r="M38" s="33"/>
    </row>
    <row r="39" spans="1:22" x14ac:dyDescent="0.25">
      <c r="A39" s="9" t="s">
        <v>21</v>
      </c>
      <c r="B39" s="93" t="str">
        <f>IF(OR(A7=""),"",A7)</f>
        <v/>
      </c>
      <c r="C39" s="94"/>
      <c r="D39" s="95"/>
      <c r="E39" s="96" t="s">
        <v>9</v>
      </c>
      <c r="F39" s="97"/>
      <c r="G39" s="38" t="str">
        <f>IF(C7,EDATE(B7,C7),"")</f>
        <v/>
      </c>
      <c r="H39" s="54"/>
      <c r="I39" s="76"/>
      <c r="J39" s="56"/>
      <c r="K39" s="56"/>
      <c r="L39" s="56"/>
      <c r="M39" s="56"/>
    </row>
    <row r="40" spans="1:22" x14ac:dyDescent="0.25">
      <c r="A40" s="10"/>
      <c r="B40" s="1"/>
      <c r="C40" s="1"/>
      <c r="D40" s="1"/>
      <c r="E40" s="1"/>
      <c r="F40" s="1"/>
      <c r="G40" s="31"/>
      <c r="H40" s="75"/>
      <c r="I40" s="77"/>
      <c r="J40" s="56"/>
      <c r="K40" s="70"/>
      <c r="L40" s="61"/>
      <c r="M40" s="56"/>
      <c r="N40" s="73"/>
    </row>
    <row r="41" spans="1:22" ht="21.75" thickBot="1" x14ac:dyDescent="0.3">
      <c r="A41" s="11" t="s">
        <v>10</v>
      </c>
      <c r="B41" s="12" t="s">
        <v>11</v>
      </c>
      <c r="C41" s="13" t="s">
        <v>27</v>
      </c>
      <c r="D41" s="13" t="s">
        <v>12</v>
      </c>
      <c r="E41" s="13" t="s">
        <v>13</v>
      </c>
      <c r="F41" s="14" t="s">
        <v>14</v>
      </c>
      <c r="G41" s="31"/>
      <c r="H41" s="62"/>
      <c r="I41" s="64"/>
      <c r="J41" s="66"/>
      <c r="K41" s="67"/>
      <c r="L41" s="65"/>
      <c r="M41" s="63"/>
      <c r="N41" s="71"/>
      <c r="O41" s="74"/>
      <c r="P41" s="74"/>
      <c r="Q41" s="74"/>
      <c r="R41" s="74"/>
      <c r="S41" s="74"/>
      <c r="T41" s="74"/>
      <c r="U41" s="74"/>
      <c r="V41" s="74"/>
    </row>
    <row r="42" spans="1:22" ht="15.75" thickBot="1" x14ac:dyDescent="0.3">
      <c r="A42" s="15" t="s">
        <v>15</v>
      </c>
      <c r="B42" s="83" t="e">
        <f>HLOOKUP(N$40,$O$41:$V$45,2)</f>
        <v>#N/A</v>
      </c>
      <c r="C42" s="17"/>
      <c r="D42" s="17"/>
      <c r="E42" s="18" t="str">
        <f>IF(D42,I40*H42,"")</f>
        <v/>
      </c>
      <c r="F42" s="19" t="str">
        <f>IF(D42,E42*21%,"")</f>
        <v/>
      </c>
      <c r="G42" s="31"/>
      <c r="H42" s="78"/>
      <c r="I42" s="60"/>
      <c r="J42" s="60"/>
      <c r="K42" s="60"/>
      <c r="L42" s="60"/>
      <c r="M42" s="60"/>
      <c r="N42" s="72"/>
      <c r="O42" s="79"/>
      <c r="P42" s="79"/>
      <c r="Q42" s="79"/>
      <c r="R42" s="79"/>
      <c r="S42" s="79"/>
      <c r="T42" s="79"/>
      <c r="U42" s="79"/>
      <c r="V42" s="80"/>
    </row>
    <row r="43" spans="1:22" ht="15.75" thickBot="1" x14ac:dyDescent="0.3">
      <c r="A43" s="15" t="s">
        <v>16</v>
      </c>
      <c r="B43" s="83" t="e">
        <f>HLOOKUP(N$40,$O$41:$V$45,3)</f>
        <v>#N/A</v>
      </c>
      <c r="C43" s="17"/>
      <c r="D43" s="17"/>
      <c r="E43" s="18" t="str">
        <f>IF(D43,I40*H43,"")</f>
        <v/>
      </c>
      <c r="F43" s="19" t="str">
        <f t="shared" ref="F43:F45" si="8">IF(D43,E43*21%,"")</f>
        <v/>
      </c>
      <c r="G43" s="31"/>
      <c r="H43" s="78"/>
      <c r="I43" s="60"/>
      <c r="J43" s="60"/>
      <c r="K43" s="60"/>
      <c r="L43" s="60"/>
      <c r="M43" s="60"/>
      <c r="N43" s="72"/>
      <c r="O43" s="79"/>
      <c r="P43" s="79"/>
      <c r="Q43" s="79"/>
      <c r="R43" s="79"/>
      <c r="S43" s="79"/>
      <c r="T43" s="79"/>
      <c r="U43" s="79"/>
      <c r="V43" s="80"/>
    </row>
    <row r="44" spans="1:22" ht="15.75" thickBot="1" x14ac:dyDescent="0.3">
      <c r="A44" s="15" t="s">
        <v>17</v>
      </c>
      <c r="B44" s="83" t="e">
        <f>HLOOKUP(N$40,$O$41:$V$45,4)</f>
        <v>#N/A</v>
      </c>
      <c r="C44" s="17"/>
      <c r="D44" s="17"/>
      <c r="E44" s="18" t="str">
        <f>IF(D44,I40*H44,"")</f>
        <v/>
      </c>
      <c r="F44" s="19" t="str">
        <f t="shared" si="8"/>
        <v/>
      </c>
      <c r="G44" s="31"/>
      <c r="H44" s="78"/>
      <c r="I44" s="60"/>
      <c r="J44" s="60"/>
      <c r="K44" s="60"/>
      <c r="L44" s="60"/>
      <c r="M44" s="60"/>
      <c r="N44" s="72"/>
      <c r="O44" s="79"/>
      <c r="P44" s="79"/>
      <c r="Q44" s="79"/>
      <c r="R44" s="79"/>
      <c r="S44" s="79"/>
      <c r="T44" s="79"/>
      <c r="U44" s="79"/>
      <c r="V44" s="80"/>
    </row>
    <row r="45" spans="1:22" ht="15.75" thickBot="1" x14ac:dyDescent="0.3">
      <c r="A45" s="15" t="s">
        <v>18</v>
      </c>
      <c r="B45" s="83" t="e">
        <f>HLOOKUP(N$40,$O$41:$V$45,5)</f>
        <v>#N/A</v>
      </c>
      <c r="C45" s="17"/>
      <c r="D45" s="17"/>
      <c r="E45" s="18" t="str">
        <f>IF(D45,I40*H45,"")</f>
        <v/>
      </c>
      <c r="F45" s="19" t="str">
        <f t="shared" si="8"/>
        <v/>
      </c>
      <c r="G45" s="31"/>
      <c r="H45" s="78"/>
      <c r="I45" s="60"/>
      <c r="J45" s="60"/>
      <c r="K45" s="60"/>
      <c r="L45" s="60"/>
      <c r="M45" s="60"/>
      <c r="N45" s="72"/>
      <c r="O45" s="79"/>
      <c r="P45" s="79"/>
      <c r="Q45" s="79"/>
      <c r="R45" s="79"/>
      <c r="S45" s="79"/>
      <c r="T45" s="79"/>
      <c r="U45" s="79"/>
      <c r="V45" s="80"/>
    </row>
    <row r="46" spans="1:22" x14ac:dyDescent="0.25">
      <c r="A46" s="10"/>
      <c r="G46" s="32"/>
      <c r="H46" s="33"/>
      <c r="I46" s="33"/>
      <c r="J46" s="33"/>
      <c r="K46" s="33"/>
      <c r="L46" s="33"/>
      <c r="M46" s="33"/>
    </row>
    <row r="47" spans="1:22" ht="15.75" thickBot="1" x14ac:dyDescent="0.3">
      <c r="A47" s="21" t="s">
        <v>23</v>
      </c>
      <c r="B47" s="22" t="e">
        <f>SUM(B42:B45)</f>
        <v>#N/A</v>
      </c>
      <c r="C47" s="23"/>
      <c r="D47" s="24"/>
      <c r="E47" s="25"/>
      <c r="F47" s="28"/>
      <c r="G47" s="30"/>
      <c r="H47" s="33"/>
      <c r="I47" s="33"/>
      <c r="J47" s="33"/>
      <c r="K47" s="33"/>
      <c r="L47" s="33"/>
      <c r="M47" s="33"/>
    </row>
    <row r="48" spans="1:22" x14ac:dyDescent="0.25">
      <c r="H48" s="33"/>
      <c r="I48" s="33"/>
      <c r="J48" s="33"/>
      <c r="K48" s="33"/>
      <c r="L48" s="33"/>
      <c r="M48" s="33"/>
    </row>
  </sheetData>
  <mergeCells count="9">
    <mergeCell ref="B39:D39"/>
    <mergeCell ref="E39:F39"/>
    <mergeCell ref="B29:D29"/>
    <mergeCell ref="E29:F29"/>
    <mergeCell ref="A1:G1"/>
    <mergeCell ref="B9:D9"/>
    <mergeCell ref="E9:F9"/>
    <mergeCell ref="B19:D19"/>
    <mergeCell ref="E19:F19"/>
  </mergeCells>
  <phoneticPr fontId="17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Amortissements original</vt:lpstr>
      <vt:lpstr>Année comptable</vt:lpstr>
      <vt:lpstr>Amortissements version 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Supcik Patricia</cp:lastModifiedBy>
  <cp:lastPrinted>2024-02-09T13:50:26Z</cp:lastPrinted>
  <dcterms:created xsi:type="dcterms:W3CDTF">2015-06-05T18:19:34Z</dcterms:created>
  <dcterms:modified xsi:type="dcterms:W3CDTF">2024-02-15T19:27:50Z</dcterms:modified>
</cp:coreProperties>
</file>