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a envoyer\"/>
    </mc:Choice>
  </mc:AlternateContent>
  <xr:revisionPtr revIDLastSave="0" documentId="13_ncr:1_{BD9F82AD-DC8E-4863-8E21-18D9BDB1AE65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pour liste" sheetId="4" r:id="rId1"/>
    <sheet name="grille tarifaire" sheetId="1" r:id="rId2"/>
    <sheet name="Fiche de calcul V2" sheetId="5" r:id="rId3"/>
  </sheets>
  <definedNames>
    <definedName name="_xlnm._FilterDatabase" localSheetId="2" hidden="1">'Fiche de calcul V2'!$B$1:$B$29</definedName>
    <definedName name="mission_MOE">'grille tarifaire'!#REF!</definedName>
    <definedName name="_xlnm.Print_Area" localSheetId="2">'Fiche de calcul V2'!$O$8:$AC$29</definedName>
    <definedName name="_xlnm.Print_Area" localSheetId="1">'grille tarifaire'!$B$40:$M$71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11" i="5" l="1"/>
  <c r="L5" i="5" l="1"/>
  <c r="K5" i="5" l="1"/>
  <c r="J5" i="5"/>
  <c r="I5" i="5"/>
  <c r="H5" i="5"/>
  <c r="G5" i="5"/>
  <c r="F5" i="5"/>
  <c r="E5" i="5"/>
  <c r="C5" i="5" l="1"/>
  <c r="Q3" i="5" s="1"/>
  <c r="T4" i="5" s="1"/>
  <c r="C6" i="1" l="1"/>
  <c r="D12" i="1"/>
  <c r="C12" i="1"/>
  <c r="D18" i="1"/>
  <c r="E18" i="1"/>
  <c r="C18" i="1"/>
  <c r="D24" i="1"/>
  <c r="E24" i="1"/>
  <c r="F24" i="1"/>
  <c r="C24" i="1"/>
  <c r="D30" i="1"/>
  <c r="E30" i="1"/>
  <c r="F30" i="1"/>
  <c r="G30" i="1"/>
  <c r="C30" i="1"/>
  <c r="D36" i="1"/>
  <c r="E36" i="1"/>
  <c r="F36" i="1"/>
  <c r="G36" i="1"/>
  <c r="J36" i="1"/>
  <c r="C36" i="1"/>
  <c r="K28" i="5"/>
  <c r="K27" i="5"/>
  <c r="K26" i="5"/>
  <c r="K25" i="5"/>
  <c r="H51" i="1"/>
  <c r="H49" i="1"/>
  <c r="C28" i="5"/>
  <c r="U28" i="5" s="1"/>
  <c r="C27" i="5"/>
  <c r="C26" i="5"/>
  <c r="U26" i="5" s="1"/>
  <c r="C25" i="5"/>
  <c r="U25" i="5" s="1"/>
  <c r="J19" i="5"/>
  <c r="C19" i="5" s="1"/>
  <c r="U19" i="5" s="1"/>
  <c r="G28" i="5"/>
  <c r="Y28" i="5" s="1"/>
  <c r="F28" i="5"/>
  <c r="E28" i="5"/>
  <c r="G27" i="5"/>
  <c r="Y27" i="5" s="1"/>
  <c r="E27" i="5"/>
  <c r="W27" i="5" s="1"/>
  <c r="G26" i="5"/>
  <c r="Y26" i="5" s="1"/>
  <c r="F26" i="5"/>
  <c r="E26" i="5"/>
  <c r="G25" i="5"/>
  <c r="Y25" i="5" s="1"/>
  <c r="E25" i="5"/>
  <c r="W25" i="5" s="1"/>
  <c r="I58" i="1"/>
  <c r="D58" i="1"/>
  <c r="I51" i="1"/>
  <c r="V27" i="5" l="1"/>
  <c r="Z27" i="5" s="1"/>
  <c r="V25" i="5"/>
  <c r="Z25" i="5" s="1"/>
  <c r="V26" i="5"/>
  <c r="Z26" i="5" s="1"/>
  <c r="V28" i="5"/>
  <c r="U27" i="5"/>
  <c r="W26" i="5"/>
  <c r="W28" i="5"/>
  <c r="D27" i="5"/>
  <c r="B27" i="5" s="1"/>
  <c r="D26" i="5"/>
  <c r="B26" i="5" s="1"/>
  <c r="D25" i="5"/>
  <c r="B25" i="5" s="1"/>
  <c r="Y21" i="5"/>
  <c r="W21" i="5"/>
  <c r="K21" i="5"/>
  <c r="J21" i="5"/>
  <c r="Y20" i="5"/>
  <c r="W20" i="5"/>
  <c r="K20" i="5"/>
  <c r="D20" i="5" s="1"/>
  <c r="B20" i="5" s="1"/>
  <c r="Y19" i="5"/>
  <c r="W19" i="5"/>
  <c r="D19" i="5"/>
  <c r="B19" i="5" s="1"/>
  <c r="Y18" i="5"/>
  <c r="W18" i="5"/>
  <c r="K18" i="5"/>
  <c r="J18" i="5"/>
  <c r="I18" i="5"/>
  <c r="Y17" i="5"/>
  <c r="W17" i="5"/>
  <c r="K17" i="5"/>
  <c r="J17" i="5"/>
  <c r="I17" i="5"/>
  <c r="Y16" i="5"/>
  <c r="W16" i="5"/>
  <c r="K16" i="5"/>
  <c r="J16" i="5"/>
  <c r="I16" i="5"/>
  <c r="Y15" i="5"/>
  <c r="W15" i="5"/>
  <c r="K15" i="5"/>
  <c r="J15" i="5"/>
  <c r="I15" i="5"/>
  <c r="Y14" i="5"/>
  <c r="W14" i="5"/>
  <c r="K14" i="5"/>
  <c r="J14" i="5"/>
  <c r="I14" i="5"/>
  <c r="H14" i="5"/>
  <c r="Y13" i="5"/>
  <c r="W13" i="5"/>
  <c r="K13" i="5"/>
  <c r="J13" i="5"/>
  <c r="I13" i="5"/>
  <c r="H13" i="5"/>
  <c r="G13" i="5"/>
  <c r="Y12" i="5"/>
  <c r="W12" i="5"/>
  <c r="K12" i="5"/>
  <c r="J12" i="5"/>
  <c r="I12" i="5"/>
  <c r="H12" i="5"/>
  <c r="G12" i="5"/>
  <c r="F12" i="5"/>
  <c r="Y11" i="5"/>
  <c r="W11" i="5"/>
  <c r="K11" i="5"/>
  <c r="J11" i="5"/>
  <c r="I11" i="5"/>
  <c r="H11" i="5"/>
  <c r="G11" i="5"/>
  <c r="F11" i="5"/>
  <c r="E11" i="5"/>
  <c r="Q5" i="5"/>
  <c r="V19" i="5" s="1"/>
  <c r="X27" i="5" l="1"/>
  <c r="X25" i="5"/>
  <c r="X26" i="5"/>
  <c r="C11" i="5"/>
  <c r="U11" i="5" s="1"/>
  <c r="Z28" i="5"/>
  <c r="Z29" i="5" s="1"/>
  <c r="D28" i="5"/>
  <c r="B28" i="5" s="1"/>
  <c r="V29" i="5"/>
  <c r="X28" i="5"/>
  <c r="D15" i="5"/>
  <c r="B15" i="5" s="1"/>
  <c r="D17" i="5"/>
  <c r="B17" i="5" s="1"/>
  <c r="D21" i="5"/>
  <c r="B21" i="5" s="1"/>
  <c r="C16" i="5"/>
  <c r="U16" i="5" s="1"/>
  <c r="V16" i="5" s="1"/>
  <c r="X16" i="5" s="1"/>
  <c r="C18" i="5"/>
  <c r="C21" i="5"/>
  <c r="U21" i="5" s="1"/>
  <c r="V21" i="5" s="1"/>
  <c r="X21" i="5" s="1"/>
  <c r="C20" i="5"/>
  <c r="U20" i="5" s="1"/>
  <c r="V20" i="5" s="1"/>
  <c r="D12" i="5"/>
  <c r="B12" i="5" s="1"/>
  <c r="C13" i="5"/>
  <c r="U13" i="5" s="1"/>
  <c r="V13" i="5" s="1"/>
  <c r="X13" i="5" s="1"/>
  <c r="C14" i="5"/>
  <c r="U14" i="5" s="1"/>
  <c r="V14" i="5" s="1"/>
  <c r="D13" i="5"/>
  <c r="B13" i="5" s="1"/>
  <c r="C17" i="5"/>
  <c r="U17" i="5" s="1"/>
  <c r="V17" i="5" s="1"/>
  <c r="Z17" i="5" s="1"/>
  <c r="D11" i="5"/>
  <c r="B11" i="5" s="1"/>
  <c r="D14" i="5"/>
  <c r="B14" i="5" s="1"/>
  <c r="C15" i="5"/>
  <c r="U15" i="5" s="1"/>
  <c r="V15" i="5" s="1"/>
  <c r="C12" i="5"/>
  <c r="U12" i="5" s="1"/>
  <c r="V12" i="5" s="1"/>
  <c r="Z12" i="5" s="1"/>
  <c r="D16" i="5"/>
  <c r="B16" i="5" s="1"/>
  <c r="D18" i="5"/>
  <c r="B18" i="5" s="1"/>
  <c r="U18" i="5" l="1"/>
  <c r="V18" i="5" s="1"/>
  <c r="X29" i="5"/>
  <c r="X11" i="5"/>
  <c r="Z13" i="5"/>
  <c r="Z14" i="5"/>
  <c r="X14" i="5"/>
  <c r="Z11" i="5"/>
  <c r="X19" i="5"/>
  <c r="Z19" i="5"/>
  <c r="X15" i="5"/>
  <c r="Z15" i="5"/>
  <c r="Z16" i="5"/>
  <c r="X12" i="5"/>
  <c r="Z20" i="5"/>
  <c r="X17" i="5"/>
  <c r="X20" i="5"/>
  <c r="Z21" i="5"/>
  <c r="X18" i="5" l="1"/>
  <c r="X22" i="5" s="1"/>
  <c r="X3" i="5" s="1"/>
  <c r="Z18" i="5"/>
  <c r="Z22" i="5" s="1"/>
  <c r="Z3" i="5" s="1"/>
  <c r="V22" i="5"/>
  <c r="T6" i="5" s="1"/>
  <c r="C51" i="1" l="1"/>
  <c r="D51" i="1" s="1"/>
  <c r="C49" i="1"/>
  <c r="K37" i="1"/>
  <c r="K44" i="1"/>
  <c r="K43" i="1"/>
  <c r="K38" i="1"/>
  <c r="K32" i="1"/>
  <c r="L32" i="1" s="1"/>
  <c r="K31" i="1"/>
  <c r="K26" i="1"/>
  <c r="L26" i="1" s="1"/>
  <c r="K25" i="1"/>
  <c r="K20" i="1"/>
  <c r="L20" i="1" s="1"/>
  <c r="K19" i="1"/>
  <c r="K14" i="1"/>
  <c r="L14" i="1" s="1"/>
  <c r="K13" i="1"/>
  <c r="K42" i="1"/>
  <c r="K36" i="1"/>
  <c r="K30" i="1"/>
  <c r="K24" i="1"/>
  <c r="K18" i="1"/>
  <c r="K12" i="1"/>
  <c r="K8" i="1"/>
  <c r="L8" i="1" s="1"/>
  <c r="K7" i="1"/>
  <c r="K6" i="1"/>
</calcChain>
</file>

<file path=xl/sharedStrings.xml><?xml version="1.0" encoding="utf-8"?>
<sst xmlns="http://schemas.openxmlformats.org/spreadsheetml/2006/main" count="322" uniqueCount="112">
  <si>
    <t>part uni-t</t>
  </si>
  <si>
    <t>part MOE</t>
  </si>
  <si>
    <t>PC</t>
  </si>
  <si>
    <t>UNI-T</t>
  </si>
  <si>
    <t>MOE</t>
  </si>
  <si>
    <t>REL</t>
  </si>
  <si>
    <t>ESQ</t>
  </si>
  <si>
    <t>APS</t>
  </si>
  <si>
    <t>APD</t>
  </si>
  <si>
    <t>DET</t>
  </si>
  <si>
    <t>OPC</t>
  </si>
  <si>
    <t>AOR</t>
  </si>
  <si>
    <t>répartion client</t>
  </si>
  <si>
    <t>Cas n° 1</t>
  </si>
  <si>
    <t>Cas n° 2</t>
  </si>
  <si>
    <t>Cas n° 3</t>
  </si>
  <si>
    <t>Cas n° 4</t>
  </si>
  <si>
    <t>Cas n° 5</t>
  </si>
  <si>
    <t>Cas n° 6</t>
  </si>
  <si>
    <t>Cas n° 7</t>
  </si>
  <si>
    <t>PRO, DCE,
ACT,VISA</t>
  </si>
  <si>
    <t>total</t>
  </si>
  <si>
    <t>facturation MOE au client %</t>
  </si>
  <si>
    <t>facturation MOE à UNI-T %</t>
  </si>
  <si>
    <t>de</t>
  </si>
  <si>
    <t>TABLEAU DES GRILLES TARIFAIRES</t>
  </si>
  <si>
    <t>PC &lt; 150m²</t>
  </si>
  <si>
    <t>PC &gt; 150m²</t>
  </si>
  <si>
    <t>Part Archi</t>
  </si>
  <si>
    <t>n°1</t>
  </si>
  <si>
    <t>n°2</t>
  </si>
  <si>
    <t>n°3</t>
  </si>
  <si>
    <t>n°4</t>
  </si>
  <si>
    <t>n°5</t>
  </si>
  <si>
    <t>n°6</t>
  </si>
  <si>
    <t>n°7</t>
  </si>
  <si>
    <t>n°1 : REL</t>
  </si>
  <si>
    <t>n°2 : REL/ASQ</t>
  </si>
  <si>
    <t>n°3 : REL/ESQ/APS</t>
  </si>
  <si>
    <t>n°4 : REL/ESQ/APS/APD</t>
  </si>
  <si>
    <t>n°5 : REL/ESQ/APS/APD/PRO/DCE/ACT/VISA</t>
  </si>
  <si>
    <t>n°6 : REL/ESQ/APS/APD/PRO/DCE/ACT/VISA/DET/AOR</t>
  </si>
  <si>
    <t>n°7 : REL/ESQ/APS/APD/PRO/DCE/ACT/VISA/OPC/AOR</t>
  </si>
  <si>
    <t>CAS DE FIGURE</t>
  </si>
  <si>
    <t>ü</t>
  </si>
  <si>
    <t>Relevé des existants</t>
  </si>
  <si>
    <t>Etude d'esquisses</t>
  </si>
  <si>
    <t>Etude d'avant projet sommaire</t>
  </si>
  <si>
    <t>Etude d'avant projet Définitif</t>
  </si>
  <si>
    <t>PRO</t>
  </si>
  <si>
    <t>Projet de conception général</t>
  </si>
  <si>
    <t>DCE</t>
  </si>
  <si>
    <t>Dossier de consultation des entreprises</t>
  </si>
  <si>
    <t>ACT</t>
  </si>
  <si>
    <t>Assistance à la passation de marché</t>
  </si>
  <si>
    <t>VISA</t>
  </si>
  <si>
    <t>Etude d'exécution</t>
  </si>
  <si>
    <t>Direction de l'exécution des contrats de travaux (maison neuve exclus)</t>
  </si>
  <si>
    <t>Ordonnancement pilotage et coordination de chantier</t>
  </si>
  <si>
    <t>Assistance aux opérations de réception des travaux</t>
  </si>
  <si>
    <t>Mission :</t>
  </si>
  <si>
    <t>a afficher</t>
  </si>
  <si>
    <t>Part client</t>
  </si>
  <si>
    <t>valeur €</t>
  </si>
  <si>
    <t>part UNI-T</t>
  </si>
  <si>
    <t>archi</t>
  </si>
  <si>
    <t>Total 1</t>
  </si>
  <si>
    <t>Total 2</t>
  </si>
  <si>
    <t>PC &gt; 150m² - avec mission complete</t>
  </si>
  <si>
    <t>PC &lt; 150m² - avec mission complete</t>
  </si>
  <si>
    <t>PC &gt; 150m² - Seul</t>
  </si>
  <si>
    <t>PC &lt; 150m² - Mission seule</t>
  </si>
  <si>
    <t>PC &lt; 150m² - mission complète</t>
  </si>
  <si>
    <t>PC &gt; 150m² - Mission seule</t>
  </si>
  <si>
    <t>PC &gt; 150m² - mission complète</t>
  </si>
  <si>
    <t>PC &lt; 150m² - seul</t>
  </si>
  <si>
    <t>total surface :</t>
  </si>
  <si>
    <t>Total part MOE :</t>
  </si>
  <si>
    <t>Total part UNI-T :</t>
  </si>
  <si>
    <t>zz</t>
  </si>
  <si>
    <t>qté de calcul</t>
  </si>
  <si>
    <t>affiche</t>
  </si>
  <si>
    <t>Type de projet</t>
  </si>
  <si>
    <t>type de projet</t>
  </si>
  <si>
    <t>€ / m²</t>
  </si>
  <si>
    <t>Type de projet :</t>
  </si>
  <si>
    <t>% Com. UNI-T :</t>
  </si>
  <si>
    <t>zzzzzzzzzzzzzz</t>
  </si>
  <si>
    <t>zzzz</t>
  </si>
  <si>
    <t>Permis de Construire :</t>
  </si>
  <si>
    <t>zzzzzzzzzzzz</t>
  </si>
  <si>
    <t>zzzzzzzzzzz</t>
  </si>
  <si>
    <t>zzzzzzzzzzzzzzzzz</t>
  </si>
  <si>
    <t>zzzzz</t>
  </si>
  <si>
    <t>type projet</t>
  </si>
  <si>
    <t>€ / projet</t>
  </si>
  <si>
    <t>a renvoyer</t>
  </si>
  <si>
    <t>zzzzzzzz</t>
  </si>
  <si>
    <t>zzzzzz</t>
  </si>
  <si>
    <t>1 - Particulier - Rénovation en l'état</t>
  </si>
  <si>
    <t>2 - Particulier - Rénovation avec conception</t>
  </si>
  <si>
    <t>3 - Particulier - Rénovation lourde</t>
  </si>
  <si>
    <t>4 - Local tertiaire - Rénovation en l'état</t>
  </si>
  <si>
    <t>5 - Local tertiaire - Rénovation avec conception</t>
  </si>
  <si>
    <t>6 - Local tertiaire - Rénovation lourde</t>
  </si>
  <si>
    <t>% com</t>
  </si>
  <si>
    <t>Prévi travaux HT :</t>
  </si>
  <si>
    <t>€ Com. UNI-T HT :</t>
  </si>
  <si>
    <t>€  / m² HT :</t>
  </si>
  <si>
    <t>Total UNI-T HT :</t>
  </si>
  <si>
    <t>7 - Construction neuve</t>
  </si>
  <si>
    <t>zzzzzzzzzzzzzzzzzzzz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</si>
</sst>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Wingdings"/>
      <charset val="2"/>
    </font>
    <font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1"/>
      <color theme="1"/>
      <name val="ITC_ Avant_ Garde"/>
      <family val="1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lightUp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lightUp">
        <bgColor rgb="FF92D050"/>
      </patternFill>
    </fill>
    <fill>
      <patternFill patternType="solid">
        <fgColor theme="5" tint="0.59999389629810485"/>
        <bgColor indexed="64"/>
      </patternFill>
    </fill>
    <fill>
      <patternFill patternType="lightUp">
        <bgColor theme="5" tint="0.59999389629810485"/>
      </patternFill>
    </fill>
    <fill>
      <patternFill patternType="solid">
        <fgColor rgb="FFC0C0C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16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0" fontId="0" fillId="0" borderId="0" xfId="0" applyNumberFormat="1" applyAlignment="1">
      <alignment vertical="center" wrapText="1"/>
    </xf>
    <xf numFmtId="164" fontId="0" fillId="0" borderId="0" xfId="0" applyNumberFormat="1" applyAlignment="1">
      <alignment vertical="center" wrapText="1"/>
    </xf>
    <xf numFmtId="10" fontId="0" fillId="0" borderId="0" xfId="0" applyNumberFormat="1"/>
    <xf numFmtId="0" fontId="5" fillId="4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right" vertical="top"/>
    </xf>
    <xf numFmtId="10" fontId="7" fillId="4" borderId="3" xfId="0" applyNumberFormat="1" applyFont="1" applyFill="1" applyBorder="1" applyAlignment="1">
      <alignment horizontal="left" vertical="center" wrapText="1"/>
    </xf>
    <xf numFmtId="10" fontId="7" fillId="0" borderId="3" xfId="0" applyNumberFormat="1" applyFont="1" applyFill="1" applyBorder="1" applyAlignment="1">
      <alignment horizontal="center"/>
    </xf>
    <xf numFmtId="10" fontId="7" fillId="2" borderId="3" xfId="0" applyNumberFormat="1" applyFont="1" applyFill="1" applyBorder="1" applyAlignment="1">
      <alignment horizontal="center"/>
    </xf>
    <xf numFmtId="0" fontId="4" fillId="4" borderId="2" xfId="0" applyFont="1" applyFill="1" applyBorder="1" applyAlignment="1">
      <alignment horizontal="left" vertical="center" wrapText="1"/>
    </xf>
    <xf numFmtId="10" fontId="4" fillId="0" borderId="2" xfId="0" applyNumberFormat="1" applyFont="1" applyFill="1" applyBorder="1" applyAlignment="1">
      <alignment horizontal="center"/>
    </xf>
    <xf numFmtId="10" fontId="4" fillId="2" borderId="2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left" vertical="center" wrapText="1"/>
    </xf>
    <xf numFmtId="10" fontId="4" fillId="0" borderId="1" xfId="0" applyNumberFormat="1" applyFont="1" applyFill="1" applyBorder="1" applyAlignment="1">
      <alignment horizontal="center"/>
    </xf>
    <xf numFmtId="10" fontId="4" fillId="2" borderId="1" xfId="0" applyNumberFormat="1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 vertical="center" wrapText="1"/>
    </xf>
    <xf numFmtId="10" fontId="7" fillId="0" borderId="8" xfId="0" applyNumberFormat="1" applyFont="1" applyFill="1" applyBorder="1" applyAlignment="1">
      <alignment horizontal="center"/>
    </xf>
    <xf numFmtId="10" fontId="4" fillId="0" borderId="4" xfId="0" applyNumberFormat="1" applyFont="1" applyFill="1" applyBorder="1" applyAlignment="1">
      <alignment horizontal="center"/>
    </xf>
    <xf numFmtId="10" fontId="4" fillId="0" borderId="6" xfId="0" applyNumberFormat="1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 vertical="center" wrapText="1"/>
    </xf>
    <xf numFmtId="10" fontId="0" fillId="0" borderId="7" xfId="0" applyNumberFormat="1" applyBorder="1" applyAlignment="1">
      <alignment horizontal="center" vertical="center" wrapText="1"/>
    </xf>
    <xf numFmtId="10" fontId="0" fillId="0" borderId="10" xfId="0" applyNumberFormat="1" applyBorder="1" applyAlignment="1">
      <alignment horizontal="center" vertical="center" wrapText="1"/>
    </xf>
    <xf numFmtId="10" fontId="0" fillId="0" borderId="2" xfId="0" applyNumberFormat="1" applyBorder="1" applyAlignment="1">
      <alignment horizontal="center" vertical="center" wrapText="1"/>
    </xf>
    <xf numFmtId="0" fontId="0" fillId="6" borderId="0" xfId="0" applyFill="1" applyAlignment="1">
      <alignment vertical="center"/>
    </xf>
    <xf numFmtId="0" fontId="0" fillId="0" borderId="0" xfId="0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10" fontId="0" fillId="6" borderId="1" xfId="0" applyNumberFormat="1" applyFill="1" applyBorder="1" applyAlignment="1">
      <alignment vertical="center"/>
    </xf>
    <xf numFmtId="10" fontId="0" fillId="6" borderId="1" xfId="0" applyNumberFormat="1" applyFill="1" applyBorder="1" applyAlignment="1">
      <alignment horizontal="center" vertical="center"/>
    </xf>
    <xf numFmtId="10" fontId="0" fillId="7" borderId="1" xfId="0" applyNumberForma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164" fontId="0" fillId="6" borderId="1" xfId="0" applyNumberFormat="1" applyFill="1" applyBorder="1" applyAlignment="1">
      <alignment vertical="center"/>
    </xf>
    <xf numFmtId="9" fontId="0" fillId="0" borderId="0" xfId="0" applyNumberFormat="1" applyAlignment="1">
      <alignment vertical="center"/>
    </xf>
    <xf numFmtId="164" fontId="7" fillId="0" borderId="3" xfId="0" applyNumberFormat="1" applyFon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4" borderId="1" xfId="0" applyFont="1" applyFill="1" applyBorder="1" applyAlignment="1">
      <alignment horizontal="right" vertical="center"/>
    </xf>
    <xf numFmtId="2" fontId="0" fillId="6" borderId="1" xfId="0" applyNumberForma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 vertical="center"/>
    </xf>
    <xf numFmtId="0" fontId="0" fillId="7" borderId="1" xfId="0" applyFill="1" applyBorder="1" applyAlignment="1">
      <alignment vertical="center"/>
    </xf>
    <xf numFmtId="164" fontId="2" fillId="4" borderId="1" xfId="0" applyNumberFormat="1" applyFont="1" applyFill="1" applyBorder="1" applyAlignment="1">
      <alignment horizontal="right" vertical="center"/>
    </xf>
    <xf numFmtId="0" fontId="0" fillId="0" borderId="0" xfId="0" applyFont="1" applyAlignment="1">
      <alignment vertical="center"/>
    </xf>
    <xf numFmtId="0" fontId="14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14" fillId="0" borderId="0" xfId="0" applyFont="1" applyFill="1" applyAlignment="1">
      <alignment horizontal="center" vertical="center"/>
    </xf>
    <xf numFmtId="164" fontId="0" fillId="0" borderId="1" xfId="0" applyNumberFormat="1" applyFill="1" applyBorder="1" applyAlignment="1">
      <alignment horizontal="right" vertical="center"/>
    </xf>
    <xf numFmtId="0" fontId="0" fillId="0" borderId="0" xfId="0" applyFill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vertical="center"/>
    </xf>
    <xf numFmtId="164" fontId="2" fillId="0" borderId="1" xfId="0" applyNumberFormat="1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64" fontId="0" fillId="0" borderId="0" xfId="0" applyNumberFormat="1" applyFill="1" applyAlignment="1">
      <alignment vertical="center"/>
    </xf>
    <xf numFmtId="10" fontId="0" fillId="8" borderId="1" xfId="0" applyNumberFormat="1" applyFill="1" applyBorder="1" applyAlignment="1" applyProtection="1">
      <alignment horizontal="right" vertical="center"/>
      <protection locked="0"/>
    </xf>
    <xf numFmtId="2" fontId="0" fillId="8" borderId="1" xfId="0" applyNumberFormat="1" applyFill="1" applyBorder="1" applyAlignment="1" applyProtection="1">
      <alignment horizontal="right" vertical="center"/>
      <protection locked="0"/>
    </xf>
    <xf numFmtId="10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right" vertical="center"/>
    </xf>
    <xf numFmtId="164" fontId="1" fillId="4" borderId="1" xfId="0" applyNumberFormat="1" applyFont="1" applyFill="1" applyBorder="1" applyAlignment="1">
      <alignment vertical="center"/>
    </xf>
    <xf numFmtId="164" fontId="0" fillId="5" borderId="1" xfId="0" applyNumberFormat="1" applyFill="1" applyBorder="1" applyAlignment="1">
      <alignment vertical="center"/>
    </xf>
    <xf numFmtId="164" fontId="3" fillId="4" borderId="1" xfId="0" applyNumberFormat="1" applyFont="1" applyFill="1" applyBorder="1" applyAlignment="1">
      <alignment vertical="center"/>
    </xf>
    <xf numFmtId="0" fontId="16" fillId="0" borderId="0" xfId="0" applyFont="1" applyAlignment="1">
      <alignment vertical="center"/>
    </xf>
    <xf numFmtId="0" fontId="16" fillId="7" borderId="1" xfId="0" applyFont="1" applyFill="1" applyBorder="1" applyAlignment="1">
      <alignment vertical="center"/>
    </xf>
    <xf numFmtId="0" fontId="16" fillId="6" borderId="1" xfId="0" applyFont="1" applyFill="1" applyBorder="1" applyAlignment="1">
      <alignment vertical="center"/>
    </xf>
    <xf numFmtId="0" fontId="16" fillId="6" borderId="0" xfId="0" applyFont="1" applyFill="1" applyAlignment="1">
      <alignment vertical="center"/>
    </xf>
    <xf numFmtId="164" fontId="15" fillId="0" borderId="1" xfId="0" applyNumberFormat="1" applyFont="1" applyFill="1" applyBorder="1" applyAlignment="1">
      <alignment horizontal="right" vertical="center"/>
    </xf>
    <xf numFmtId="0" fontId="3" fillId="4" borderId="1" xfId="0" applyFont="1" applyFill="1" applyBorder="1" applyAlignment="1">
      <alignment horizontal="right" vertical="center"/>
    </xf>
    <xf numFmtId="9" fontId="0" fillId="0" borderId="0" xfId="0" applyNumberFormat="1"/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10" fontId="0" fillId="0" borderId="1" xfId="0" applyNumberFormat="1" applyBorder="1" applyAlignment="1">
      <alignment horizontal="center" vertical="center" wrapText="1"/>
    </xf>
    <xf numFmtId="164" fontId="8" fillId="3" borderId="11" xfId="0" applyNumberFormat="1" applyFont="1" applyFill="1" applyBorder="1" applyAlignment="1">
      <alignment horizontal="center" vertical="center"/>
    </xf>
    <xf numFmtId="164" fontId="8" fillId="3" borderId="12" xfId="0" applyNumberFormat="1" applyFont="1" applyFill="1" applyBorder="1" applyAlignment="1">
      <alignment horizontal="center" vertical="center"/>
    </xf>
    <xf numFmtId="164" fontId="8" fillId="3" borderId="13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right" vertical="center"/>
    </xf>
    <xf numFmtId="0" fontId="13" fillId="0" borderId="6" xfId="0" applyFont="1" applyFill="1" applyBorder="1" applyAlignment="1">
      <alignment horizontal="left" vertical="center" wrapText="1"/>
    </xf>
    <xf numFmtId="0" fontId="13" fillId="0" borderId="14" xfId="0" applyFont="1" applyFill="1" applyBorder="1" applyAlignment="1">
      <alignment horizontal="left" vertical="center" wrapText="1"/>
    </xf>
    <xf numFmtId="0" fontId="13" fillId="0" borderId="9" xfId="0" applyFont="1" applyFill="1" applyBorder="1" applyAlignment="1">
      <alignment horizontal="left" vertical="center" wrapText="1"/>
    </xf>
    <xf numFmtId="0" fontId="2" fillId="8" borderId="6" xfId="0" applyFont="1" applyFill="1" applyBorder="1" applyAlignment="1" applyProtection="1">
      <alignment horizontal="left" vertical="center"/>
      <protection locked="0"/>
    </xf>
    <xf numFmtId="0" fontId="2" fillId="8" borderId="14" xfId="0" applyFont="1" applyFill="1" applyBorder="1" applyAlignment="1" applyProtection="1">
      <alignment horizontal="left" vertical="center"/>
      <protection locked="0"/>
    </xf>
    <xf numFmtId="0" fontId="2" fillId="8" borderId="9" xfId="0" applyFont="1" applyFill="1" applyBorder="1" applyAlignment="1" applyProtection="1">
      <alignment horizontal="left" vertical="center"/>
      <protection locked="0"/>
    </xf>
    <xf numFmtId="164" fontId="2" fillId="4" borderId="6" xfId="0" applyNumberFormat="1" applyFont="1" applyFill="1" applyBorder="1" applyAlignment="1">
      <alignment horizontal="right" vertical="center"/>
    </xf>
    <xf numFmtId="164" fontId="2" fillId="4" borderId="9" xfId="0" applyNumberFormat="1" applyFont="1" applyFill="1" applyBorder="1" applyAlignment="1">
      <alignment horizontal="right" vertical="center"/>
    </xf>
    <xf numFmtId="0" fontId="0" fillId="8" borderId="6" xfId="0" applyNumberFormat="1" applyFill="1" applyBorder="1" applyAlignment="1" applyProtection="1">
      <alignment horizontal="left" vertical="center"/>
      <protection locked="0"/>
    </xf>
    <xf numFmtId="0" fontId="0" fillId="8" borderId="14" xfId="0" applyNumberFormat="1" applyFill="1" applyBorder="1" applyAlignment="1" applyProtection="1">
      <alignment horizontal="left" vertical="center"/>
      <protection locked="0"/>
    </xf>
    <xf numFmtId="0" fontId="0" fillId="8" borderId="9" xfId="0" applyNumberFormat="1" applyFill="1" applyBorder="1" applyAlignment="1" applyProtection="1">
      <alignment horizontal="left" vertical="center"/>
      <protection locked="0"/>
    </xf>
    <xf numFmtId="0" fontId="2" fillId="0" borderId="6" xfId="0" applyFont="1" applyFill="1" applyBorder="1" applyAlignment="1">
      <alignment horizontal="left" vertical="center"/>
    </xf>
    <xf numFmtId="0" fontId="2" fillId="0" borderId="14" xfId="0" applyFont="1" applyFill="1" applyBorder="1" applyAlignment="1">
      <alignment horizontal="left" vertical="center"/>
    </xf>
    <xf numFmtId="0" fontId="2" fillId="0" borderId="9" xfId="0" applyFont="1" applyFill="1" applyBorder="1" applyAlignment="1">
      <alignment horizontal="left" vertical="center"/>
    </xf>
    <xf numFmtId="0" fontId="11" fillId="4" borderId="1" xfId="0" applyFont="1" applyFill="1" applyBorder="1" applyAlignment="1">
      <alignment horizontal="right" vertical="center"/>
    </xf>
    <xf numFmtId="0" fontId="0" fillId="8" borderId="6" xfId="0" applyFill="1" applyBorder="1" applyAlignment="1" applyProtection="1">
      <alignment horizontal="left" vertical="center"/>
      <protection locked="0"/>
    </xf>
    <xf numFmtId="0" fontId="0" fillId="8" borderId="14" xfId="0" applyFill="1" applyBorder="1" applyAlignment="1" applyProtection="1">
      <alignment horizontal="left" vertical="center"/>
      <protection locked="0"/>
    </xf>
    <xf numFmtId="0" fontId="0" fillId="8" borderId="9" xfId="0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2">
    <dxf>
      <fill>
        <patternFill>
          <bgColor rgb="FFC0C0C0"/>
        </patternFill>
      </fill>
    </dxf>
    <dxf>
      <numFmt numFmtId="13" formatCode="0%"/>
    </dxf>
  </dxfs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70CF23-00EB-4DF9-B23A-05D3CC4B9E07}" name="Tableau1" displayName="Tableau1" ref="B2:B9" totalsRowShown="0">
  <autoFilter ref="B2:B9" xr:uid="{B270CF23-00EB-4DF9-B23A-05D3CC4B9E07}"/>
  <tableColumns count="1">
    <tableColumn id="1" xr3:uid="{62DAEE24-E803-4A0F-8FAB-F6180D5D2414}" name="CAS DE FIGU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728ED9-2D8D-4964-B390-3713780FE259}" name="Tableau2" displayName="Tableau2" ref="D2:D6" totalsRowShown="0">
  <autoFilter ref="D2:D6" xr:uid="{8D728ED9-2D8D-4964-B390-3713780FE259}"/>
  <tableColumns count="1">
    <tableColumn id="1" xr3:uid="{C18151A6-26A2-4C40-8E0B-1B86528763BD}" name="PC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C8D7C1-FBE7-49ED-8246-DC996B5E2321}" name="Tableau3" displayName="Tableau3" ref="F2:F10" totalsRowShown="0">
  <autoFilter ref="F2:F10" xr:uid="{7FC8D7C1-FBE7-49ED-8246-DC996B5E2321}"/>
  <sortState xmlns:xlrd2="http://schemas.microsoft.com/office/spreadsheetml/2017/richdata2" ref="F3:F8">
    <sortCondition ref="F2:F8"/>
  </sortState>
  <tableColumns count="1">
    <tableColumn id="1" xr3:uid="{357023AC-511A-4A5F-A988-BF652A0968FE}" name="type de proje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61E7C0E-8A7E-47E8-9B29-77F7B593BB73}" name="Tableau4" displayName="Tableau4" ref="H2:H18" totalsRowShown="0">
  <autoFilter ref="H2:H18" xr:uid="{161E7C0E-8A7E-47E8-9B29-77F7B593BB73}"/>
  <tableColumns count="1">
    <tableColumn id="1" xr3:uid="{37924000-7EE4-4255-A823-3BE9AB5C4D9B}" name="% com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609DCE-3CE2-45B8-86E9-A5736A5C3A0E}">
  <sheetPr codeName="Feuil1"/>
  <dimension ref="B2:H18"/>
  <sheetViews>
    <sheetView workbookViewId="0">
      <selection activeCell="B40" sqref="B40"/>
    </sheetView>
  </sheetViews>
  <sheetFormatPr baseColWidth="10" defaultRowHeight="15"/>
  <cols>
    <col min="2" max="2" width="49.85546875" bestFit="1" customWidth="1"/>
    <col min="4" max="4" width="42" customWidth="1"/>
    <col min="6" max="6" width="43.28515625" bestFit="1" customWidth="1"/>
  </cols>
  <sheetData>
    <row r="2" spans="2:8">
      <c r="B2" t="s">
        <v>43</v>
      </c>
      <c r="D2" t="s">
        <v>2</v>
      </c>
      <c r="F2" t="s">
        <v>83</v>
      </c>
      <c r="H2" t="s">
        <v>105</v>
      </c>
    </row>
    <row r="3" spans="2:8">
      <c r="B3" t="s">
        <v>36</v>
      </c>
      <c r="D3" t="s">
        <v>75</v>
      </c>
      <c r="F3" t="s">
        <v>99</v>
      </c>
      <c r="H3" s="77">
        <v>0.05</v>
      </c>
    </row>
    <row r="4" spans="2:8">
      <c r="B4" t="s">
        <v>37</v>
      </c>
      <c r="D4" t="s">
        <v>69</v>
      </c>
      <c r="F4" t="s">
        <v>100</v>
      </c>
      <c r="H4" s="77">
        <v>0.06</v>
      </c>
    </row>
    <row r="5" spans="2:8">
      <c r="B5" t="s">
        <v>38</v>
      </c>
      <c r="D5" t="s">
        <v>70</v>
      </c>
      <c r="F5" t="s">
        <v>101</v>
      </c>
      <c r="H5" s="77">
        <v>7.0000000000000007E-2</v>
      </c>
    </row>
    <row r="6" spans="2:8">
      <c r="B6" t="s">
        <v>39</v>
      </c>
      <c r="D6" t="s">
        <v>68</v>
      </c>
      <c r="F6" t="s">
        <v>102</v>
      </c>
      <c r="H6" s="77">
        <v>0.08</v>
      </c>
    </row>
    <row r="7" spans="2:8">
      <c r="B7" t="s">
        <v>40</v>
      </c>
      <c r="F7" t="s">
        <v>103</v>
      </c>
      <c r="H7" s="77">
        <v>0.09</v>
      </c>
    </row>
    <row r="8" spans="2:8">
      <c r="B8" t="s">
        <v>41</v>
      </c>
      <c r="F8" t="s">
        <v>104</v>
      </c>
      <c r="H8" s="77">
        <v>0.1</v>
      </c>
    </row>
    <row r="9" spans="2:8">
      <c r="B9" t="s">
        <v>42</v>
      </c>
      <c r="F9" t="s">
        <v>110</v>
      </c>
      <c r="H9" s="77">
        <v>0.11</v>
      </c>
    </row>
    <row r="10" spans="2:8">
      <c r="H10" s="77">
        <v>0.12</v>
      </c>
    </row>
    <row r="11" spans="2:8">
      <c r="H11" s="77">
        <v>0.13</v>
      </c>
    </row>
    <row r="12" spans="2:8">
      <c r="H12" s="77">
        <v>0.14000000000000001</v>
      </c>
    </row>
    <row r="13" spans="2:8">
      <c r="H13" s="77">
        <v>0.15</v>
      </c>
    </row>
    <row r="14" spans="2:8">
      <c r="H14" s="77">
        <v>0.16</v>
      </c>
    </row>
    <row r="15" spans="2:8">
      <c r="H15" s="77">
        <v>0.17</v>
      </c>
    </row>
    <row r="16" spans="2:8">
      <c r="H16" s="77">
        <v>0.18</v>
      </c>
    </row>
    <row r="17" spans="8:8">
      <c r="H17" s="77">
        <v>0.19</v>
      </c>
    </row>
    <row r="18" spans="8:8">
      <c r="H18" s="77">
        <v>0.2</v>
      </c>
    </row>
  </sheetData>
  <phoneticPr fontId="9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B1:AG71"/>
  <sheetViews>
    <sheetView showGridLines="0" topLeftCell="A34" zoomScaleNormal="100" workbookViewId="0">
      <selection activeCell="F60" sqref="F60"/>
    </sheetView>
  </sheetViews>
  <sheetFormatPr baseColWidth="10" defaultColWidth="9.140625" defaultRowHeight="15"/>
  <cols>
    <col min="2" max="2" width="42.7109375" bestFit="1" customWidth="1"/>
    <col min="3" max="11" width="16.7109375" customWidth="1"/>
    <col min="12" max="13" width="15.42578125" customWidth="1"/>
    <col min="14" max="14" width="7.7109375" customWidth="1"/>
    <col min="15" max="15" width="9.7109375" bestFit="1" customWidth="1"/>
    <col min="16" max="18" width="9.42578125" bestFit="1" customWidth="1"/>
    <col min="19" max="26" width="7.7109375" customWidth="1"/>
    <col min="27" max="28" width="12.7109375" bestFit="1" customWidth="1"/>
    <col min="30" max="30" width="9.7109375" bestFit="1" customWidth="1"/>
    <col min="31" max="33" width="9.42578125" bestFit="1" customWidth="1"/>
  </cols>
  <sheetData>
    <row r="1" spans="2:33" ht="15.75" thickBot="1"/>
    <row r="2" spans="2:33" ht="21.75" thickBot="1">
      <c r="B2" s="81" t="s">
        <v>25</v>
      </c>
      <c r="C2" s="82"/>
      <c r="D2" s="82"/>
      <c r="E2" s="82"/>
      <c r="F2" s="82"/>
      <c r="G2" s="82"/>
      <c r="H2" s="82"/>
      <c r="I2" s="82"/>
      <c r="J2" s="82"/>
      <c r="K2" s="82"/>
      <c r="L2" s="82"/>
      <c r="M2" s="83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2"/>
      <c r="AD2" s="2"/>
      <c r="AE2" s="2"/>
      <c r="AF2" s="2"/>
      <c r="AG2" s="2"/>
    </row>
    <row r="3" spans="2:33">
      <c r="B3" s="4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3"/>
      <c r="AE3" s="4"/>
      <c r="AF3" s="2"/>
      <c r="AG3" s="2"/>
    </row>
    <row r="4" spans="2:33" ht="18.75">
      <c r="B4" s="78" t="s">
        <v>13</v>
      </c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3"/>
      <c r="AE4" s="4"/>
      <c r="AF4" s="2"/>
      <c r="AG4" s="2"/>
    </row>
    <row r="5" spans="2:33" ht="30">
      <c r="B5" s="7"/>
      <c r="C5" s="6" t="s">
        <v>5</v>
      </c>
      <c r="D5" s="17" t="s">
        <v>6</v>
      </c>
      <c r="E5" s="17" t="s">
        <v>7</v>
      </c>
      <c r="F5" s="17" t="s">
        <v>8</v>
      </c>
      <c r="G5" s="17" t="s">
        <v>20</v>
      </c>
      <c r="H5" s="17" t="s">
        <v>9</v>
      </c>
      <c r="I5" s="17" t="s">
        <v>10</v>
      </c>
      <c r="J5" s="17" t="s">
        <v>11</v>
      </c>
      <c r="K5" s="6" t="s">
        <v>21</v>
      </c>
      <c r="L5" s="21" t="s">
        <v>23</v>
      </c>
      <c r="M5" s="6" t="s">
        <v>22</v>
      </c>
      <c r="N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3"/>
      <c r="AE5" s="4"/>
      <c r="AF5" s="2"/>
      <c r="AG5" s="2"/>
    </row>
    <row r="6" spans="2:33" ht="16.5" thickBot="1">
      <c r="B6" s="8" t="s">
        <v>12</v>
      </c>
      <c r="C6" s="9">
        <f>C42</f>
        <v>2.5000000000000001E-2</v>
      </c>
      <c r="D6" s="10"/>
      <c r="E6" s="10"/>
      <c r="F6" s="10"/>
      <c r="G6" s="10"/>
      <c r="H6" s="10"/>
      <c r="I6" s="10"/>
      <c r="J6" s="10"/>
      <c r="K6" s="18">
        <f>SUM(C6:J6)</f>
        <v>2.5000000000000001E-2</v>
      </c>
      <c r="L6" s="22">
        <v>1</v>
      </c>
      <c r="M6" s="22">
        <v>0</v>
      </c>
      <c r="N6" s="2"/>
      <c r="AD6" s="3"/>
      <c r="AE6" s="4"/>
    </row>
    <row r="7" spans="2:33" ht="15.75" thickTop="1">
      <c r="B7" s="11" t="s">
        <v>0</v>
      </c>
      <c r="C7" s="12">
        <v>0.55000000000000004</v>
      </c>
      <c r="D7" s="13"/>
      <c r="E7" s="13"/>
      <c r="F7" s="13"/>
      <c r="G7" s="13"/>
      <c r="H7" s="13"/>
      <c r="I7" s="13"/>
      <c r="J7" s="13"/>
      <c r="K7" s="19">
        <f>SUM(C7:J7)</f>
        <v>0.55000000000000004</v>
      </c>
      <c r="L7" s="23" t="s">
        <v>24</v>
      </c>
      <c r="M7" s="23" t="s">
        <v>24</v>
      </c>
      <c r="N7" s="2"/>
    </row>
    <row r="8" spans="2:33">
      <c r="B8" s="14" t="s">
        <v>1</v>
      </c>
      <c r="C8" s="15">
        <v>0.45</v>
      </c>
      <c r="D8" s="16"/>
      <c r="E8" s="16"/>
      <c r="F8" s="16"/>
      <c r="G8" s="16"/>
      <c r="H8" s="16"/>
      <c r="I8" s="16"/>
      <c r="J8" s="16"/>
      <c r="K8" s="20">
        <f>SUM(C8:J8)</f>
        <v>0.45</v>
      </c>
      <c r="L8" s="24">
        <f>K8</f>
        <v>0.45</v>
      </c>
      <c r="M8" s="24"/>
      <c r="N8" s="2"/>
      <c r="O8" s="2"/>
      <c r="P8" s="2"/>
      <c r="Q8" s="2"/>
    </row>
    <row r="9" spans="2:33">
      <c r="J9" s="2"/>
      <c r="K9" s="2"/>
      <c r="L9" s="2"/>
      <c r="M9" s="2"/>
      <c r="N9" s="2"/>
      <c r="O9" s="2"/>
      <c r="P9" s="2"/>
      <c r="Q9" s="2"/>
    </row>
    <row r="10" spans="2:33" ht="18.75">
      <c r="B10" s="78" t="s">
        <v>14</v>
      </c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2"/>
      <c r="O10" s="2"/>
      <c r="P10" s="2"/>
      <c r="Q10" s="2"/>
    </row>
    <row r="11" spans="2:33" ht="30">
      <c r="B11" s="7"/>
      <c r="C11" s="6" t="s">
        <v>5</v>
      </c>
      <c r="D11" s="6" t="s">
        <v>6</v>
      </c>
      <c r="E11" s="17" t="s">
        <v>7</v>
      </c>
      <c r="F11" s="17" t="s">
        <v>8</v>
      </c>
      <c r="G11" s="17" t="s">
        <v>20</v>
      </c>
      <c r="H11" s="17" t="s">
        <v>9</v>
      </c>
      <c r="I11" s="17" t="s">
        <v>10</v>
      </c>
      <c r="J11" s="17" t="s">
        <v>11</v>
      </c>
      <c r="K11" s="6" t="s">
        <v>21</v>
      </c>
      <c r="L11" s="21" t="s">
        <v>23</v>
      </c>
      <c r="M11" s="6" t="s">
        <v>22</v>
      </c>
      <c r="N11" s="2"/>
      <c r="O11" s="2"/>
      <c r="P11" s="2"/>
      <c r="Q11" s="2"/>
    </row>
    <row r="12" spans="2:33" ht="16.5" thickBot="1">
      <c r="B12" s="8" t="s">
        <v>12</v>
      </c>
      <c r="C12" s="9">
        <f>C42</f>
        <v>2.5000000000000001E-2</v>
      </c>
      <c r="D12" s="9">
        <f>D42</f>
        <v>2.5000000000000001E-2</v>
      </c>
      <c r="E12" s="10"/>
      <c r="F12" s="10"/>
      <c r="G12" s="10"/>
      <c r="H12" s="10"/>
      <c r="I12" s="10"/>
      <c r="J12" s="10"/>
      <c r="K12" s="9">
        <f>SUM(C12:J12)</f>
        <v>0.05</v>
      </c>
      <c r="L12" s="22">
        <v>1</v>
      </c>
      <c r="M12" s="22">
        <v>0</v>
      </c>
    </row>
    <row r="13" spans="2:33" ht="15.75" thickTop="1">
      <c r="B13" s="11" t="s">
        <v>0</v>
      </c>
      <c r="C13" s="12">
        <v>0.55000000000000004</v>
      </c>
      <c r="D13" s="12">
        <v>0.55000000000000004</v>
      </c>
      <c r="E13" s="13"/>
      <c r="F13" s="13"/>
      <c r="G13" s="13"/>
      <c r="H13" s="13"/>
      <c r="I13" s="13"/>
      <c r="J13" s="13"/>
      <c r="K13" s="12">
        <f>(SUM(C13:J13))/(COUNTA(C13:J13))</f>
        <v>0.55000000000000004</v>
      </c>
      <c r="L13" s="23" t="s">
        <v>24</v>
      </c>
      <c r="M13" s="23" t="s">
        <v>24</v>
      </c>
    </row>
    <row r="14" spans="2:33">
      <c r="B14" s="14" t="s">
        <v>1</v>
      </c>
      <c r="C14" s="15">
        <v>0.45</v>
      </c>
      <c r="D14" s="15">
        <v>0.45</v>
      </c>
      <c r="E14" s="16"/>
      <c r="F14" s="16"/>
      <c r="G14" s="16"/>
      <c r="H14" s="16"/>
      <c r="I14" s="16"/>
      <c r="J14" s="16"/>
      <c r="K14" s="12">
        <f>(SUM(C14:J14))/(COUNTA(C14:J14))</f>
        <v>0.45</v>
      </c>
      <c r="L14" s="24">
        <f>K14</f>
        <v>0.45</v>
      </c>
      <c r="M14" s="24"/>
    </row>
    <row r="16" spans="2:33" ht="18.75">
      <c r="B16" s="78" t="s">
        <v>15</v>
      </c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</row>
    <row r="17" spans="2:13" ht="30">
      <c r="B17" s="7"/>
      <c r="C17" s="6" t="s">
        <v>5</v>
      </c>
      <c r="D17" s="6" t="s">
        <v>6</v>
      </c>
      <c r="E17" s="6" t="s">
        <v>7</v>
      </c>
      <c r="F17" s="17" t="s">
        <v>8</v>
      </c>
      <c r="G17" s="17" t="s">
        <v>20</v>
      </c>
      <c r="H17" s="17" t="s">
        <v>9</v>
      </c>
      <c r="I17" s="17" t="s">
        <v>10</v>
      </c>
      <c r="J17" s="17" t="s">
        <v>11</v>
      </c>
      <c r="K17" s="6" t="s">
        <v>21</v>
      </c>
      <c r="L17" s="21" t="s">
        <v>23</v>
      </c>
      <c r="M17" s="6" t="s">
        <v>22</v>
      </c>
    </row>
    <row r="18" spans="2:13" ht="16.5" thickBot="1">
      <c r="B18" s="8" t="s">
        <v>12</v>
      </c>
      <c r="C18" s="9">
        <f>C42</f>
        <v>2.5000000000000001E-2</v>
      </c>
      <c r="D18" s="9">
        <f t="shared" ref="D18:E18" si="0">D42</f>
        <v>2.5000000000000001E-2</v>
      </c>
      <c r="E18" s="9">
        <f t="shared" si="0"/>
        <v>0.12</v>
      </c>
      <c r="F18" s="10"/>
      <c r="G18" s="10"/>
      <c r="H18" s="10"/>
      <c r="I18" s="10"/>
      <c r="J18" s="10"/>
      <c r="K18" s="9">
        <f>SUM(C18:J18)</f>
        <v>0.16999999999999998</v>
      </c>
      <c r="L18" s="22">
        <v>1</v>
      </c>
      <c r="M18" s="22">
        <v>0</v>
      </c>
    </row>
    <row r="19" spans="2:13" ht="15.75" thickTop="1">
      <c r="B19" s="11" t="s">
        <v>0</v>
      </c>
      <c r="C19" s="12">
        <v>0.55000000000000004</v>
      </c>
      <c r="D19" s="12">
        <v>0.55000000000000004</v>
      </c>
      <c r="E19" s="12">
        <v>0.55000000000000004</v>
      </c>
      <c r="F19" s="13"/>
      <c r="G19" s="13"/>
      <c r="H19" s="13"/>
      <c r="I19" s="13"/>
      <c r="J19" s="13"/>
      <c r="K19" s="12">
        <f>(SUM(C19:J19))/(COUNTA(C19:J19))</f>
        <v>0.55000000000000004</v>
      </c>
      <c r="L19" s="23" t="s">
        <v>24</v>
      </c>
      <c r="M19" s="23" t="s">
        <v>24</v>
      </c>
    </row>
    <row r="20" spans="2:13">
      <c r="B20" s="14" t="s">
        <v>1</v>
      </c>
      <c r="C20" s="15">
        <v>0.45</v>
      </c>
      <c r="D20" s="15">
        <v>0.45</v>
      </c>
      <c r="E20" s="15">
        <v>0.45</v>
      </c>
      <c r="F20" s="16"/>
      <c r="G20" s="16"/>
      <c r="H20" s="16"/>
      <c r="I20" s="16"/>
      <c r="J20" s="16"/>
      <c r="K20" s="12">
        <f>(SUM(C20:J20))/(COUNTA(C20:J20))</f>
        <v>0.45</v>
      </c>
      <c r="L20" s="24">
        <f>K20</f>
        <v>0.45</v>
      </c>
      <c r="M20" s="24"/>
    </row>
    <row r="22" spans="2:13" ht="18.75">
      <c r="B22" s="78" t="s">
        <v>16</v>
      </c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</row>
    <row r="23" spans="2:13" ht="30">
      <c r="B23" s="7"/>
      <c r="C23" s="6" t="s">
        <v>5</v>
      </c>
      <c r="D23" s="6" t="s">
        <v>6</v>
      </c>
      <c r="E23" s="6" t="s">
        <v>7</v>
      </c>
      <c r="F23" s="6" t="s">
        <v>8</v>
      </c>
      <c r="G23" s="17" t="s">
        <v>20</v>
      </c>
      <c r="H23" s="17" t="s">
        <v>9</v>
      </c>
      <c r="I23" s="17" t="s">
        <v>10</v>
      </c>
      <c r="J23" s="17" t="s">
        <v>11</v>
      </c>
      <c r="K23" s="6" t="s">
        <v>21</v>
      </c>
      <c r="L23" s="21" t="s">
        <v>23</v>
      </c>
      <c r="M23" s="6" t="s">
        <v>22</v>
      </c>
    </row>
    <row r="24" spans="2:13" ht="16.5" thickBot="1">
      <c r="B24" s="8" t="s">
        <v>12</v>
      </c>
      <c r="C24" s="9">
        <f>C42</f>
        <v>2.5000000000000001E-2</v>
      </c>
      <c r="D24" s="9">
        <f t="shared" ref="D24:F24" si="1">D42</f>
        <v>2.5000000000000001E-2</v>
      </c>
      <c r="E24" s="9">
        <f t="shared" si="1"/>
        <v>0.12</v>
      </c>
      <c r="F24" s="9">
        <f t="shared" si="1"/>
        <v>0.12</v>
      </c>
      <c r="G24" s="10"/>
      <c r="H24" s="10"/>
      <c r="I24" s="10"/>
      <c r="J24" s="10"/>
      <c r="K24" s="9">
        <f>SUM(C24:J24)</f>
        <v>0.28999999999999998</v>
      </c>
      <c r="L24" s="22">
        <v>1</v>
      </c>
      <c r="M24" s="22">
        <v>0</v>
      </c>
    </row>
    <row r="25" spans="2:13" ht="15.75" thickTop="1">
      <c r="B25" s="11" t="s">
        <v>0</v>
      </c>
      <c r="C25" s="12">
        <v>0.55000000000000004</v>
      </c>
      <c r="D25" s="12">
        <v>0.55000000000000004</v>
      </c>
      <c r="E25" s="12">
        <v>0.55000000000000004</v>
      </c>
      <c r="F25" s="12">
        <v>0.55000000000000004</v>
      </c>
      <c r="G25" s="13"/>
      <c r="H25" s="13"/>
      <c r="I25" s="13"/>
      <c r="J25" s="13"/>
      <c r="K25" s="12">
        <f>(SUM(C25:J25))/(COUNTA(C25:J25))</f>
        <v>0.55000000000000004</v>
      </c>
      <c r="L25" s="23" t="s">
        <v>24</v>
      </c>
      <c r="M25" s="23" t="s">
        <v>24</v>
      </c>
    </row>
    <row r="26" spans="2:13">
      <c r="B26" s="14" t="s">
        <v>1</v>
      </c>
      <c r="C26" s="15">
        <v>0.45</v>
      </c>
      <c r="D26" s="15">
        <v>0.45</v>
      </c>
      <c r="E26" s="15">
        <v>0.45</v>
      </c>
      <c r="F26" s="15">
        <v>0.45</v>
      </c>
      <c r="G26" s="16"/>
      <c r="H26" s="16"/>
      <c r="I26" s="16"/>
      <c r="J26" s="16"/>
      <c r="K26" s="12">
        <f>(SUM(C26:J26))/(COUNTA(C26:J26))</f>
        <v>0.45</v>
      </c>
      <c r="L26" s="24">
        <f>K26</f>
        <v>0.45</v>
      </c>
      <c r="M26" s="24"/>
    </row>
    <row r="28" spans="2:13" ht="18.75">
      <c r="B28" s="78" t="s">
        <v>17</v>
      </c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</row>
    <row r="29" spans="2:13" ht="30">
      <c r="B29" s="7"/>
      <c r="C29" s="6" t="s">
        <v>5</v>
      </c>
      <c r="D29" s="6" t="s">
        <v>6</v>
      </c>
      <c r="E29" s="6" t="s">
        <v>7</v>
      </c>
      <c r="F29" s="6" t="s">
        <v>8</v>
      </c>
      <c r="G29" s="6" t="s">
        <v>20</v>
      </c>
      <c r="H29" s="17" t="s">
        <v>9</v>
      </c>
      <c r="I29" s="17" t="s">
        <v>10</v>
      </c>
      <c r="J29" s="17" t="s">
        <v>11</v>
      </c>
      <c r="K29" s="6" t="s">
        <v>21</v>
      </c>
      <c r="L29" s="21" t="s">
        <v>23</v>
      </c>
      <c r="M29" s="6" t="s">
        <v>22</v>
      </c>
    </row>
    <row r="30" spans="2:13" ht="16.5" thickBot="1">
      <c r="B30" s="8" t="s">
        <v>12</v>
      </c>
      <c r="C30" s="9">
        <f>C42</f>
        <v>2.5000000000000001E-2</v>
      </c>
      <c r="D30" s="9">
        <f t="shared" ref="D30:G30" si="2">D42</f>
        <v>2.5000000000000001E-2</v>
      </c>
      <c r="E30" s="9">
        <f t="shared" si="2"/>
        <v>0.12</v>
      </c>
      <c r="F30" s="9">
        <f t="shared" si="2"/>
        <v>0.12</v>
      </c>
      <c r="G30" s="9">
        <f t="shared" si="2"/>
        <v>0.16</v>
      </c>
      <c r="H30" s="10"/>
      <c r="I30" s="10"/>
      <c r="J30" s="10"/>
      <c r="K30" s="9">
        <f>SUM(C30:J30)</f>
        <v>0.44999999999999996</v>
      </c>
      <c r="L30" s="22">
        <v>1</v>
      </c>
      <c r="M30" s="22">
        <v>0</v>
      </c>
    </row>
    <row r="31" spans="2:13" ht="15.75" thickTop="1">
      <c r="B31" s="11" t="s">
        <v>0</v>
      </c>
      <c r="C31" s="12">
        <v>0.55000000000000004</v>
      </c>
      <c r="D31" s="12">
        <v>0.55000000000000004</v>
      </c>
      <c r="E31" s="12">
        <v>0.55000000000000004</v>
      </c>
      <c r="F31" s="12">
        <v>0.55000000000000004</v>
      </c>
      <c r="G31" s="12">
        <v>0.55000000000000004</v>
      </c>
      <c r="H31" s="13"/>
      <c r="I31" s="13"/>
      <c r="J31" s="13"/>
      <c r="K31" s="12">
        <f>(SUM(C31:J31))/(COUNTA(C31:J31))</f>
        <v>0.55000000000000004</v>
      </c>
      <c r="L31" s="23" t="s">
        <v>24</v>
      </c>
      <c r="M31" s="23" t="s">
        <v>24</v>
      </c>
    </row>
    <row r="32" spans="2:13">
      <c r="B32" s="14" t="s">
        <v>1</v>
      </c>
      <c r="C32" s="15">
        <v>0.45</v>
      </c>
      <c r="D32" s="15">
        <v>0.45</v>
      </c>
      <c r="E32" s="15">
        <v>0.45</v>
      </c>
      <c r="F32" s="15">
        <v>0.45</v>
      </c>
      <c r="G32" s="15">
        <v>0.45</v>
      </c>
      <c r="H32" s="16"/>
      <c r="I32" s="16"/>
      <c r="J32" s="16"/>
      <c r="K32" s="12">
        <f>(SUM(C32:J32))/(COUNTA(C32:J32))</f>
        <v>0.45</v>
      </c>
      <c r="L32" s="24">
        <f>K32</f>
        <v>0.45</v>
      </c>
      <c r="M32" s="24"/>
    </row>
    <row r="34" spans="2:15" ht="18.75">
      <c r="B34" s="78" t="s">
        <v>18</v>
      </c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</row>
    <row r="35" spans="2:15" ht="30">
      <c r="B35" s="7"/>
      <c r="C35" s="6" t="s">
        <v>5</v>
      </c>
      <c r="D35" s="6" t="s">
        <v>6</v>
      </c>
      <c r="E35" s="6" t="s">
        <v>7</v>
      </c>
      <c r="F35" s="6" t="s">
        <v>8</v>
      </c>
      <c r="G35" s="6" t="s">
        <v>20</v>
      </c>
      <c r="H35" s="6" t="s">
        <v>9</v>
      </c>
      <c r="I35" s="17" t="s">
        <v>10</v>
      </c>
      <c r="J35" s="6" t="s">
        <v>11</v>
      </c>
      <c r="K35" s="6" t="s">
        <v>21</v>
      </c>
      <c r="L35" s="21" t="s">
        <v>23</v>
      </c>
      <c r="M35" s="6" t="s">
        <v>22</v>
      </c>
    </row>
    <row r="36" spans="2:15" ht="16.5" thickBot="1">
      <c r="B36" s="8" t="s">
        <v>12</v>
      </c>
      <c r="C36" s="9">
        <f>C42</f>
        <v>2.5000000000000001E-2</v>
      </c>
      <c r="D36" s="9">
        <f t="shared" ref="D36:J36" si="3">D42</f>
        <v>2.5000000000000001E-2</v>
      </c>
      <c r="E36" s="9">
        <f t="shared" si="3"/>
        <v>0.12</v>
      </c>
      <c r="F36" s="9">
        <f t="shared" si="3"/>
        <v>0.12</v>
      </c>
      <c r="G36" s="9">
        <f t="shared" si="3"/>
        <v>0.16</v>
      </c>
      <c r="H36" s="9">
        <v>0.5</v>
      </c>
      <c r="I36" s="10"/>
      <c r="J36" s="9">
        <f t="shared" si="3"/>
        <v>0.05</v>
      </c>
      <c r="K36" s="9">
        <f>SUM(C36:J36)</f>
        <v>1</v>
      </c>
      <c r="L36" s="22">
        <v>0</v>
      </c>
      <c r="M36" s="22">
        <v>1</v>
      </c>
    </row>
    <row r="37" spans="2:15" ht="15.75" thickTop="1">
      <c r="B37" s="11" t="s">
        <v>0</v>
      </c>
      <c r="C37" s="12">
        <v>1</v>
      </c>
      <c r="D37" s="12">
        <v>1</v>
      </c>
      <c r="E37" s="12">
        <v>1</v>
      </c>
      <c r="F37" s="12">
        <v>1</v>
      </c>
      <c r="G37" s="12">
        <v>1</v>
      </c>
      <c r="H37" s="12"/>
      <c r="I37" s="13"/>
      <c r="J37" s="12">
        <v>1</v>
      </c>
      <c r="K37" s="12">
        <f>(SUM(C37:J37))/(COUNTA(C37:J37))</f>
        <v>1</v>
      </c>
      <c r="L37" s="23" t="s">
        <v>24</v>
      </c>
      <c r="M37" s="23" t="s">
        <v>24</v>
      </c>
      <c r="O37" s="5"/>
    </row>
    <row r="38" spans="2:15">
      <c r="B38" s="14" t="s">
        <v>1</v>
      </c>
      <c r="C38" s="15"/>
      <c r="D38" s="15"/>
      <c r="E38" s="15"/>
      <c r="F38" s="15"/>
      <c r="G38" s="15"/>
      <c r="H38" s="15">
        <v>1</v>
      </c>
      <c r="I38" s="16"/>
      <c r="J38" s="15"/>
      <c r="K38" s="12">
        <f>(SUM(C38:J38))/(COUNTA(C38:J38))</f>
        <v>1</v>
      </c>
      <c r="L38" s="24"/>
      <c r="M38" s="24">
        <v>0.5</v>
      </c>
    </row>
    <row r="40" spans="2:15" ht="18.75">
      <c r="B40" s="78" t="s">
        <v>19</v>
      </c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</row>
    <row r="41" spans="2:15" ht="30">
      <c r="B41" s="7"/>
      <c r="C41" s="6" t="s">
        <v>5</v>
      </c>
      <c r="D41" s="6" t="s">
        <v>6</v>
      </c>
      <c r="E41" s="6" t="s">
        <v>7</v>
      </c>
      <c r="F41" s="6" t="s">
        <v>8</v>
      </c>
      <c r="G41" s="6" t="s">
        <v>20</v>
      </c>
      <c r="H41" s="17" t="s">
        <v>9</v>
      </c>
      <c r="I41" s="6" t="s">
        <v>10</v>
      </c>
      <c r="J41" s="6" t="s">
        <v>11</v>
      </c>
      <c r="K41" s="6" t="s">
        <v>21</v>
      </c>
      <c r="L41" s="21" t="s">
        <v>23</v>
      </c>
      <c r="M41" s="6" t="s">
        <v>22</v>
      </c>
    </row>
    <row r="42" spans="2:15" ht="16.5" thickBot="1">
      <c r="B42" s="8" t="s">
        <v>12</v>
      </c>
      <c r="C42" s="9">
        <v>2.5000000000000001E-2</v>
      </c>
      <c r="D42" s="9">
        <v>2.5000000000000001E-2</v>
      </c>
      <c r="E42" s="9">
        <v>0.12</v>
      </c>
      <c r="F42" s="9">
        <v>0.12</v>
      </c>
      <c r="G42" s="9">
        <v>0.16</v>
      </c>
      <c r="H42" s="10"/>
      <c r="I42" s="9">
        <v>0.5</v>
      </c>
      <c r="J42" s="9">
        <v>0.05</v>
      </c>
      <c r="K42" s="9">
        <f>SUM(C42:J42)</f>
        <v>1</v>
      </c>
      <c r="L42" s="22">
        <v>0</v>
      </c>
      <c r="M42" s="22">
        <v>1</v>
      </c>
    </row>
    <row r="43" spans="2:15" ht="15.75" thickTop="1">
      <c r="B43" s="11" t="s">
        <v>0</v>
      </c>
      <c r="C43" s="12">
        <v>1</v>
      </c>
      <c r="D43" s="12">
        <v>1</v>
      </c>
      <c r="E43" s="12">
        <v>1</v>
      </c>
      <c r="F43" s="12">
        <v>1</v>
      </c>
      <c r="G43" s="12">
        <v>1</v>
      </c>
      <c r="H43" s="13"/>
      <c r="I43" s="12"/>
      <c r="J43" s="12">
        <v>1</v>
      </c>
      <c r="K43" s="12">
        <f>(SUM(C43:J43))/(COUNTA(C43:J43))</f>
        <v>1</v>
      </c>
      <c r="L43" s="23" t="s">
        <v>24</v>
      </c>
      <c r="M43" s="23" t="s">
        <v>24</v>
      </c>
      <c r="O43" s="5"/>
    </row>
    <row r="44" spans="2:15">
      <c r="B44" s="14" t="s">
        <v>1</v>
      </c>
      <c r="C44" s="15"/>
      <c r="D44" s="15"/>
      <c r="E44" s="15"/>
      <c r="F44" s="15"/>
      <c r="G44" s="15"/>
      <c r="H44" s="16"/>
      <c r="I44" s="15">
        <v>1</v>
      </c>
      <c r="J44" s="15"/>
      <c r="K44" s="12">
        <f>(SUM(C44:J44))/(COUNTA(C44:J44))</f>
        <v>1</v>
      </c>
      <c r="L44" s="24"/>
      <c r="M44" s="24">
        <v>0.5</v>
      </c>
    </row>
    <row r="46" spans="2:15" ht="18.75">
      <c r="B46" s="78" t="s">
        <v>75</v>
      </c>
      <c r="C46" s="79"/>
      <c r="D46" s="79"/>
      <c r="E46" s="79"/>
      <c r="G46" s="78" t="s">
        <v>69</v>
      </c>
      <c r="H46" s="79"/>
      <c r="I46" s="79"/>
      <c r="J46" s="79"/>
    </row>
    <row r="47" spans="2:15" ht="30">
      <c r="B47" s="7"/>
      <c r="C47" s="6" t="s">
        <v>26</v>
      </c>
      <c r="D47" s="21" t="s">
        <v>23</v>
      </c>
      <c r="E47" s="6" t="s">
        <v>22</v>
      </c>
      <c r="G47" s="7"/>
      <c r="H47" s="6" t="s">
        <v>26</v>
      </c>
      <c r="I47" s="21" t="s">
        <v>23</v>
      </c>
      <c r="J47" s="6" t="s">
        <v>22</v>
      </c>
    </row>
    <row r="48" spans="2:15" ht="16.5" thickBot="1">
      <c r="B48" s="8" t="s">
        <v>12</v>
      </c>
      <c r="C48" s="37">
        <v>4500</v>
      </c>
      <c r="D48" s="22">
        <v>1</v>
      </c>
      <c r="E48" s="22">
        <v>0</v>
      </c>
      <c r="G48" s="8" t="s">
        <v>12</v>
      </c>
      <c r="H48" s="37">
        <v>12</v>
      </c>
      <c r="I48" s="22">
        <v>1</v>
      </c>
      <c r="J48" s="22">
        <v>0</v>
      </c>
    </row>
    <row r="49" spans="2:10" ht="15.75" thickTop="1">
      <c r="B49" s="11" t="s">
        <v>0</v>
      </c>
      <c r="C49" s="12">
        <f>2/3</f>
        <v>0.66666666666666663</v>
      </c>
      <c r="D49" s="23" t="s">
        <v>24</v>
      </c>
      <c r="E49" s="23" t="s">
        <v>24</v>
      </c>
      <c r="G49" s="11" t="s">
        <v>0</v>
      </c>
      <c r="H49" s="12">
        <f>2/3</f>
        <v>0.66666666666666663</v>
      </c>
      <c r="I49" s="23" t="s">
        <v>24</v>
      </c>
      <c r="J49" s="23" t="s">
        <v>24</v>
      </c>
    </row>
    <row r="50" spans="2:10">
      <c r="B50" s="11" t="s">
        <v>28</v>
      </c>
      <c r="C50" s="12">
        <v>0</v>
      </c>
      <c r="D50" s="23"/>
      <c r="E50" s="23"/>
      <c r="G50" s="11" t="s">
        <v>28</v>
      </c>
      <c r="H50" s="12">
        <v>0</v>
      </c>
      <c r="I50" s="23"/>
      <c r="J50" s="23"/>
    </row>
    <row r="51" spans="2:10">
      <c r="B51" s="14" t="s">
        <v>1</v>
      </c>
      <c r="C51" s="15">
        <f>1/3</f>
        <v>0.33333333333333331</v>
      </c>
      <c r="D51" s="24">
        <f>C51</f>
        <v>0.33333333333333331</v>
      </c>
      <c r="E51" s="24">
        <v>0</v>
      </c>
      <c r="G51" s="14" t="s">
        <v>1</v>
      </c>
      <c r="H51" s="15">
        <f>1/3</f>
        <v>0.33333333333333331</v>
      </c>
      <c r="I51" s="24">
        <f>H51</f>
        <v>0.33333333333333331</v>
      </c>
      <c r="J51" s="24">
        <v>0</v>
      </c>
    </row>
    <row r="53" spans="2:10" ht="18.75" customHeight="1">
      <c r="B53" s="78" t="s">
        <v>70</v>
      </c>
      <c r="C53" s="79"/>
      <c r="D53" s="79"/>
      <c r="E53" s="79"/>
      <c r="G53" s="78" t="s">
        <v>68</v>
      </c>
      <c r="H53" s="79"/>
      <c r="I53" s="79"/>
      <c r="J53" s="79"/>
    </row>
    <row r="54" spans="2:10" ht="30">
      <c r="B54" s="7"/>
      <c r="C54" s="6" t="s">
        <v>27</v>
      </c>
      <c r="D54" s="21" t="s">
        <v>23</v>
      </c>
      <c r="E54" s="6" t="s">
        <v>22</v>
      </c>
      <c r="G54" s="7"/>
      <c r="H54" s="6" t="s">
        <v>27</v>
      </c>
      <c r="I54" s="21" t="s">
        <v>23</v>
      </c>
      <c r="J54" s="6" t="s">
        <v>22</v>
      </c>
    </row>
    <row r="55" spans="2:10" ht="16.5" thickBot="1">
      <c r="B55" s="8" t="s">
        <v>12</v>
      </c>
      <c r="C55" s="37">
        <v>40</v>
      </c>
      <c r="D55" s="22">
        <v>1</v>
      </c>
      <c r="E55" s="22">
        <v>0</v>
      </c>
      <c r="G55" s="8" t="s">
        <v>12</v>
      </c>
      <c r="H55" s="37">
        <v>10</v>
      </c>
      <c r="I55" s="22">
        <v>1</v>
      </c>
      <c r="J55" s="22">
        <v>0</v>
      </c>
    </row>
    <row r="56" spans="2:10" ht="15.75" thickTop="1">
      <c r="B56" s="11" t="s">
        <v>0</v>
      </c>
      <c r="C56" s="12">
        <v>0.5</v>
      </c>
      <c r="D56" s="23" t="s">
        <v>24</v>
      </c>
      <c r="E56" s="23" t="s">
        <v>24</v>
      </c>
      <c r="G56" s="11" t="s">
        <v>0</v>
      </c>
      <c r="H56" s="12">
        <v>0.5</v>
      </c>
      <c r="I56" s="23" t="s">
        <v>24</v>
      </c>
      <c r="J56" s="23" t="s">
        <v>24</v>
      </c>
    </row>
    <row r="57" spans="2:10">
      <c r="B57" s="11" t="s">
        <v>28</v>
      </c>
      <c r="C57" s="12">
        <v>0.25</v>
      </c>
      <c r="D57" s="23"/>
      <c r="E57" s="23"/>
      <c r="G57" s="11" t="s">
        <v>28</v>
      </c>
      <c r="H57" s="12">
        <v>0.25</v>
      </c>
      <c r="I57" s="23"/>
      <c r="J57" s="23"/>
    </row>
    <row r="58" spans="2:10">
      <c r="B58" s="14" t="s">
        <v>1</v>
      </c>
      <c r="C58" s="15">
        <v>0.25</v>
      </c>
      <c r="D58" s="24">
        <f>C58</f>
        <v>0.25</v>
      </c>
      <c r="E58" s="24">
        <v>0</v>
      </c>
      <c r="G58" s="14" t="s">
        <v>1</v>
      </c>
      <c r="H58" s="15">
        <v>0.25</v>
      </c>
      <c r="I58" s="24">
        <f>H58</f>
        <v>0.25</v>
      </c>
      <c r="J58" s="24">
        <v>0</v>
      </c>
    </row>
    <row r="60" spans="2:10" ht="18.75">
      <c r="B60" s="78" t="s">
        <v>82</v>
      </c>
      <c r="C60" s="79"/>
      <c r="D60" s="79"/>
      <c r="E60" s="79"/>
    </row>
    <row r="61" spans="2:10" ht="30">
      <c r="B61" s="7"/>
      <c r="C61" s="6" t="s">
        <v>84</v>
      </c>
      <c r="D61" s="6" t="s">
        <v>23</v>
      </c>
      <c r="E61" s="6" t="s">
        <v>22</v>
      </c>
    </row>
    <row r="62" spans="2:10">
      <c r="B62" s="43" t="s">
        <v>99</v>
      </c>
      <c r="C62" s="42">
        <v>800</v>
      </c>
      <c r="D62" s="80">
        <v>1</v>
      </c>
      <c r="E62" s="80">
        <v>0</v>
      </c>
    </row>
    <row r="63" spans="2:10">
      <c r="B63" s="43" t="s">
        <v>100</v>
      </c>
      <c r="C63" s="42">
        <v>1000</v>
      </c>
      <c r="D63" s="80"/>
      <c r="E63" s="80"/>
    </row>
    <row r="64" spans="2:10">
      <c r="B64" s="43" t="s">
        <v>101</v>
      </c>
      <c r="C64" s="42">
        <v>1200</v>
      </c>
      <c r="D64" s="80"/>
      <c r="E64" s="80"/>
    </row>
    <row r="65" spans="2:5">
      <c r="B65" s="43" t="s">
        <v>102</v>
      </c>
      <c r="C65" s="42">
        <v>950</v>
      </c>
      <c r="D65" s="80"/>
      <c r="E65" s="80"/>
    </row>
    <row r="66" spans="2:5">
      <c r="B66" s="43" t="s">
        <v>103</v>
      </c>
      <c r="C66" s="42">
        <v>1150</v>
      </c>
      <c r="D66" s="80"/>
      <c r="E66" s="80"/>
    </row>
    <row r="67" spans="2:5">
      <c r="B67" s="43" t="s">
        <v>104</v>
      </c>
      <c r="C67" s="42">
        <v>1350</v>
      </c>
      <c r="D67" s="80"/>
      <c r="E67" s="80"/>
    </row>
    <row r="68" spans="2:5">
      <c r="B68" s="43" t="s">
        <v>110</v>
      </c>
      <c r="C68" s="42">
        <v>1700</v>
      </c>
      <c r="D68" s="80"/>
      <c r="E68" s="80"/>
    </row>
    <row r="69" spans="2:5">
      <c r="B69" s="43"/>
      <c r="C69" s="42"/>
      <c r="D69" s="80"/>
      <c r="E69" s="80"/>
    </row>
    <row r="70" spans="2:5">
      <c r="B70" s="43"/>
      <c r="C70" s="42"/>
      <c r="D70" s="80"/>
      <c r="E70" s="80"/>
    </row>
    <row r="71" spans="2:5">
      <c r="B71" s="43"/>
      <c r="C71" s="42"/>
      <c r="D71" s="80"/>
      <c r="E71" s="80"/>
    </row>
  </sheetData>
  <mergeCells count="15">
    <mergeCell ref="B2:M2"/>
    <mergeCell ref="B46:E46"/>
    <mergeCell ref="G46:J46"/>
    <mergeCell ref="B4:M4"/>
    <mergeCell ref="B40:M40"/>
    <mergeCell ref="B34:M34"/>
    <mergeCell ref="B28:M28"/>
    <mergeCell ref="B22:M22"/>
    <mergeCell ref="B16:M16"/>
    <mergeCell ref="B10:M10"/>
    <mergeCell ref="B60:E60"/>
    <mergeCell ref="B53:E53"/>
    <mergeCell ref="G53:J53"/>
    <mergeCell ref="D62:D71"/>
    <mergeCell ref="E62:E71"/>
  </mergeCells>
  <phoneticPr fontId="9" type="noConversion"/>
  <dataValidations count="1">
    <dataValidation type="list" allowBlank="1" showInputMessage="1" showErrorMessage="1" sqref="B62:B71" xr:uid="{7EBC1E09-145F-48BE-8EC4-5D22B4815F36}">
      <formula1>INDIRECT("tableau3[type de projet]")</formula1>
    </dataValidation>
  </dataValidations>
  <pageMargins left="0.17" right="0.17" top="0.27" bottom="0.31" header="0.17" footer="0.17"/>
  <pageSetup paperSize="9" scale="64" fitToHeight="0" orientation="landscape" verticalDpi="4" r:id="rId1"/>
  <rowBreaks count="1" manualBreakCount="1">
    <brk id="39" min="1" max="12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39277E-90D8-4F2B-81A2-10945085BDAE}">
  <sheetPr codeName="Feuil5" filterMode="1">
    <pageSetUpPr fitToPage="1"/>
  </sheetPr>
  <dimension ref="A1:AI29"/>
  <sheetViews>
    <sheetView showGridLines="0" tabSelected="1" zoomScaleNormal="100" workbookViewId="0">
      <selection activeCell="F6" sqref="F6"/>
    </sheetView>
  </sheetViews>
  <sheetFormatPr baseColWidth="10" defaultColWidth="12.42578125" defaultRowHeight="18.75" outlineLevelCol="1"/>
  <cols>
    <col min="1" max="1" width="3.5703125" style="34" bestFit="1" customWidth="1"/>
    <col min="2" max="2" width="8.140625" style="74" customWidth="1" outlineLevel="1"/>
    <col min="3" max="3" width="10.42578125" style="25" customWidth="1" outlineLevel="1"/>
    <col min="4" max="4" width="10.85546875" style="25" customWidth="1" outlineLevel="1"/>
    <col min="5" max="10" width="10.42578125" style="25" customWidth="1" outlineLevel="1"/>
    <col min="11" max="11" width="12.140625" style="25" customWidth="1" outlineLevel="1"/>
    <col min="12" max="12" width="10.42578125" style="25" customWidth="1" outlineLevel="1"/>
    <col min="13" max="13" width="3.5703125" style="25" customWidth="1" outlineLevel="1"/>
    <col min="14" max="14" width="24.42578125" style="26" bestFit="1" customWidth="1"/>
    <col min="15" max="15" width="5.85546875" style="52" bestFit="1" customWidth="1"/>
    <col min="16" max="16" width="15" style="48" bestFit="1" customWidth="1"/>
    <col min="17" max="17" width="17.42578125" style="49" bestFit="1" customWidth="1"/>
    <col min="18" max="18" width="7" style="49" bestFit="1" customWidth="1"/>
    <col min="19" max="19" width="20.85546875" style="49" bestFit="1" customWidth="1"/>
    <col min="20" max="20" width="17.42578125" style="49" bestFit="1" customWidth="1"/>
    <col min="21" max="22" width="13.85546875" style="48" bestFit="1" customWidth="1"/>
    <col min="23" max="23" width="17.42578125" style="48" customWidth="1" outlineLevel="1"/>
    <col min="24" max="24" width="13.85546875" style="48" customWidth="1" outlineLevel="1"/>
    <col min="25" max="25" width="17.42578125" style="48" customWidth="1" outlineLevel="1"/>
    <col min="26" max="26" width="13.85546875" style="48" customWidth="1" outlineLevel="1"/>
    <col min="27" max="27" width="3.5703125" style="26" bestFit="1" customWidth="1"/>
    <col min="28" max="16384" width="12.42578125" style="26"/>
  </cols>
  <sheetData>
    <row r="1" spans="1:35">
      <c r="B1" s="71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47"/>
    </row>
    <row r="2" spans="1:35" s="46" customFormat="1">
      <c r="A2" s="34" t="s">
        <v>79</v>
      </c>
      <c r="B2" s="34" t="s">
        <v>98</v>
      </c>
      <c r="C2" s="34" t="s">
        <v>97</v>
      </c>
      <c r="D2" s="34" t="s">
        <v>97</v>
      </c>
      <c r="E2" s="34" t="s">
        <v>97</v>
      </c>
      <c r="F2" s="34" t="s">
        <v>97</v>
      </c>
      <c r="G2" s="34" t="s">
        <v>97</v>
      </c>
      <c r="H2" s="34" t="s">
        <v>97</v>
      </c>
      <c r="I2" s="34" t="s">
        <v>97</v>
      </c>
      <c r="J2" s="34" t="s">
        <v>97</v>
      </c>
      <c r="K2" s="34" t="s">
        <v>97</v>
      </c>
      <c r="L2" s="34" t="s">
        <v>97</v>
      </c>
      <c r="M2" s="34" t="s">
        <v>79</v>
      </c>
      <c r="N2" s="34" t="s">
        <v>111</v>
      </c>
      <c r="O2" s="50" t="s">
        <v>88</v>
      </c>
      <c r="P2" s="47" t="s">
        <v>90</v>
      </c>
      <c r="Q2" s="47" t="s">
        <v>87</v>
      </c>
      <c r="R2" s="47" t="s">
        <v>93</v>
      </c>
      <c r="S2" s="47" t="s">
        <v>92</v>
      </c>
      <c r="T2" s="47" t="s">
        <v>87</v>
      </c>
      <c r="U2" s="47" t="s">
        <v>91</v>
      </c>
      <c r="V2" s="47" t="s">
        <v>91</v>
      </c>
      <c r="W2" s="47" t="s">
        <v>87</v>
      </c>
      <c r="X2" s="47" t="s">
        <v>91</v>
      </c>
      <c r="Y2" s="47" t="s">
        <v>87</v>
      </c>
      <c r="Z2" s="47" t="s">
        <v>91</v>
      </c>
      <c r="AA2" s="34" t="s">
        <v>79</v>
      </c>
    </row>
    <row r="3" spans="1:35">
      <c r="B3" s="72" t="s">
        <v>81</v>
      </c>
      <c r="C3" s="44"/>
      <c r="D3" s="32"/>
      <c r="E3" s="32"/>
      <c r="F3" s="32"/>
      <c r="G3" s="32"/>
      <c r="H3" s="32"/>
      <c r="I3" s="32"/>
      <c r="J3" s="32"/>
      <c r="K3" s="32"/>
      <c r="L3" s="32"/>
      <c r="O3" s="84" t="s">
        <v>106</v>
      </c>
      <c r="P3" s="84"/>
      <c r="Q3" s="51">
        <f>C5*T3</f>
        <v>240000</v>
      </c>
      <c r="S3" s="45" t="s">
        <v>76</v>
      </c>
      <c r="T3" s="64">
        <v>240</v>
      </c>
      <c r="W3" s="40" t="s">
        <v>78</v>
      </c>
      <c r="X3" s="51">
        <f>X22+X29</f>
        <v>6513.6</v>
      </c>
      <c r="Y3" s="40" t="s">
        <v>77</v>
      </c>
      <c r="Z3" s="51">
        <f>Z22+Z29</f>
        <v>4718.3999999999996</v>
      </c>
    </row>
    <row r="4" spans="1:35">
      <c r="B4" s="72" t="s">
        <v>81</v>
      </c>
      <c r="C4" s="28" t="s">
        <v>96</v>
      </c>
      <c r="D4" s="33" t="s">
        <v>94</v>
      </c>
      <c r="E4" s="33">
        <v>1</v>
      </c>
      <c r="F4" s="33">
        <v>2</v>
      </c>
      <c r="G4" s="33">
        <v>3</v>
      </c>
      <c r="H4" s="33">
        <v>4</v>
      </c>
      <c r="I4" s="33">
        <v>5</v>
      </c>
      <c r="J4" s="33">
        <v>6</v>
      </c>
      <c r="K4" s="33">
        <v>7</v>
      </c>
      <c r="L4" s="33">
        <v>8</v>
      </c>
      <c r="O4" s="84" t="s">
        <v>86</v>
      </c>
      <c r="P4" s="84"/>
      <c r="Q4" s="63">
        <v>0.12</v>
      </c>
      <c r="S4" s="45" t="s">
        <v>108</v>
      </c>
      <c r="T4" s="51">
        <f>IF(Q3=0,"",(Q3/T3))</f>
        <v>1000</v>
      </c>
    </row>
    <row r="5" spans="1:35">
      <c r="B5" s="72" t="s">
        <v>81</v>
      </c>
      <c r="C5" s="35">
        <f>SUM(E5:L5)</f>
        <v>1000</v>
      </c>
      <c r="D5" s="33" t="s">
        <v>95</v>
      </c>
      <c r="E5" s="38">
        <f>IF((LEFT($Q$8,1))="1",'grille tarifaire'!C62,0)</f>
        <v>0</v>
      </c>
      <c r="F5" s="38">
        <f>IF((LEFT($Q$8,1))="2",'grille tarifaire'!C63,0)</f>
        <v>1000</v>
      </c>
      <c r="G5" s="38">
        <f>IF((LEFT($Q$8,1))="3",'grille tarifaire'!C64,0)</f>
        <v>0</v>
      </c>
      <c r="H5" s="38">
        <f>IF((LEFT($Q$8,1))="4",'grille tarifaire'!C65,0)</f>
        <v>0</v>
      </c>
      <c r="I5" s="38">
        <f>IF((LEFT($Q$8,1))="5",'grille tarifaire'!C66,0)</f>
        <v>0</v>
      </c>
      <c r="J5" s="38">
        <f>IF((LEFT($Q$8,1))="6",'grille tarifaire'!C67,0)</f>
        <v>0</v>
      </c>
      <c r="K5" s="38">
        <f>IF((LEFT($Q$8,1))="7",'grille tarifaire'!C68,0)</f>
        <v>0</v>
      </c>
      <c r="L5" s="38">
        <f>IF((LEFT($Q$8,1))="8",'grille tarifaire'!C69,0)</f>
        <v>0</v>
      </c>
      <c r="O5" s="84" t="s">
        <v>107</v>
      </c>
      <c r="P5" s="84"/>
      <c r="Q5" s="51">
        <f>(Q3*Q4)</f>
        <v>28800</v>
      </c>
      <c r="AH5" s="36"/>
      <c r="AI5" s="36"/>
    </row>
    <row r="6" spans="1:35">
      <c r="B6" s="72" t="s">
        <v>81</v>
      </c>
      <c r="C6" s="44"/>
      <c r="D6" s="32"/>
      <c r="E6" s="32"/>
      <c r="F6" s="32"/>
      <c r="G6" s="32"/>
      <c r="H6" s="32"/>
      <c r="I6" s="32"/>
      <c r="J6" s="32"/>
      <c r="K6" s="32"/>
      <c r="L6" s="32"/>
      <c r="S6" s="76" t="s">
        <v>109</v>
      </c>
      <c r="T6" s="75">
        <f>V22+V29</f>
        <v>11232</v>
      </c>
      <c r="AH6" s="1"/>
      <c r="AI6" s="1"/>
    </row>
    <row r="7" spans="1:35">
      <c r="B7" s="72" t="s">
        <v>81</v>
      </c>
      <c r="C7" s="44"/>
      <c r="D7" s="32"/>
      <c r="E7" s="32"/>
      <c r="F7" s="32"/>
      <c r="G7" s="32"/>
      <c r="H7" s="32"/>
      <c r="I7" s="32"/>
      <c r="J7" s="32"/>
      <c r="K7" s="32"/>
      <c r="L7" s="32"/>
      <c r="U7" s="49"/>
    </row>
    <row r="8" spans="1:35">
      <c r="B8" s="72" t="s">
        <v>81</v>
      </c>
      <c r="C8" s="44"/>
      <c r="D8" s="32"/>
      <c r="E8" s="32"/>
      <c r="F8" s="32"/>
      <c r="G8" s="32"/>
      <c r="H8" s="32"/>
      <c r="I8" s="32"/>
      <c r="J8" s="32"/>
      <c r="K8" s="32"/>
      <c r="L8" s="32"/>
      <c r="O8" s="91" t="s">
        <v>85</v>
      </c>
      <c r="P8" s="92"/>
      <c r="Q8" s="93" t="s">
        <v>100</v>
      </c>
      <c r="R8" s="94"/>
      <c r="S8" s="94"/>
      <c r="T8" s="95"/>
    </row>
    <row r="9" spans="1:35" ht="15">
      <c r="A9" s="26"/>
      <c r="B9" s="72" t="s">
        <v>81</v>
      </c>
      <c r="C9" s="44"/>
      <c r="D9" s="32"/>
      <c r="E9" s="32"/>
      <c r="F9" s="32"/>
      <c r="G9" s="32"/>
      <c r="H9" s="32"/>
      <c r="I9" s="32"/>
      <c r="J9" s="32"/>
      <c r="K9" s="32"/>
      <c r="L9" s="32"/>
    </row>
    <row r="10" spans="1:35">
      <c r="B10" s="72" t="s">
        <v>81</v>
      </c>
      <c r="C10" s="28" t="s">
        <v>96</v>
      </c>
      <c r="D10" s="27" t="s">
        <v>61</v>
      </c>
      <c r="E10" s="27" t="s">
        <v>29</v>
      </c>
      <c r="F10" s="27" t="s">
        <v>30</v>
      </c>
      <c r="G10" s="27" t="s">
        <v>31</v>
      </c>
      <c r="H10" s="27" t="s">
        <v>32</v>
      </c>
      <c r="I10" s="27" t="s">
        <v>33</v>
      </c>
      <c r="J10" s="27" t="s">
        <v>34</v>
      </c>
      <c r="K10" s="27" t="s">
        <v>35</v>
      </c>
      <c r="L10" s="32"/>
      <c r="O10" s="99" t="s">
        <v>60</v>
      </c>
      <c r="P10" s="99"/>
      <c r="Q10" s="100" t="s">
        <v>39</v>
      </c>
      <c r="R10" s="101"/>
      <c r="S10" s="101"/>
      <c r="T10" s="102"/>
      <c r="U10" s="53" t="s">
        <v>62</v>
      </c>
      <c r="V10" s="53" t="s">
        <v>63</v>
      </c>
      <c r="W10" s="54" t="s">
        <v>64</v>
      </c>
      <c r="X10" s="53" t="s">
        <v>63</v>
      </c>
      <c r="Y10" s="53" t="s">
        <v>1</v>
      </c>
      <c r="Z10" s="53" t="s">
        <v>63</v>
      </c>
    </row>
    <row r="11" spans="1:35">
      <c r="B11" s="73" t="str">
        <f>IF(D11=1,"affiche","")</f>
        <v>affiche</v>
      </c>
      <c r="C11" s="30">
        <f t="shared" ref="C11:C21" si="0">SUM(E11:K11)</f>
        <v>2.5000000000000001E-2</v>
      </c>
      <c r="D11" s="33">
        <f t="shared" ref="D11:D21" si="1">IF((SUM(E11:K11))&gt;0,1,0)</f>
        <v>1</v>
      </c>
      <c r="E11" s="31">
        <f>IF((LEFT($Q$10,3))=$E$10,'grille tarifaire'!C6,0)</f>
        <v>0</v>
      </c>
      <c r="F11" s="31">
        <f>IF((LEFT($Q$10,3))=$F$10,'grille tarifaire'!C12,0)</f>
        <v>0</v>
      </c>
      <c r="G11" s="31">
        <f>IF((LEFT($Q$10,3))=$G$10,'grille tarifaire'!C18,0)</f>
        <v>0</v>
      </c>
      <c r="H11" s="31">
        <f>IF((LEFT($Q$10,3))=$H$10,'grille tarifaire'!C24,0)</f>
        <v>2.5000000000000001E-2</v>
      </c>
      <c r="I11" s="31">
        <f>IF((LEFT($Q$10,3))=$I$10,'grille tarifaire'!C30,0)</f>
        <v>0</v>
      </c>
      <c r="J11" s="31">
        <f>IF((LEFT($Q$10,3))=$J$10,'grille tarifaire'!C36,0)</f>
        <v>0</v>
      </c>
      <c r="K11" s="31">
        <f>IF((LEFT($Q$10,3))=$K$10,'grille tarifaire'!C42,0)</f>
        <v>0</v>
      </c>
      <c r="L11" s="32"/>
      <c r="O11" s="55" t="s">
        <v>44</v>
      </c>
      <c r="P11" s="56" t="s">
        <v>5</v>
      </c>
      <c r="Q11" s="96" t="s">
        <v>45</v>
      </c>
      <c r="R11" s="97"/>
      <c r="S11" s="97"/>
      <c r="T11" s="98"/>
      <c r="U11" s="65">
        <f t="shared" ref="U11:U21" si="2">C11</f>
        <v>2.5000000000000001E-2</v>
      </c>
      <c r="V11" s="57">
        <f>$Q$5*U11</f>
        <v>720</v>
      </c>
      <c r="W11" s="65">
        <f t="shared" ref="W11:W21" si="3">IF(OR(P11="DET",P11="OPC"),0,(IF((LEFT($Q$10,3))="n°6",1,IF((LEFT($Q$10,3))="n°7",1,0.55))))</f>
        <v>0.55000000000000004</v>
      </c>
      <c r="X11" s="57">
        <f>W11*V11</f>
        <v>396.00000000000006</v>
      </c>
      <c r="Y11" s="65">
        <f t="shared" ref="Y11:Y21" si="4">IF(OR(P11="DET",P11="OPC"),1,(IF((LEFT($Q$10,3))="n°6",0,IF((LEFT($Q$10,3))="n°7",0,0.45))))</f>
        <v>0.45</v>
      </c>
      <c r="Z11" s="57">
        <f>Y11*V11</f>
        <v>324</v>
      </c>
    </row>
    <row r="12" spans="1:35">
      <c r="B12" s="73" t="str">
        <f t="shared" ref="B12:B21" si="5">IF(D12=1,"affiche","")</f>
        <v>affiche</v>
      </c>
      <c r="C12" s="30">
        <f t="shared" si="0"/>
        <v>2.5000000000000001E-2</v>
      </c>
      <c r="D12" s="33">
        <f t="shared" si="1"/>
        <v>1</v>
      </c>
      <c r="E12" s="32"/>
      <c r="F12" s="31">
        <f>IF((LEFT($Q$10,3))=$F$10,'grille tarifaire'!D12,0)</f>
        <v>0</v>
      </c>
      <c r="G12" s="31">
        <f>IF((LEFT($Q$10,3))=$G$10,'grille tarifaire'!D18,0)</f>
        <v>0</v>
      </c>
      <c r="H12" s="31">
        <f>IF((LEFT($Q$10,3))=$H$10,'grille tarifaire'!D24,0)</f>
        <v>2.5000000000000001E-2</v>
      </c>
      <c r="I12" s="31">
        <f>IF((LEFT($Q$10,3))=$I$10,'grille tarifaire'!D30,0)</f>
        <v>0</v>
      </c>
      <c r="J12" s="31">
        <f>IF((LEFT($Q$10,3))=$J$10,'grille tarifaire'!D36,0)</f>
        <v>0</v>
      </c>
      <c r="K12" s="31">
        <f>IF((LEFT($Q$10,3))=$K$10,'grille tarifaire'!D42,0)</f>
        <v>0</v>
      </c>
      <c r="L12" s="32"/>
      <c r="O12" s="55" t="s">
        <v>44</v>
      </c>
      <c r="P12" s="56" t="s">
        <v>6</v>
      </c>
      <c r="Q12" s="96" t="s">
        <v>46</v>
      </c>
      <c r="R12" s="97"/>
      <c r="S12" s="97"/>
      <c r="T12" s="98"/>
      <c r="U12" s="65">
        <f t="shared" si="2"/>
        <v>2.5000000000000001E-2</v>
      </c>
      <c r="V12" s="57">
        <f t="shared" ref="V12:V21" si="6">$Q$5*U12</f>
        <v>720</v>
      </c>
      <c r="W12" s="65">
        <f t="shared" si="3"/>
        <v>0.55000000000000004</v>
      </c>
      <c r="X12" s="57">
        <f t="shared" ref="X12:X21" si="7">W12*V12</f>
        <v>396.00000000000006</v>
      </c>
      <c r="Y12" s="65">
        <f t="shared" si="4"/>
        <v>0.45</v>
      </c>
      <c r="Z12" s="57">
        <f t="shared" ref="Z12:Z21" si="8">Y12*V12</f>
        <v>324</v>
      </c>
    </row>
    <row r="13" spans="1:35">
      <c r="B13" s="73" t="str">
        <f t="shared" si="5"/>
        <v>affiche</v>
      </c>
      <c r="C13" s="30">
        <f t="shared" si="0"/>
        <v>0.12</v>
      </c>
      <c r="D13" s="33">
        <f t="shared" si="1"/>
        <v>1</v>
      </c>
      <c r="E13" s="32"/>
      <c r="F13" s="32"/>
      <c r="G13" s="31">
        <f>IF((LEFT($Q$10,3))=$G$10,'grille tarifaire'!E18,0)</f>
        <v>0</v>
      </c>
      <c r="H13" s="31">
        <f>IF((LEFT($Q$10,3))=$H$10,'grille tarifaire'!E24,0)</f>
        <v>0.12</v>
      </c>
      <c r="I13" s="31">
        <f>IF((LEFT($Q$10,3))=$I$10,'grille tarifaire'!E30,0)</f>
        <v>0</v>
      </c>
      <c r="J13" s="31">
        <f>IF((LEFT($Q$10,3))=$J$10,'grille tarifaire'!E36,0)</f>
        <v>0</v>
      </c>
      <c r="K13" s="31">
        <f>IF((LEFT($Q$10,3))=$K$10,'grille tarifaire'!E42,0)</f>
        <v>0</v>
      </c>
      <c r="L13" s="32"/>
      <c r="O13" s="55" t="s">
        <v>44</v>
      </c>
      <c r="P13" s="56" t="s">
        <v>7</v>
      </c>
      <c r="Q13" s="96" t="s">
        <v>47</v>
      </c>
      <c r="R13" s="97"/>
      <c r="S13" s="97"/>
      <c r="T13" s="98"/>
      <c r="U13" s="65">
        <f t="shared" si="2"/>
        <v>0.12</v>
      </c>
      <c r="V13" s="57">
        <f t="shared" si="6"/>
        <v>3456</v>
      </c>
      <c r="W13" s="65">
        <f t="shared" si="3"/>
        <v>0.55000000000000004</v>
      </c>
      <c r="X13" s="57">
        <f t="shared" si="7"/>
        <v>1900.8000000000002</v>
      </c>
      <c r="Y13" s="65">
        <f t="shared" si="4"/>
        <v>0.45</v>
      </c>
      <c r="Z13" s="57">
        <f t="shared" si="8"/>
        <v>1555.2</v>
      </c>
    </row>
    <row r="14" spans="1:35">
      <c r="B14" s="73" t="str">
        <f t="shared" si="5"/>
        <v>affiche</v>
      </c>
      <c r="C14" s="30">
        <f t="shared" si="0"/>
        <v>0.12</v>
      </c>
      <c r="D14" s="33">
        <f t="shared" si="1"/>
        <v>1</v>
      </c>
      <c r="E14" s="32"/>
      <c r="F14" s="32"/>
      <c r="G14" s="32"/>
      <c r="H14" s="31">
        <f>IF((LEFT($Q$10,3))=$H$10,'grille tarifaire'!F24,0)</f>
        <v>0.12</v>
      </c>
      <c r="I14" s="31">
        <f>IF((LEFT($Q$10,3))=$I$10,'grille tarifaire'!F30,0)</f>
        <v>0</v>
      </c>
      <c r="J14" s="31">
        <f>IF((LEFT($Q$10,3))=$J$10,'grille tarifaire'!F36,0)</f>
        <v>0</v>
      </c>
      <c r="K14" s="31">
        <f>IF((LEFT($Q$10,3))=$K$10,'grille tarifaire'!F42,0)</f>
        <v>0</v>
      </c>
      <c r="L14" s="32"/>
      <c r="O14" s="55" t="s">
        <v>44</v>
      </c>
      <c r="P14" s="56" t="s">
        <v>8</v>
      </c>
      <c r="Q14" s="96" t="s">
        <v>48</v>
      </c>
      <c r="R14" s="97"/>
      <c r="S14" s="97"/>
      <c r="T14" s="98"/>
      <c r="U14" s="65">
        <f t="shared" si="2"/>
        <v>0.12</v>
      </c>
      <c r="V14" s="57">
        <f t="shared" si="6"/>
        <v>3456</v>
      </c>
      <c r="W14" s="65">
        <f t="shared" si="3"/>
        <v>0.55000000000000004</v>
      </c>
      <c r="X14" s="57">
        <f t="shared" si="7"/>
        <v>1900.8000000000002</v>
      </c>
      <c r="Y14" s="65">
        <f t="shared" si="4"/>
        <v>0.45</v>
      </c>
      <c r="Z14" s="57">
        <f t="shared" si="8"/>
        <v>1555.2</v>
      </c>
    </row>
    <row r="15" spans="1:35">
      <c r="B15" s="73" t="str">
        <f t="shared" si="5"/>
        <v/>
      </c>
      <c r="C15" s="30">
        <f t="shared" si="0"/>
        <v>0</v>
      </c>
      <c r="D15" s="33">
        <f t="shared" si="1"/>
        <v>0</v>
      </c>
      <c r="E15" s="32"/>
      <c r="F15" s="32"/>
      <c r="G15" s="32"/>
      <c r="H15" s="32"/>
      <c r="I15" s="31">
        <f>IF((LEFT($Q$10,3))=$I$10,('grille tarifaire'!G30)/4,0)</f>
        <v>0</v>
      </c>
      <c r="J15" s="31">
        <f>IF((LEFT($Q$10,3))=$J$10,('grille tarifaire'!G36)/4,0)</f>
        <v>0</v>
      </c>
      <c r="K15" s="31">
        <f>IF((LEFT($Q$10,3))=$K$10,('grille tarifaire'!G42)/4,0)</f>
        <v>0</v>
      </c>
      <c r="L15" s="32"/>
      <c r="O15" s="55" t="s">
        <v>44</v>
      </c>
      <c r="P15" s="56" t="s">
        <v>49</v>
      </c>
      <c r="Q15" s="96" t="s">
        <v>50</v>
      </c>
      <c r="R15" s="97"/>
      <c r="S15" s="97"/>
      <c r="T15" s="98"/>
      <c r="U15" s="65">
        <f t="shared" si="2"/>
        <v>0</v>
      </c>
      <c r="V15" s="57">
        <f t="shared" si="6"/>
        <v>0</v>
      </c>
      <c r="W15" s="65">
        <f t="shared" si="3"/>
        <v>0.55000000000000004</v>
      </c>
      <c r="X15" s="57">
        <f t="shared" si="7"/>
        <v>0</v>
      </c>
      <c r="Y15" s="65">
        <f t="shared" si="4"/>
        <v>0.45</v>
      </c>
      <c r="Z15" s="57">
        <f t="shared" si="8"/>
        <v>0</v>
      </c>
    </row>
    <row r="16" spans="1:35">
      <c r="B16" s="73" t="str">
        <f t="shared" si="5"/>
        <v/>
      </c>
      <c r="C16" s="30">
        <f t="shared" si="0"/>
        <v>0</v>
      </c>
      <c r="D16" s="33">
        <f t="shared" si="1"/>
        <v>0</v>
      </c>
      <c r="E16" s="32"/>
      <c r="F16" s="32"/>
      <c r="G16" s="32"/>
      <c r="H16" s="32"/>
      <c r="I16" s="31">
        <f>IF((LEFT($Q$10,3))=$I$10,('grille tarifaire'!G30)/4,0)</f>
        <v>0</v>
      </c>
      <c r="J16" s="31">
        <f>IF((LEFT($Q$10,3))=$J$10,('grille tarifaire'!G36)/4,0)</f>
        <v>0</v>
      </c>
      <c r="K16" s="31">
        <f>IF((LEFT($Q$10,3))=$K$10,('grille tarifaire'!G42)/4,0)</f>
        <v>0</v>
      </c>
      <c r="L16" s="32"/>
      <c r="O16" s="55" t="s">
        <v>44</v>
      </c>
      <c r="P16" s="56" t="s">
        <v>51</v>
      </c>
      <c r="Q16" s="96" t="s">
        <v>52</v>
      </c>
      <c r="R16" s="97"/>
      <c r="S16" s="97"/>
      <c r="T16" s="98"/>
      <c r="U16" s="65">
        <f t="shared" si="2"/>
        <v>0</v>
      </c>
      <c r="V16" s="57">
        <f t="shared" si="6"/>
        <v>0</v>
      </c>
      <c r="W16" s="65">
        <f t="shared" si="3"/>
        <v>0.55000000000000004</v>
      </c>
      <c r="X16" s="57">
        <f t="shared" si="7"/>
        <v>0</v>
      </c>
      <c r="Y16" s="65">
        <f t="shared" si="4"/>
        <v>0.45</v>
      </c>
      <c r="Z16" s="57">
        <f t="shared" si="8"/>
        <v>0</v>
      </c>
      <c r="AC16" s="39"/>
    </row>
    <row r="17" spans="2:26">
      <c r="B17" s="73" t="str">
        <f t="shared" si="5"/>
        <v/>
      </c>
      <c r="C17" s="30">
        <f t="shared" si="0"/>
        <v>0</v>
      </c>
      <c r="D17" s="33">
        <f t="shared" si="1"/>
        <v>0</v>
      </c>
      <c r="E17" s="32"/>
      <c r="F17" s="32"/>
      <c r="G17" s="32"/>
      <c r="H17" s="32"/>
      <c r="I17" s="31">
        <f>IF((LEFT($Q$10,3))=$I$10,('grille tarifaire'!G30)/4,0)</f>
        <v>0</v>
      </c>
      <c r="J17" s="31">
        <f>IF((LEFT($Q$10,3))=$J$10,('grille tarifaire'!G36)/4,0)</f>
        <v>0</v>
      </c>
      <c r="K17" s="31">
        <f>IF((LEFT($Q$10,3))=$K$10,('grille tarifaire'!G42)/4,0)</f>
        <v>0</v>
      </c>
      <c r="L17" s="32"/>
      <c r="O17" s="55" t="s">
        <v>44</v>
      </c>
      <c r="P17" s="56" t="s">
        <v>53</v>
      </c>
      <c r="Q17" s="96" t="s">
        <v>54</v>
      </c>
      <c r="R17" s="97"/>
      <c r="S17" s="97"/>
      <c r="T17" s="98"/>
      <c r="U17" s="65">
        <f t="shared" si="2"/>
        <v>0</v>
      </c>
      <c r="V17" s="57">
        <f t="shared" si="6"/>
        <v>0</v>
      </c>
      <c r="W17" s="65">
        <f t="shared" si="3"/>
        <v>0.55000000000000004</v>
      </c>
      <c r="X17" s="57">
        <f t="shared" si="7"/>
        <v>0</v>
      </c>
      <c r="Y17" s="65">
        <f t="shared" si="4"/>
        <v>0.45</v>
      </c>
      <c r="Z17" s="57">
        <f t="shared" si="8"/>
        <v>0</v>
      </c>
    </row>
    <row r="18" spans="2:26">
      <c r="B18" s="73" t="str">
        <f t="shared" si="5"/>
        <v/>
      </c>
      <c r="C18" s="30">
        <f t="shared" si="0"/>
        <v>0</v>
      </c>
      <c r="D18" s="33">
        <f t="shared" si="1"/>
        <v>0</v>
      </c>
      <c r="E18" s="32"/>
      <c r="F18" s="32"/>
      <c r="G18" s="32"/>
      <c r="H18" s="32"/>
      <c r="I18" s="31">
        <f>IF((LEFT($Q$10,3))=$I$10,('grille tarifaire'!G30)/4,0)</f>
        <v>0</v>
      </c>
      <c r="J18" s="31">
        <f>IF((LEFT($Q$10,3))=$J$10,('grille tarifaire'!G36)/4,0)</f>
        <v>0</v>
      </c>
      <c r="K18" s="31">
        <f>IF((LEFT($Q$10,3))=$K$10,('grille tarifaire'!G42)/4,0)</f>
        <v>0</v>
      </c>
      <c r="L18" s="32"/>
      <c r="O18" s="55" t="s">
        <v>44</v>
      </c>
      <c r="P18" s="56" t="s">
        <v>55</v>
      </c>
      <c r="Q18" s="96" t="s">
        <v>56</v>
      </c>
      <c r="R18" s="97"/>
      <c r="S18" s="97"/>
      <c r="T18" s="98"/>
      <c r="U18" s="65">
        <f t="shared" si="2"/>
        <v>0</v>
      </c>
      <c r="V18" s="57">
        <f t="shared" si="6"/>
        <v>0</v>
      </c>
      <c r="W18" s="65">
        <f t="shared" si="3"/>
        <v>0.55000000000000004</v>
      </c>
      <c r="X18" s="57">
        <f t="shared" si="7"/>
        <v>0</v>
      </c>
      <c r="Y18" s="65">
        <f t="shared" si="4"/>
        <v>0.45</v>
      </c>
      <c r="Z18" s="57">
        <f t="shared" si="8"/>
        <v>0</v>
      </c>
    </row>
    <row r="19" spans="2:26">
      <c r="B19" s="73" t="str">
        <f t="shared" si="5"/>
        <v/>
      </c>
      <c r="C19" s="30">
        <f t="shared" si="0"/>
        <v>0</v>
      </c>
      <c r="D19" s="33">
        <f t="shared" si="1"/>
        <v>0</v>
      </c>
      <c r="E19" s="32"/>
      <c r="F19" s="32"/>
      <c r="G19" s="32"/>
      <c r="H19" s="32"/>
      <c r="I19" s="32"/>
      <c r="J19" s="31">
        <f>IF((LEFT($Q$10,3))=$J$10,'grille tarifaire'!H36,0)</f>
        <v>0</v>
      </c>
      <c r="K19" s="32"/>
      <c r="L19" s="32"/>
      <c r="O19" s="55" t="s">
        <v>44</v>
      </c>
      <c r="P19" s="56" t="s">
        <v>9</v>
      </c>
      <c r="Q19" s="96" t="s">
        <v>57</v>
      </c>
      <c r="R19" s="97"/>
      <c r="S19" s="97"/>
      <c r="T19" s="98"/>
      <c r="U19" s="65">
        <f t="shared" si="2"/>
        <v>0</v>
      </c>
      <c r="V19" s="57">
        <f t="shared" si="6"/>
        <v>0</v>
      </c>
      <c r="W19" s="65">
        <f t="shared" si="3"/>
        <v>0</v>
      </c>
      <c r="X19" s="57">
        <f t="shared" si="7"/>
        <v>0</v>
      </c>
      <c r="Y19" s="65">
        <f t="shared" si="4"/>
        <v>1</v>
      </c>
      <c r="Z19" s="57">
        <f t="shared" si="8"/>
        <v>0</v>
      </c>
    </row>
    <row r="20" spans="2:26">
      <c r="B20" s="73" t="str">
        <f t="shared" si="5"/>
        <v/>
      </c>
      <c r="C20" s="30">
        <f t="shared" si="0"/>
        <v>0</v>
      </c>
      <c r="D20" s="33">
        <f t="shared" si="1"/>
        <v>0</v>
      </c>
      <c r="E20" s="32"/>
      <c r="F20" s="32"/>
      <c r="G20" s="32"/>
      <c r="H20" s="32"/>
      <c r="I20" s="32"/>
      <c r="J20" s="32"/>
      <c r="K20" s="31">
        <f>IF((LEFT($Q$10,3))=$K$10,'grille tarifaire'!I42,0)</f>
        <v>0</v>
      </c>
      <c r="L20" s="32"/>
      <c r="O20" s="55" t="s">
        <v>44</v>
      </c>
      <c r="P20" s="56" t="s">
        <v>10</v>
      </c>
      <c r="Q20" s="96" t="s">
        <v>58</v>
      </c>
      <c r="R20" s="97"/>
      <c r="S20" s="97"/>
      <c r="T20" s="98"/>
      <c r="U20" s="65">
        <f t="shared" si="2"/>
        <v>0</v>
      </c>
      <c r="V20" s="57">
        <f t="shared" si="6"/>
        <v>0</v>
      </c>
      <c r="W20" s="65">
        <f t="shared" si="3"/>
        <v>0</v>
      </c>
      <c r="X20" s="57">
        <f t="shared" si="7"/>
        <v>0</v>
      </c>
      <c r="Y20" s="65">
        <f t="shared" si="4"/>
        <v>1</v>
      </c>
      <c r="Z20" s="57">
        <f t="shared" si="8"/>
        <v>0</v>
      </c>
    </row>
    <row r="21" spans="2:26">
      <c r="B21" s="73" t="str">
        <f t="shared" si="5"/>
        <v/>
      </c>
      <c r="C21" s="30">
        <f t="shared" si="0"/>
        <v>0</v>
      </c>
      <c r="D21" s="33">
        <f t="shared" si="1"/>
        <v>0</v>
      </c>
      <c r="E21" s="32"/>
      <c r="F21" s="32"/>
      <c r="G21" s="32"/>
      <c r="H21" s="32"/>
      <c r="I21" s="32"/>
      <c r="J21" s="31">
        <f>IF((LEFT($Q$10,3))=$J$10,'grille tarifaire'!J36,0)</f>
        <v>0</v>
      </c>
      <c r="K21" s="31">
        <f>IF((LEFT($Q$10,3))=$K$10,'grille tarifaire'!J42,0)</f>
        <v>0</v>
      </c>
      <c r="L21" s="32"/>
      <c r="O21" s="55" t="s">
        <v>44</v>
      </c>
      <c r="P21" s="56" t="s">
        <v>11</v>
      </c>
      <c r="Q21" s="96" t="s">
        <v>59</v>
      </c>
      <c r="R21" s="97"/>
      <c r="S21" s="97"/>
      <c r="T21" s="98"/>
      <c r="U21" s="65">
        <f t="shared" si="2"/>
        <v>0</v>
      </c>
      <c r="V21" s="57">
        <f t="shared" si="6"/>
        <v>0</v>
      </c>
      <c r="W21" s="65">
        <f t="shared" si="3"/>
        <v>0.55000000000000004</v>
      </c>
      <c r="X21" s="57">
        <f t="shared" si="7"/>
        <v>0</v>
      </c>
      <c r="Y21" s="65">
        <f t="shared" si="4"/>
        <v>0.45</v>
      </c>
      <c r="Z21" s="57">
        <f t="shared" si="8"/>
        <v>0</v>
      </c>
    </row>
    <row r="22" spans="2:26">
      <c r="B22" s="72" t="s">
        <v>81</v>
      </c>
      <c r="C22" s="32"/>
      <c r="D22" s="32"/>
      <c r="E22" s="32"/>
      <c r="F22" s="32"/>
      <c r="G22" s="32"/>
      <c r="H22" s="32"/>
      <c r="I22" s="32"/>
      <c r="J22" s="32"/>
      <c r="K22" s="32"/>
      <c r="L22" s="32"/>
      <c r="O22" s="58"/>
      <c r="P22" s="59"/>
      <c r="Q22" s="60"/>
      <c r="R22" s="60"/>
      <c r="S22" s="60"/>
      <c r="T22" s="61"/>
      <c r="U22" s="67" t="s">
        <v>66</v>
      </c>
      <c r="V22" s="68">
        <f>SUM(V11:V21)</f>
        <v>8352</v>
      </c>
      <c r="W22" s="69"/>
      <c r="X22" s="70">
        <f>SUM(X11:X21)</f>
        <v>4593.6000000000004</v>
      </c>
      <c r="Y22" s="69"/>
      <c r="Z22" s="70">
        <f>SUM(Z11:Z21)</f>
        <v>3758.3999999999996</v>
      </c>
    </row>
    <row r="23" spans="2:26">
      <c r="B23" s="72" t="s">
        <v>81</v>
      </c>
      <c r="C23" s="32"/>
      <c r="D23" s="32"/>
      <c r="E23" s="32"/>
      <c r="F23" s="32"/>
      <c r="G23" s="32"/>
      <c r="H23" s="32"/>
      <c r="I23" s="32"/>
      <c r="J23" s="32"/>
      <c r="K23" s="32"/>
      <c r="L23" s="32"/>
      <c r="V23" s="62"/>
    </row>
    <row r="24" spans="2:26">
      <c r="B24" s="72" t="s">
        <v>81</v>
      </c>
      <c r="C24" s="28" t="s">
        <v>96</v>
      </c>
      <c r="D24" s="32"/>
      <c r="E24" s="28" t="s">
        <v>3</v>
      </c>
      <c r="F24" s="28" t="s">
        <v>65</v>
      </c>
      <c r="G24" s="28" t="s">
        <v>4</v>
      </c>
      <c r="H24" s="32"/>
      <c r="I24" s="32"/>
      <c r="J24" s="32"/>
      <c r="K24" s="28" t="s">
        <v>80</v>
      </c>
      <c r="L24" s="32"/>
      <c r="O24" s="99" t="s">
        <v>89</v>
      </c>
      <c r="P24" s="99"/>
      <c r="Q24" s="88" t="s">
        <v>69</v>
      </c>
      <c r="R24" s="89"/>
      <c r="S24" s="89"/>
      <c r="T24" s="90"/>
      <c r="U24" s="53" t="s">
        <v>62</v>
      </c>
      <c r="V24" s="53" t="s">
        <v>63</v>
      </c>
      <c r="W24" s="54" t="s">
        <v>64</v>
      </c>
      <c r="X24" s="53" t="s">
        <v>63</v>
      </c>
      <c r="Y24" s="53" t="s">
        <v>1</v>
      </c>
      <c r="Z24" s="53" t="s">
        <v>63</v>
      </c>
    </row>
    <row r="25" spans="2:26">
      <c r="B25" s="73" t="str">
        <f t="shared" ref="B25:B28" si="9">IF(D25=1,"affiche","")</f>
        <v/>
      </c>
      <c r="C25" s="38">
        <f>IF($Q$24="PC &lt; 150m² - seul",'grille tarifaire'!C48,0)</f>
        <v>0</v>
      </c>
      <c r="D25" s="33">
        <f>IF((SUM(E25:K25))&gt;0,1,0)</f>
        <v>0</v>
      </c>
      <c r="E25" s="31">
        <f>IF($Q$24="PC &lt; 150m² - seul",'grille tarifaire'!C49,0)</f>
        <v>0</v>
      </c>
      <c r="F25" s="32"/>
      <c r="G25" s="31">
        <f>IF($Q$24="PC &lt; 150m² - seul",'grille tarifaire'!C51,0)</f>
        <v>0</v>
      </c>
      <c r="H25" s="32"/>
      <c r="I25" s="32"/>
      <c r="J25" s="32"/>
      <c r="K25" s="41">
        <f>IF($Q$24="PC &lt; 150m² - seul",1,0)</f>
        <v>0</v>
      </c>
      <c r="L25" s="32"/>
      <c r="O25" s="55" t="s">
        <v>44</v>
      </c>
      <c r="P25" s="56" t="s">
        <v>26</v>
      </c>
      <c r="Q25" s="85" t="s">
        <v>71</v>
      </c>
      <c r="R25" s="86"/>
      <c r="S25" s="86"/>
      <c r="T25" s="87"/>
      <c r="U25" s="66">
        <f>C25</f>
        <v>0</v>
      </c>
      <c r="V25" s="57">
        <f>K25*C25</f>
        <v>0</v>
      </c>
      <c r="W25" s="65">
        <f>E25+F25</f>
        <v>0</v>
      </c>
      <c r="X25" s="57">
        <f>W25*V25</f>
        <v>0</v>
      </c>
      <c r="Y25" s="65">
        <f>G25</f>
        <v>0</v>
      </c>
      <c r="Z25" s="57">
        <f>Y25*V25</f>
        <v>0</v>
      </c>
    </row>
    <row r="26" spans="2:26">
      <c r="B26" s="73" t="str">
        <f t="shared" si="9"/>
        <v>affiche</v>
      </c>
      <c r="C26" s="38">
        <f>IF($Q$24="PC &lt; 150m² - avec mission complete",'grille tarifaire'!H48,0)</f>
        <v>12</v>
      </c>
      <c r="D26" s="33">
        <f t="shared" ref="D26:D27" si="10">IF((SUM(E26:K26))&gt;0,1,0)</f>
        <v>1</v>
      </c>
      <c r="E26" s="31">
        <f>IF($Q$24="PC &lt; 150m² - avec mission complete",'grille tarifaire'!H49,0)</f>
        <v>0.66666666666666663</v>
      </c>
      <c r="F26" s="31">
        <f>IF($Q$24="PC &lt; 150m² - avec mission complete",'grille tarifaire'!H50,0)</f>
        <v>0</v>
      </c>
      <c r="G26" s="31">
        <f>IF($Q$24="PC &lt; 150m² - avec mission complete",'grille tarifaire'!H51,0)</f>
        <v>0.33333333333333331</v>
      </c>
      <c r="H26" s="32"/>
      <c r="I26" s="32"/>
      <c r="J26" s="32"/>
      <c r="K26" s="41">
        <f>IF($Q$24="PC &lt; 150m² - avec mission complete",$T$3,0)</f>
        <v>240</v>
      </c>
      <c r="L26" s="32"/>
      <c r="O26" s="55" t="s">
        <v>44</v>
      </c>
      <c r="P26" s="56" t="s">
        <v>26</v>
      </c>
      <c r="Q26" s="85" t="s">
        <v>72</v>
      </c>
      <c r="R26" s="86"/>
      <c r="S26" s="86"/>
      <c r="T26" s="87"/>
      <c r="U26" s="66">
        <f>C26</f>
        <v>12</v>
      </c>
      <c r="V26" s="57">
        <f>K26*C26</f>
        <v>2880</v>
      </c>
      <c r="W26" s="65">
        <f>E26+F26</f>
        <v>0.66666666666666663</v>
      </c>
      <c r="X26" s="57">
        <f t="shared" ref="X26:X27" si="11">W26*V26</f>
        <v>1920</v>
      </c>
      <c r="Y26" s="65">
        <f>G26</f>
        <v>0.33333333333333331</v>
      </c>
      <c r="Z26" s="57">
        <f t="shared" ref="Z26:Z27" si="12">Y26*V26</f>
        <v>960</v>
      </c>
    </row>
    <row r="27" spans="2:26">
      <c r="B27" s="73" t="str">
        <f t="shared" si="9"/>
        <v/>
      </c>
      <c r="C27" s="38">
        <f>IF($Q$24="PC &gt; 150m² - Seul",'grille tarifaire'!C55,0)</f>
        <v>0</v>
      </c>
      <c r="D27" s="33">
        <f t="shared" si="10"/>
        <v>0</v>
      </c>
      <c r="E27" s="31">
        <f>IF($Q$24="PC &gt; 150m² - Seul",'grille tarifaire'!C56,0)</f>
        <v>0</v>
      </c>
      <c r="F27" s="32"/>
      <c r="G27" s="31">
        <f>IF($Q$24="PC &gt; 150m² - Seul",'grille tarifaire'!C58,0)</f>
        <v>0</v>
      </c>
      <c r="H27" s="32"/>
      <c r="I27" s="32"/>
      <c r="J27" s="32"/>
      <c r="K27" s="41">
        <f>IF($Q$24="PC &gt; 150m² - Seul",T3,0)</f>
        <v>0</v>
      </c>
      <c r="L27" s="32"/>
      <c r="O27" s="55" t="s">
        <v>44</v>
      </c>
      <c r="P27" s="56" t="s">
        <v>27</v>
      </c>
      <c r="Q27" s="85" t="s">
        <v>73</v>
      </c>
      <c r="R27" s="86"/>
      <c r="S27" s="86"/>
      <c r="T27" s="87"/>
      <c r="U27" s="66">
        <f>C27</f>
        <v>0</v>
      </c>
      <c r="V27" s="57">
        <f>K27*C27</f>
        <v>0</v>
      </c>
      <c r="W27" s="65">
        <f>E27+F27</f>
        <v>0</v>
      </c>
      <c r="X27" s="57">
        <f t="shared" si="11"/>
        <v>0</v>
      </c>
      <c r="Y27" s="65">
        <f>G27</f>
        <v>0</v>
      </c>
      <c r="Z27" s="57">
        <f t="shared" si="12"/>
        <v>0</v>
      </c>
    </row>
    <row r="28" spans="2:26">
      <c r="B28" s="73" t="str">
        <f t="shared" si="9"/>
        <v/>
      </c>
      <c r="C28" s="38">
        <f>IF($Q$24="PC &gt; 150m² - avec mission complete",'grille tarifaire'!H55,0)</f>
        <v>0</v>
      </c>
      <c r="D28" s="33">
        <f>IF((SUM(E28:K28))&gt;0,1,0)</f>
        <v>0</v>
      </c>
      <c r="E28" s="31">
        <f>IF($Q$24="PC &gt; 150m² - avec mission complete",'grille tarifaire'!H56,0)</f>
        <v>0</v>
      </c>
      <c r="F28" s="31">
        <f>IF($Q$24="PC &gt; 150m² - avec mission complete",'grille tarifaire'!H57,0)</f>
        <v>0</v>
      </c>
      <c r="G28" s="31">
        <f>IF($Q$24="PC &gt; 150m² - avec mission complete",'grille tarifaire'!H58,0)</f>
        <v>0</v>
      </c>
      <c r="H28" s="32"/>
      <c r="I28" s="32"/>
      <c r="J28" s="32"/>
      <c r="K28" s="41">
        <f>IF($Q$24="PC &gt; 150m² - avec mission complete",T3,0)</f>
        <v>0</v>
      </c>
      <c r="L28" s="32"/>
      <c r="O28" s="55" t="s">
        <v>44</v>
      </c>
      <c r="P28" s="56" t="s">
        <v>27</v>
      </c>
      <c r="Q28" s="85" t="s">
        <v>74</v>
      </c>
      <c r="R28" s="86"/>
      <c r="S28" s="86"/>
      <c r="T28" s="87"/>
      <c r="U28" s="66">
        <f>C28</f>
        <v>0</v>
      </c>
      <c r="V28" s="57">
        <f>K28*C28</f>
        <v>0</v>
      </c>
      <c r="W28" s="65">
        <f>E28+F28</f>
        <v>0</v>
      </c>
      <c r="X28" s="57">
        <f>W28*V28</f>
        <v>0</v>
      </c>
      <c r="Y28" s="65">
        <f>G28</f>
        <v>0</v>
      </c>
      <c r="Z28" s="57">
        <f>Y28*V28</f>
        <v>0</v>
      </c>
    </row>
    <row r="29" spans="2:26">
      <c r="B29" s="72" t="s">
        <v>81</v>
      </c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29"/>
      <c r="U29" s="67" t="s">
        <v>67</v>
      </c>
      <c r="V29" s="68">
        <f>SUM(V25:V28)</f>
        <v>2880</v>
      </c>
      <c r="W29" s="69"/>
      <c r="X29" s="70">
        <f t="shared" ref="X29:Z29" si="13">SUM(X25:X28)</f>
        <v>1920</v>
      </c>
      <c r="Y29" s="69"/>
      <c r="Z29" s="70">
        <f t="shared" si="13"/>
        <v>960</v>
      </c>
    </row>
  </sheetData>
  <autoFilter ref="B1:B29" xr:uid="{9439277E-90D8-4F2B-81A2-10945085BDAE}">
    <filterColumn colId="0">
      <filters>
        <filter val="affiche"/>
      </filters>
    </filterColumn>
  </autoFilter>
  <mergeCells count="24">
    <mergeCell ref="Q26:T26"/>
    <mergeCell ref="Q27:T27"/>
    <mergeCell ref="Q28:T28"/>
    <mergeCell ref="O24:P24"/>
    <mergeCell ref="O10:P10"/>
    <mergeCell ref="Q10:T10"/>
    <mergeCell ref="Q11:T11"/>
    <mergeCell ref="Q12:T12"/>
    <mergeCell ref="Q13:T13"/>
    <mergeCell ref="Q14:T14"/>
    <mergeCell ref="Q15:T15"/>
    <mergeCell ref="Q16:T16"/>
    <mergeCell ref="Q17:T17"/>
    <mergeCell ref="Q18:T18"/>
    <mergeCell ref="Q19:T19"/>
    <mergeCell ref="Q20:T20"/>
    <mergeCell ref="O3:P3"/>
    <mergeCell ref="O4:P4"/>
    <mergeCell ref="O5:P5"/>
    <mergeCell ref="Q25:T25"/>
    <mergeCell ref="Q24:T24"/>
    <mergeCell ref="O8:P8"/>
    <mergeCell ref="Q8:T8"/>
    <mergeCell ref="Q21:T21"/>
  </mergeCells>
  <phoneticPr fontId="9" type="noConversion"/>
  <conditionalFormatting sqref="Q25:S28">
    <cfRule type="expression" dxfId="0" priority="1">
      <formula>IF((CELL("protege",Q25))=0,1,0)</formula>
    </cfRule>
  </conditionalFormatting>
  <dataValidations count="3">
    <dataValidation type="list" allowBlank="1" showInputMessage="1" showErrorMessage="1" sqref="Q10:S10" xr:uid="{52D6BAF5-667B-4D2E-87C9-A277A1083411}">
      <formula1>INDIRECT("tableau1[cas de figure]")</formula1>
    </dataValidation>
    <dataValidation type="list" allowBlank="1" showInputMessage="1" showErrorMessage="1" sqref="Q24:S24" xr:uid="{AD00AFF3-300F-4211-9C54-1F4FFC0DEFF9}">
      <formula1>INDIRECT("tableau2[PC]")</formula1>
    </dataValidation>
    <dataValidation type="list" allowBlank="1" showInputMessage="1" showErrorMessage="1" sqref="Q8:S8" xr:uid="{6C1FF2A3-031D-4548-ACDA-E39CCC77ECC7}">
      <formula1>INDIRECT("tableau3[type de projet]")</formula1>
    </dataValidation>
  </dataValidations>
  <pageMargins left="0.7" right="0.7" top="0.75" bottom="0.75" header="0.3" footer="0.3"/>
  <pageSetup paperSize="9" scale="73" fitToHeight="0" orientation="landscape" verticalDpi="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pour liste</vt:lpstr>
      <vt:lpstr>grille tarifaire</vt:lpstr>
      <vt:lpstr>Fiche de calcul V2</vt:lpstr>
      <vt:lpstr>'Fiche de calcul V2'!Zone_d_impression</vt:lpstr>
      <vt:lpstr>'grille tarifaire'!Zone_d_impression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Barjou</dc:creator>
  <cp:lastModifiedBy>David Barjou</cp:lastModifiedBy>
  <cp:lastPrinted>2022-06-24T13:01:55Z</cp:lastPrinted>
  <dcterms:created xsi:type="dcterms:W3CDTF">2015-06-05T18:19:34Z</dcterms:created>
  <dcterms:modified xsi:type="dcterms:W3CDTF">2022-06-27T12:38:19Z</dcterms:modified>
</cp:coreProperties>
</file>